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3040" windowHeight="9347" tabRatio="750" activeTab="2"/>
  </bookViews>
  <sheets>
    <sheet name="鴨子、鱷魚、金魚排期" sheetId="5" r:id="rId1"/>
    <sheet name="7163-66" sheetId="21" r:id="rId2"/>
    <sheet name="鯊魚排期" sheetId="17" r:id="rId3"/>
    <sheet name="游水取消單" sheetId="13" r:id="rId4"/>
    <sheet name="游水MA彩盒" sheetId="12" r:id="rId5"/>
    <sheet name="游水MA半成品" sheetId="14" r:id="rId6"/>
    <sheet name="游水內銷訂單" sheetId="16" state="hidden" r:id="rId7"/>
    <sheet name="#25291" sheetId="19" state="hidden" r:id="rId8"/>
    <sheet name="樣板訂單" sheetId="15" state="hidden" r:id="rId9"/>
    <sheet name="兴信ITEM表 " sheetId="20" state="hidden" r:id="rId10"/>
  </sheets>
  <definedNames>
    <definedName name="_xlnm._FilterDatabase" localSheetId="0" hidden="1">鴨子、鱷魚、金魚排期!$3:$351</definedName>
    <definedName name="_xlnm._FilterDatabase" localSheetId="1" hidden="1">'7163-66'!$3:$114</definedName>
    <definedName name="_xlnm._FilterDatabase" localSheetId="2" hidden="1">鯊魚排期!$3:$337</definedName>
    <definedName name="_xlnm._FilterDatabase" localSheetId="3" hidden="1">游水取消單!$A$3:$IV$349</definedName>
    <definedName name="_xlnm._FilterDatabase" localSheetId="4" hidden="1">游水MA彩盒!$A$3:$BU$789</definedName>
    <definedName name="_xlnm._FilterDatabase" localSheetId="5" hidden="1">游水MA半成品!$A$4:$AE$169</definedName>
    <definedName name="_xlnm._FilterDatabase" localSheetId="8" hidden="1">樣板訂單!$A$3:$AC$30</definedName>
    <definedName name="_xlnm.Print_Area" localSheetId="5">游水MA半成品!$A$1:$T$41</definedName>
    <definedName name="_xlnm.Print_Area" localSheetId="0">鴨子、鱷魚、金魚排期!$A$1:$R$3</definedName>
    <definedName name="_xlnm.Print_Area" localSheetId="3">游水取消單!$A$204:$N$208</definedName>
    <definedName name="_xlnm._FilterDatabase" localSheetId="7" hidden="1">'#25291'!$3:$3</definedName>
    <definedName name="_xlnm._FilterDatabase" localSheetId="6" hidden="1">游水內銷訂單!$A$1:$AH$12</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AB4" authorId="0">
      <text>
        <r>
          <rPr>
            <b/>
            <sz val="9"/>
            <rFont val="宋体"/>
            <charset val="134"/>
          </rPr>
          <t>Administrator:</t>
        </r>
        <r>
          <rPr>
            <sz val="9"/>
            <rFont val="宋体"/>
            <charset val="134"/>
          </rPr>
          <t xml:space="preserve">
</t>
        </r>
        <r>
          <rPr>
            <sz val="12"/>
            <rFont val="宋体"/>
            <charset val="134"/>
          </rPr>
          <t>0001905 12/13 96pcs兴信一楼</t>
        </r>
      </text>
    </comment>
    <comment ref="AB5" authorId="0">
      <text>
        <r>
          <rPr>
            <b/>
            <sz val="9"/>
            <rFont val="宋体"/>
            <charset val="134"/>
          </rPr>
          <t>Administrator:</t>
        </r>
        <r>
          <rPr>
            <sz val="9"/>
            <rFont val="宋体"/>
            <charset val="134"/>
          </rPr>
          <t xml:space="preserve">
0001905 12/13 96pcs兴信一楼
</t>
        </r>
      </text>
    </comment>
    <comment ref="AB6" authorId="0">
      <text>
        <r>
          <rPr>
            <b/>
            <sz val="9"/>
            <rFont val="宋体"/>
            <charset val="134"/>
          </rPr>
          <t>Administrator:</t>
        </r>
        <r>
          <rPr>
            <sz val="9"/>
            <rFont val="宋体"/>
            <charset val="134"/>
          </rPr>
          <t xml:space="preserve">
0001905 12/13 96pcs兴信一楼
</t>
        </r>
      </text>
    </comment>
    <comment ref="AB7" authorId="0">
      <text>
        <r>
          <rPr>
            <b/>
            <sz val="16"/>
            <rFont val="宋体"/>
            <charset val="134"/>
          </rPr>
          <t>Administrator:</t>
        </r>
        <r>
          <rPr>
            <sz val="16"/>
            <rFont val="宋体"/>
            <charset val="134"/>
          </rPr>
          <t xml:space="preserve">
0000519 12/16 240 pcs 华兴三楼B8</t>
        </r>
      </text>
    </comment>
    <comment ref="AD7" authorId="0">
      <text>
        <r>
          <rPr>
            <b/>
            <sz val="16"/>
            <rFont val="宋体"/>
            <charset val="134"/>
          </rPr>
          <t>Administrator:</t>
        </r>
        <r>
          <rPr>
            <sz val="16"/>
            <rFont val="宋体"/>
            <charset val="134"/>
          </rPr>
          <t xml:space="preserve">
11/1上</t>
        </r>
        <r>
          <rPr>
            <sz val="18"/>
            <rFont val="宋体"/>
            <charset val="134"/>
          </rPr>
          <t xml:space="preserve"> EAN条码贴纸 240 pcs
法国环保logo贴纸 240 pcs
11/21上 家乐福外箱贴纸 20pcs
</t>
        </r>
      </text>
    </comment>
    <comment ref="AB8" authorId="0">
      <text>
        <r>
          <rPr>
            <b/>
            <sz val="16"/>
            <rFont val="宋体"/>
            <charset val="134"/>
          </rPr>
          <t>Administrator:</t>
        </r>
        <r>
          <rPr>
            <sz val="16"/>
            <rFont val="宋体"/>
            <charset val="134"/>
          </rPr>
          <t xml:space="preserve">
0001905 12/13 240pcs 华兴三楼</t>
        </r>
      </text>
    </comment>
    <comment ref="AD8" authorId="0">
      <text>
        <r>
          <rPr>
            <b/>
            <sz val="16"/>
            <rFont val="宋体"/>
            <charset val="134"/>
          </rPr>
          <t>Administrator:</t>
        </r>
        <r>
          <rPr>
            <sz val="16"/>
            <rFont val="宋体"/>
            <charset val="134"/>
          </rPr>
          <t xml:space="preserve">
11/1上</t>
        </r>
        <r>
          <rPr>
            <sz val="18"/>
            <rFont val="宋体"/>
            <charset val="134"/>
          </rPr>
          <t xml:space="preserve"> EAN条码贴纸 240 pcs
法国环保logo贴纸 240 pcs
11/21上 家乐福外箱贴纸 20 pcs
</t>
        </r>
      </text>
    </comment>
    <comment ref="AB9" authorId="0">
      <text>
        <r>
          <rPr>
            <b/>
            <sz val="16"/>
            <rFont val="宋体"/>
            <charset val="134"/>
          </rPr>
          <t>Administrator:</t>
        </r>
        <r>
          <rPr>
            <sz val="16"/>
            <rFont val="宋体"/>
            <charset val="134"/>
          </rPr>
          <t xml:space="preserve">
0000469 12/17 240 pcs 华兴三楼A28</t>
        </r>
      </text>
    </comment>
    <comment ref="AD9" authorId="0">
      <text>
        <r>
          <rPr>
            <b/>
            <sz val="16"/>
            <rFont val="宋体"/>
            <charset val="134"/>
          </rPr>
          <t>Administrator:</t>
        </r>
        <r>
          <rPr>
            <sz val="16"/>
            <rFont val="宋体"/>
            <charset val="134"/>
          </rPr>
          <t xml:space="preserve">
11/1上</t>
        </r>
        <r>
          <rPr>
            <sz val="18"/>
            <rFont val="宋体"/>
            <charset val="134"/>
          </rPr>
          <t xml:space="preserve"> EAN条码贴纸 240 pcs
法国环保logo贴纸 240 pcs
11/21上 家乐福外箱贴纸 20 pcs
</t>
        </r>
      </text>
    </comment>
    <comment ref="AB10" authorId="0">
      <text>
        <r>
          <rPr>
            <b/>
            <sz val="16"/>
            <rFont val="宋体"/>
            <charset val="134"/>
          </rPr>
          <t>Administrator:</t>
        </r>
        <r>
          <rPr>
            <sz val="16"/>
            <rFont val="宋体"/>
            <charset val="134"/>
          </rPr>
          <t xml:space="preserve">
0000457 12/18 3740 pcs 华兴三楼A10</t>
        </r>
      </text>
    </comment>
    <comment ref="AD10" authorId="0">
      <text>
        <r>
          <rPr>
            <b/>
            <sz val="16"/>
            <rFont val="宋体"/>
            <charset val="134"/>
          </rPr>
          <t>Administrator:</t>
        </r>
        <r>
          <rPr>
            <sz val="16"/>
            <rFont val="宋体"/>
            <charset val="134"/>
          </rPr>
          <t xml:space="preserve">
11/29上 客供RRFID贴纸 3740 pcs</t>
        </r>
      </text>
    </comment>
    <comment ref="AB11" authorId="0">
      <text>
        <r>
          <rPr>
            <b/>
            <sz val="16"/>
            <rFont val="宋体"/>
            <charset val="134"/>
          </rPr>
          <t>Administrator:</t>
        </r>
        <r>
          <rPr>
            <sz val="16"/>
            <rFont val="宋体"/>
            <charset val="134"/>
          </rPr>
          <t xml:space="preserve">
0000457 12/18 4108 pcs 华兴三楼A11</t>
        </r>
      </text>
    </comment>
    <comment ref="AD11" authorId="0">
      <text>
        <r>
          <rPr>
            <b/>
            <sz val="16"/>
            <rFont val="宋体"/>
            <charset val="134"/>
          </rPr>
          <t>Administrator:</t>
        </r>
        <r>
          <rPr>
            <sz val="16"/>
            <rFont val="宋体"/>
            <charset val="134"/>
          </rPr>
          <t xml:space="preserve">
11/29上 客供RRFID贴纸 4108 pcs</t>
        </r>
      </text>
    </comment>
    <comment ref="AB12" authorId="0">
      <text>
        <r>
          <rPr>
            <b/>
            <sz val="16"/>
            <rFont val="宋体"/>
            <charset val="134"/>
          </rPr>
          <t>Administrator:</t>
        </r>
        <r>
          <rPr>
            <sz val="16"/>
            <rFont val="宋体"/>
            <charset val="134"/>
          </rPr>
          <t xml:space="preserve">
0000457 12/18 1422 pcs 华兴三楼A10
0000468 12/19 1500 pcs A10</t>
        </r>
      </text>
    </comment>
    <comment ref="AD12" authorId="0">
      <text>
        <r>
          <rPr>
            <b/>
            <sz val="16"/>
            <rFont val="宋体"/>
            <charset val="134"/>
          </rPr>
          <t>Administrator:</t>
        </r>
        <r>
          <rPr>
            <sz val="16"/>
            <rFont val="宋体"/>
            <charset val="134"/>
          </rPr>
          <t xml:space="preserve">
11/29上 客供RRFID贴纸 2922 pcs</t>
        </r>
      </text>
    </comment>
    <comment ref="AB13" authorId="0">
      <text>
        <r>
          <rPr>
            <b/>
            <sz val="16"/>
            <rFont val="宋体"/>
            <charset val="134"/>
          </rPr>
          <t>Administrator:</t>
        </r>
        <r>
          <rPr>
            <sz val="16"/>
            <rFont val="宋体"/>
            <charset val="134"/>
          </rPr>
          <t xml:space="preserve">
0000610 12/26 756 pcs 华兴三楼B8</t>
        </r>
      </text>
    </comment>
    <comment ref="AD13" authorId="0">
      <text>
        <r>
          <rPr>
            <b/>
            <sz val="16"/>
            <rFont val="宋体"/>
            <charset val="134"/>
          </rPr>
          <t>Administrator:</t>
        </r>
        <r>
          <rPr>
            <sz val="16"/>
            <rFont val="宋体"/>
            <charset val="134"/>
          </rPr>
          <t xml:space="preserve">
12/3上 进口商贴纸 756 pcs
   EAN条码贴纸 756 pcs</t>
        </r>
      </text>
    </comment>
    <comment ref="AB14" authorId="0">
      <text>
        <r>
          <rPr>
            <b/>
            <sz val="16"/>
            <rFont val="宋体"/>
            <charset val="134"/>
          </rPr>
          <t>Administrator:</t>
        </r>
        <r>
          <rPr>
            <sz val="16"/>
            <rFont val="宋体"/>
            <charset val="134"/>
          </rPr>
          <t xml:space="preserve">
0000578 12/26 2208 pcs 华兴三楼A26
 0000582 12/27 792 pcs</t>
        </r>
      </text>
    </comment>
    <comment ref="AD14" authorId="0">
      <text>
        <r>
          <rPr>
            <b/>
            <sz val="16"/>
            <rFont val="宋体"/>
            <charset val="134"/>
          </rPr>
          <t>Administrator:</t>
        </r>
        <r>
          <rPr>
            <sz val="16"/>
            <rFont val="宋体"/>
            <charset val="134"/>
          </rPr>
          <t xml:space="preserve">
12/10上 法语callout贴纸 3000 pcs</t>
        </r>
      </text>
    </comment>
    <comment ref="AB15" authorId="0">
      <text>
        <r>
          <rPr>
            <b/>
            <sz val="16"/>
            <rFont val="宋体"/>
            <charset val="134"/>
          </rPr>
          <t>Administrator:</t>
        </r>
        <r>
          <rPr>
            <sz val="16"/>
            <rFont val="宋体"/>
            <charset val="134"/>
          </rPr>
          <t xml:space="preserve">
0000562 12/27 804 pcs 华兴二楼A10</t>
        </r>
      </text>
    </comment>
    <comment ref="AD15" authorId="0">
      <text>
        <r>
          <rPr>
            <b/>
            <sz val="16"/>
            <rFont val="宋体"/>
            <charset val="134"/>
          </rPr>
          <t>Administrator:</t>
        </r>
        <r>
          <rPr>
            <sz val="16"/>
            <rFont val="宋体"/>
            <charset val="134"/>
          </rPr>
          <t xml:space="preserve">
12/6上 客供价格贴纸 885 pcs</t>
        </r>
      </text>
    </comment>
    <comment ref="AB16" authorId="0">
      <text>
        <r>
          <rPr>
            <b/>
            <sz val="16"/>
            <rFont val="宋体"/>
            <charset val="134"/>
          </rPr>
          <t>Administrator:</t>
        </r>
        <r>
          <rPr>
            <sz val="16"/>
            <rFont val="宋体"/>
            <charset val="134"/>
          </rPr>
          <t xml:space="preserve">
0000623 12/25 2888 pcs 华兴二楼A9
0000582 12/27 792 pcs 华兴三楼A26</t>
        </r>
      </text>
    </comment>
    <comment ref="AD16" authorId="0">
      <text>
        <r>
          <rPr>
            <b/>
            <sz val="16"/>
            <rFont val="宋体"/>
            <charset val="134"/>
          </rPr>
          <t>Administrator:</t>
        </r>
        <r>
          <rPr>
            <sz val="16"/>
            <rFont val="宋体"/>
            <charset val="134"/>
          </rPr>
          <t xml:space="preserve">
12/10上 客供RRFID贴纸 2888 pcs</t>
        </r>
      </text>
    </comment>
    <comment ref="AB17" authorId="0">
      <text>
        <r>
          <rPr>
            <b/>
            <sz val="16"/>
            <rFont val="宋体"/>
            <charset val="134"/>
          </rPr>
          <t>Administrator:</t>
        </r>
        <r>
          <rPr>
            <sz val="16"/>
            <rFont val="宋体"/>
            <charset val="134"/>
          </rPr>
          <t xml:space="preserve">
0000549 12/28 996 pcs 华兴二楼</t>
        </r>
        <r>
          <rPr>
            <b/>
            <sz val="16"/>
            <rFont val="宋体"/>
            <charset val="134"/>
          </rPr>
          <t>B4</t>
        </r>
      </text>
    </comment>
    <comment ref="AD17" authorId="0">
      <text>
        <r>
          <rPr>
            <b/>
            <sz val="16"/>
            <rFont val="宋体"/>
            <charset val="134"/>
          </rPr>
          <t>Administrator:</t>
        </r>
        <r>
          <rPr>
            <sz val="16"/>
            <rFont val="宋体"/>
            <charset val="134"/>
          </rPr>
          <t xml:space="preserve">
12/6上 客供价格贴纸 885 pcs</t>
        </r>
      </text>
    </comment>
    <comment ref="AB18" authorId="0">
      <text>
        <r>
          <rPr>
            <b/>
            <sz val="16"/>
            <rFont val="宋体"/>
            <charset val="134"/>
          </rPr>
          <t>Administrator:</t>
        </r>
        <r>
          <rPr>
            <sz val="16"/>
            <rFont val="宋体"/>
            <charset val="134"/>
          </rPr>
          <t xml:space="preserve">
0000549 12/28 1200 pcs华兴二楼B4
</t>
        </r>
      </text>
    </comment>
    <comment ref="AD18" authorId="0">
      <text>
        <r>
          <rPr>
            <b/>
            <sz val="16"/>
            <rFont val="宋体"/>
            <charset val="134"/>
          </rPr>
          <t>Administrator:</t>
        </r>
        <r>
          <rPr>
            <sz val="16"/>
            <rFont val="宋体"/>
            <charset val="134"/>
          </rPr>
          <t xml:space="preserve">
12/6上 客供价格贴纸 1320 pcs</t>
        </r>
      </text>
    </comment>
    <comment ref="AB19" authorId="0">
      <text>
        <r>
          <rPr>
            <b/>
            <sz val="16"/>
            <rFont val="宋体"/>
            <charset val="134"/>
          </rPr>
          <t>Administrator:</t>
        </r>
        <r>
          <rPr>
            <sz val="16"/>
            <rFont val="宋体"/>
            <charset val="134"/>
          </rPr>
          <t xml:space="preserve">
0000549 12/28 1200 pcs华兴二楼B4
</t>
        </r>
      </text>
    </comment>
    <comment ref="AD19" authorId="0">
      <text>
        <r>
          <rPr>
            <b/>
            <sz val="16"/>
            <rFont val="宋体"/>
            <charset val="134"/>
          </rPr>
          <t>Administrator:</t>
        </r>
        <r>
          <rPr>
            <sz val="16"/>
            <rFont val="宋体"/>
            <charset val="134"/>
          </rPr>
          <t xml:space="preserve">
12/6上 客供价格贴纸 1320 pcs</t>
        </r>
      </text>
    </comment>
    <comment ref="AB20" authorId="0">
      <text>
        <r>
          <rPr>
            <b/>
            <sz val="16"/>
            <rFont val="宋体"/>
            <charset val="134"/>
          </rPr>
          <t>Administrator:</t>
        </r>
        <r>
          <rPr>
            <sz val="16"/>
            <rFont val="宋体"/>
            <charset val="134"/>
          </rPr>
          <t xml:space="preserve">
0000623 12/25 996 pcs 华兴三楼A13</t>
        </r>
      </text>
    </comment>
    <comment ref="AD20" authorId="0">
      <text>
        <r>
          <rPr>
            <b/>
            <sz val="16"/>
            <rFont val="宋体"/>
            <charset val="134"/>
          </rPr>
          <t>Administrator:</t>
        </r>
        <r>
          <rPr>
            <sz val="16"/>
            <rFont val="宋体"/>
            <charset val="134"/>
          </rPr>
          <t xml:space="preserve">
12/6上 客供价格贴纸 1096 pcs</t>
        </r>
      </text>
    </comment>
    <comment ref="AB21" authorId="0">
      <text>
        <r>
          <rPr>
            <b/>
            <sz val="16"/>
            <rFont val="宋体"/>
            <charset val="134"/>
          </rPr>
          <t>Administrator:</t>
        </r>
        <r>
          <rPr>
            <sz val="16"/>
            <rFont val="宋体"/>
            <charset val="134"/>
          </rPr>
          <t xml:space="preserve">
0000578 12/26 4712 pcs 华兴三楼A26</t>
        </r>
      </text>
    </comment>
    <comment ref="AD21" authorId="0">
      <text>
        <r>
          <rPr>
            <b/>
            <sz val="16"/>
            <rFont val="宋体"/>
            <charset val="134"/>
          </rPr>
          <t>Administrator:</t>
        </r>
        <r>
          <rPr>
            <sz val="16"/>
            <rFont val="宋体"/>
            <charset val="134"/>
          </rPr>
          <t xml:space="preserve">
12/10上 客供RRFID贴纸 4712 pcs</t>
        </r>
      </text>
    </comment>
    <comment ref="AB22" authorId="0">
      <text>
        <r>
          <rPr>
            <b/>
            <sz val="16"/>
            <rFont val="宋体"/>
            <charset val="134"/>
          </rPr>
          <t>Administrator:</t>
        </r>
        <r>
          <rPr>
            <sz val="16"/>
            <rFont val="宋体"/>
            <charset val="134"/>
          </rPr>
          <t xml:space="preserve">
0000582 12/27  980 pcs  华兴二楼A10</t>
        </r>
      </text>
    </comment>
    <comment ref="AD22" authorId="0">
      <text>
        <r>
          <rPr>
            <b/>
            <sz val="16"/>
            <rFont val="宋体"/>
            <charset val="134"/>
          </rPr>
          <t>Administrator:</t>
        </r>
        <r>
          <rPr>
            <sz val="16"/>
            <rFont val="宋体"/>
            <charset val="134"/>
          </rPr>
          <t xml:space="preserve">
12/10上 客供RRFID贴纸 980 pcs
12/12上 粉色艾利贴纸 490 pcs</t>
        </r>
      </text>
    </comment>
    <comment ref="AB23" authorId="0">
      <text>
        <r>
          <rPr>
            <b/>
            <sz val="16"/>
            <rFont val="宋体"/>
            <charset val="134"/>
          </rPr>
          <t>Administrator:</t>
        </r>
        <r>
          <rPr>
            <sz val="16"/>
            <rFont val="宋体"/>
            <charset val="134"/>
          </rPr>
          <t xml:space="preserve">
0000578 12/26 1182 pcs 华兴三楼A26</t>
        </r>
      </text>
    </comment>
    <comment ref="AD23" authorId="0">
      <text>
        <r>
          <rPr>
            <b/>
            <sz val="16"/>
            <rFont val="宋体"/>
            <charset val="134"/>
          </rPr>
          <t>Administrator:</t>
        </r>
        <r>
          <rPr>
            <sz val="16"/>
            <rFont val="宋体"/>
            <charset val="134"/>
          </rPr>
          <t xml:space="preserve">
12/10上 客供RRFID贴纸 1182 pcs
12/12上 粉色艾利贴纸 591 pcs
</t>
        </r>
      </text>
    </comment>
    <comment ref="AB24" authorId="0">
      <text>
        <r>
          <rPr>
            <b/>
            <sz val="16"/>
            <rFont val="宋体"/>
            <charset val="134"/>
          </rPr>
          <t>Administrator:</t>
        </r>
        <r>
          <rPr>
            <sz val="16"/>
            <rFont val="宋体"/>
            <charset val="134"/>
          </rPr>
          <t xml:space="preserve">
0000578 12/26 1352 pcs 华兴三楼A26</t>
        </r>
      </text>
    </comment>
    <comment ref="AD24" authorId="0">
      <text>
        <r>
          <rPr>
            <b/>
            <sz val="16"/>
            <rFont val="宋体"/>
            <charset val="134"/>
          </rPr>
          <t>Administrator:</t>
        </r>
        <r>
          <rPr>
            <sz val="16"/>
            <rFont val="宋体"/>
            <charset val="134"/>
          </rPr>
          <t xml:space="preserve">
12/10上 客供RRFID贴纸 1352 pcs
12/12上 粉色艾利贴纸 1352 pcs
</t>
        </r>
      </text>
    </comment>
    <comment ref="AB25" authorId="0">
      <text>
        <r>
          <rPr>
            <b/>
            <sz val="16"/>
            <rFont val="宋体"/>
            <charset val="134"/>
          </rPr>
          <t>Administrator:</t>
        </r>
        <r>
          <rPr>
            <sz val="16"/>
            <rFont val="宋体"/>
            <charset val="134"/>
          </rPr>
          <t xml:space="preserve">
0000587 12/27 708 pcs 华兴三楼A15</t>
        </r>
      </text>
    </comment>
    <comment ref="AD25" authorId="0">
      <text>
        <r>
          <rPr>
            <b/>
            <sz val="16"/>
            <rFont val="宋体"/>
            <charset val="134"/>
          </rPr>
          <t>Administrator:</t>
        </r>
        <r>
          <rPr>
            <sz val="16"/>
            <rFont val="宋体"/>
            <charset val="134"/>
          </rPr>
          <t xml:space="preserve">
12/17上 德语法语callout贴纸 708 pcs</t>
        </r>
      </text>
    </comment>
    <comment ref="AB26" authorId="0">
      <text>
        <r>
          <rPr>
            <b/>
            <sz val="16"/>
            <rFont val="宋体"/>
            <charset val="134"/>
          </rPr>
          <t>Administrator:</t>
        </r>
        <r>
          <rPr>
            <sz val="16"/>
            <rFont val="宋体"/>
            <charset val="134"/>
          </rPr>
          <t xml:space="preserve">
0000531 12/30 3526 pcs 华兴二楼A3
0000941 1/2 4 pcs </t>
        </r>
      </text>
    </comment>
    <comment ref="AD26" authorId="0">
      <text>
        <r>
          <rPr>
            <b/>
            <sz val="16"/>
            <rFont val="宋体"/>
            <charset val="134"/>
          </rPr>
          <t>Administrator:</t>
        </r>
        <r>
          <rPr>
            <sz val="16"/>
            <rFont val="宋体"/>
            <charset val="134"/>
          </rPr>
          <t xml:space="preserve">
12/10上 客供RRFID贴纸 3530 pcs</t>
        </r>
      </text>
    </comment>
    <comment ref="AB27" authorId="0">
      <text>
        <r>
          <rPr>
            <b/>
            <sz val="16"/>
            <rFont val="宋体"/>
            <charset val="134"/>
          </rPr>
          <t>Administrator:</t>
        </r>
        <r>
          <rPr>
            <sz val="16"/>
            <rFont val="宋体"/>
            <charset val="134"/>
          </rPr>
          <t xml:space="preserve">
0000544 12/30 1630 pcs 华兴二楼A5</t>
        </r>
      </text>
    </comment>
    <comment ref="AD27" authorId="0">
      <text>
        <r>
          <rPr>
            <b/>
            <sz val="16"/>
            <rFont val="宋体"/>
            <charset val="134"/>
          </rPr>
          <t>Administrator:</t>
        </r>
        <r>
          <rPr>
            <sz val="16"/>
            <rFont val="宋体"/>
            <charset val="134"/>
          </rPr>
          <t xml:space="preserve">
12/10上 客供RRFID贴纸 1630 pcs</t>
        </r>
      </text>
    </comment>
    <comment ref="AB28" authorId="0">
      <text>
        <r>
          <rPr>
            <b/>
            <sz val="16"/>
            <rFont val="宋体"/>
            <charset val="134"/>
          </rPr>
          <t>Administrator:</t>
        </r>
        <r>
          <rPr>
            <sz val="16"/>
            <rFont val="宋体"/>
            <charset val="134"/>
          </rPr>
          <t xml:space="preserve">
0000544 12/30 5496 pcs 华兴二楼A8</t>
        </r>
      </text>
    </comment>
    <comment ref="AD28" authorId="0">
      <text>
        <r>
          <rPr>
            <b/>
            <sz val="16"/>
            <rFont val="宋体"/>
            <charset val="134"/>
          </rPr>
          <t>Administrator:</t>
        </r>
        <r>
          <rPr>
            <sz val="16"/>
            <rFont val="宋体"/>
            <charset val="134"/>
          </rPr>
          <t xml:space="preserve">
12/10上 客供RRFID贴纸 5496 pcs</t>
        </r>
      </text>
    </comment>
    <comment ref="AB29" authorId="0">
      <text>
        <r>
          <rPr>
            <b/>
            <sz val="16"/>
            <rFont val="宋体"/>
            <charset val="134"/>
          </rPr>
          <t>Administrator:</t>
        </r>
        <r>
          <rPr>
            <sz val="16"/>
            <rFont val="宋体"/>
            <charset val="134"/>
          </rPr>
          <t xml:space="preserve">
0000544 12/30 2970 pcs A6       
0000541 12/30 400 pcs 华兴二楼A6</t>
        </r>
      </text>
    </comment>
    <comment ref="AD29" authorId="0">
      <text>
        <r>
          <rPr>
            <b/>
            <sz val="16"/>
            <rFont val="宋体"/>
            <charset val="134"/>
          </rPr>
          <t>Administrator:</t>
        </r>
        <r>
          <rPr>
            <sz val="16"/>
            <rFont val="宋体"/>
            <charset val="134"/>
          </rPr>
          <t xml:space="preserve">
12/10上 客供RRFID贴纸 3370 pcs</t>
        </r>
      </text>
    </comment>
    <comment ref="AB30" authorId="0">
      <text>
        <r>
          <rPr>
            <b/>
            <sz val="16"/>
            <rFont val="宋体"/>
            <charset val="134"/>
          </rPr>
          <t>Administrator:</t>
        </r>
        <r>
          <rPr>
            <sz val="16"/>
            <rFont val="宋体"/>
            <charset val="134"/>
          </rPr>
          <t xml:space="preserve">
0000541 12/30 4364 pcs 华兴二楼B3</t>
        </r>
      </text>
    </comment>
    <comment ref="AD30" authorId="0">
      <text>
        <r>
          <rPr>
            <b/>
            <sz val="16"/>
            <rFont val="宋体"/>
            <charset val="134"/>
          </rPr>
          <t>Administrator:</t>
        </r>
        <r>
          <rPr>
            <sz val="16"/>
            <rFont val="宋体"/>
            <charset val="134"/>
          </rPr>
          <t xml:space="preserve">
12/10上 客供RRFID贴纸 4364 pcs</t>
        </r>
      </text>
    </comment>
    <comment ref="AB31" authorId="0">
      <text>
        <r>
          <rPr>
            <b/>
            <sz val="16"/>
            <rFont val="宋体"/>
            <charset val="134"/>
          </rPr>
          <t>Administrator:</t>
        </r>
        <r>
          <rPr>
            <sz val="16"/>
            <rFont val="宋体"/>
            <charset val="134"/>
          </rPr>
          <t xml:space="preserve">
0000541 12/30 4792 pcs 华兴二楼A4</t>
        </r>
      </text>
    </comment>
    <comment ref="AD31" authorId="0">
      <text>
        <r>
          <rPr>
            <b/>
            <sz val="16"/>
            <rFont val="宋体"/>
            <charset val="134"/>
          </rPr>
          <t>Administrator:</t>
        </r>
        <r>
          <rPr>
            <sz val="16"/>
            <rFont val="宋体"/>
            <charset val="134"/>
          </rPr>
          <t xml:space="preserve">
12/10上 客供RRFID贴纸 4792 pcs</t>
        </r>
      </text>
    </comment>
    <comment ref="AB32" authorId="0">
      <text>
        <r>
          <rPr>
            <b/>
            <sz val="16"/>
            <rFont val="宋体"/>
            <charset val="134"/>
          </rPr>
          <t>Administrator:</t>
        </r>
        <r>
          <rPr>
            <sz val="16"/>
            <rFont val="宋体"/>
            <charset val="134"/>
          </rPr>
          <t xml:space="preserve">
0000541 12/30 3408 pcs 华兴二楼B2</t>
        </r>
      </text>
    </comment>
    <comment ref="AD32" authorId="0">
      <text>
        <r>
          <rPr>
            <b/>
            <sz val="16"/>
            <rFont val="宋体"/>
            <charset val="134"/>
          </rPr>
          <t>Administrator:</t>
        </r>
        <r>
          <rPr>
            <sz val="16"/>
            <rFont val="宋体"/>
            <charset val="134"/>
          </rPr>
          <t xml:space="preserve">
12/10上 客供RRFID贴纸 3408 pcs</t>
        </r>
      </text>
    </comment>
    <comment ref="AB33" authorId="0">
      <text>
        <r>
          <rPr>
            <b/>
            <sz val="16"/>
            <rFont val="宋体"/>
            <charset val="134"/>
          </rPr>
          <t>Administrator:</t>
        </r>
        <r>
          <rPr>
            <sz val="16"/>
            <rFont val="宋体"/>
            <charset val="134"/>
          </rPr>
          <t xml:space="preserve">
0000930 12/31 160 pcs</t>
        </r>
      </text>
    </comment>
    <comment ref="AD33" authorId="0">
      <text>
        <r>
          <rPr>
            <b/>
            <sz val="16"/>
            <rFont val="宋体"/>
            <charset val="134"/>
          </rPr>
          <t>Administrator:</t>
        </r>
        <r>
          <rPr>
            <sz val="16"/>
            <rFont val="宋体"/>
            <charset val="134"/>
          </rPr>
          <t xml:space="preserve">
12/23上 客供亚马逊外箱贴纸 40 pcs</t>
        </r>
      </text>
    </comment>
    <comment ref="AB34" authorId="0">
      <text>
        <r>
          <rPr>
            <b/>
            <sz val="16"/>
            <rFont val="宋体"/>
            <charset val="134"/>
          </rPr>
          <t>Administrator:</t>
        </r>
        <r>
          <rPr>
            <sz val="16"/>
            <rFont val="宋体"/>
            <charset val="134"/>
          </rPr>
          <t xml:space="preserve">
0000941 1/2 48 pcs 华兴三楼A15</t>
        </r>
      </text>
    </comment>
    <comment ref="AD34" authorId="0">
      <text>
        <r>
          <rPr>
            <b/>
            <sz val="16"/>
            <rFont val="宋体"/>
            <charset val="134"/>
          </rPr>
          <t>Administrator:</t>
        </r>
        <r>
          <rPr>
            <sz val="16"/>
            <rFont val="宋体"/>
            <charset val="134"/>
          </rPr>
          <t xml:space="preserve">
12/23上 客供亚马逊外箱贴纸 12 pcs</t>
        </r>
      </text>
    </comment>
    <comment ref="AB35" authorId="0">
      <text>
        <r>
          <rPr>
            <b/>
            <sz val="16"/>
            <rFont val="宋体"/>
            <charset val="134"/>
          </rPr>
          <t>Administrator:</t>
        </r>
        <r>
          <rPr>
            <sz val="16"/>
            <rFont val="宋体"/>
            <charset val="134"/>
          </rPr>
          <t xml:space="preserve">
0000930 12/31 208 pcs</t>
        </r>
      </text>
    </comment>
    <comment ref="AD35" authorId="0">
      <text>
        <r>
          <rPr>
            <b/>
            <sz val="16"/>
            <rFont val="宋体"/>
            <charset val="134"/>
          </rPr>
          <t>Administrator:</t>
        </r>
        <r>
          <rPr>
            <sz val="16"/>
            <rFont val="宋体"/>
            <charset val="134"/>
          </rPr>
          <t xml:space="preserve">
12/23上 客供亚马逊外箱贴纸 52 pcs</t>
        </r>
      </text>
    </comment>
    <comment ref="AB36" authorId="0">
      <text>
        <r>
          <rPr>
            <b/>
            <sz val="16"/>
            <rFont val="宋体"/>
            <charset val="134"/>
          </rPr>
          <t>Administrator:</t>
        </r>
        <r>
          <rPr>
            <sz val="16"/>
            <rFont val="宋体"/>
            <charset val="134"/>
          </rPr>
          <t xml:space="preserve">
0000941 1/2 512 pcs 华兴三楼A15</t>
        </r>
      </text>
    </comment>
    <comment ref="AD36" authorId="0">
      <text>
        <r>
          <rPr>
            <b/>
            <sz val="16"/>
            <rFont val="宋体"/>
            <charset val="134"/>
          </rPr>
          <t>Administrator:</t>
        </r>
        <r>
          <rPr>
            <sz val="16"/>
            <rFont val="宋体"/>
            <charset val="134"/>
          </rPr>
          <t xml:space="preserve">
12/23上 客供亚马逊外箱贴纸 128 pcs</t>
        </r>
      </text>
    </comment>
    <comment ref="AB37" authorId="0">
      <text>
        <r>
          <rPr>
            <b/>
            <sz val="16"/>
            <rFont val="宋体"/>
            <charset val="134"/>
          </rPr>
          <t>Administrator:</t>
        </r>
        <r>
          <rPr>
            <sz val="16"/>
            <rFont val="宋体"/>
            <charset val="134"/>
          </rPr>
          <t xml:space="preserve">
0001052 1/11 540 pcs A29      
0001044 1/11 408 pcs A29       
0001043 1/11 2472 pcs A29  
0001032 1/10 1212 pcs 华兴三楼A29
0001007 1/9 360 A29</t>
        </r>
      </text>
    </comment>
    <comment ref="AD37" authorId="0">
      <text>
        <r>
          <rPr>
            <b/>
            <sz val="16"/>
            <rFont val="宋体"/>
            <charset val="134"/>
          </rPr>
          <t>Administrator:</t>
        </r>
        <r>
          <rPr>
            <sz val="16"/>
            <rFont val="宋体"/>
            <charset val="134"/>
          </rPr>
          <t xml:space="preserve">
12/3上 价格贴纸 5242 pcs</t>
        </r>
      </text>
    </comment>
    <comment ref="AB38" authorId="0">
      <text>
        <r>
          <rPr>
            <b/>
            <sz val="16"/>
            <rFont val="宋体"/>
            <charset val="134"/>
          </rPr>
          <t>Administrator:</t>
        </r>
        <r>
          <rPr>
            <sz val="16"/>
            <rFont val="宋体"/>
            <charset val="134"/>
          </rPr>
          <t xml:space="preserve">
0001007 1/9 2496 pcs 华兴三楼A31</t>
        </r>
      </text>
    </comment>
    <comment ref="AD38" authorId="0">
      <text>
        <r>
          <rPr>
            <b/>
            <sz val="16"/>
            <rFont val="宋体"/>
            <charset val="134"/>
          </rPr>
          <t>Administrator:</t>
        </r>
        <r>
          <rPr>
            <sz val="16"/>
            <rFont val="宋体"/>
            <charset val="134"/>
          </rPr>
          <t xml:space="preserve">
12/3上 价格贴纸 2621 pcs</t>
        </r>
      </text>
    </comment>
    <comment ref="AB39" authorId="0">
      <text>
        <r>
          <rPr>
            <b/>
            <sz val="16"/>
            <rFont val="宋体"/>
            <charset val="134"/>
          </rPr>
          <t>Administrator:</t>
        </r>
        <r>
          <rPr>
            <sz val="16"/>
            <rFont val="宋体"/>
            <charset val="134"/>
          </rPr>
          <t xml:space="preserve">
0001020 1/8 1380 pcs 华兴三楼A28
0001022 1/9 1620 pcs A 28</t>
        </r>
      </text>
    </comment>
    <comment ref="AD39" authorId="0">
      <text>
        <r>
          <rPr>
            <b/>
            <sz val="16"/>
            <rFont val="宋体"/>
            <charset val="134"/>
          </rPr>
          <t>Administrator:</t>
        </r>
        <r>
          <rPr>
            <sz val="16"/>
            <rFont val="宋体"/>
            <charset val="134"/>
          </rPr>
          <t xml:space="preserve">
12/17上 德语法语callout贴纸 3000 pcs</t>
        </r>
      </text>
    </comment>
    <comment ref="AB40" authorId="0">
      <text>
        <r>
          <rPr>
            <b/>
            <sz val="16"/>
            <rFont val="宋体"/>
            <charset val="134"/>
          </rPr>
          <t>Administrator:</t>
        </r>
        <r>
          <rPr>
            <sz val="16"/>
            <rFont val="宋体"/>
            <charset val="134"/>
          </rPr>
          <t xml:space="preserve">
0001032 1/10 1902 pcs 华兴三楼A21</t>
        </r>
      </text>
    </comment>
    <comment ref="AD40" authorId="0">
      <text>
        <r>
          <rPr>
            <b/>
            <sz val="16"/>
            <rFont val="宋体"/>
            <charset val="134"/>
          </rPr>
          <t>Administrator:</t>
        </r>
        <r>
          <rPr>
            <sz val="16"/>
            <rFont val="宋体"/>
            <charset val="134"/>
          </rPr>
          <t xml:space="preserve">
12/10上 客供RRFID贴纸 1902 pcs</t>
        </r>
      </text>
    </comment>
    <comment ref="AB41" authorId="0">
      <text>
        <r>
          <rPr>
            <b/>
            <sz val="16"/>
            <rFont val="宋体"/>
            <charset val="134"/>
          </rPr>
          <t>Administrator:</t>
        </r>
        <r>
          <rPr>
            <sz val="16"/>
            <rFont val="宋体"/>
            <charset val="134"/>
          </rPr>
          <t xml:space="preserve">
0001032 1/10 1790 pcs 华兴三楼A23</t>
        </r>
      </text>
    </comment>
    <comment ref="AD41" authorId="0">
      <text>
        <r>
          <rPr>
            <b/>
            <sz val="16"/>
            <rFont val="宋体"/>
            <charset val="134"/>
          </rPr>
          <t>Administrator:</t>
        </r>
        <r>
          <rPr>
            <sz val="16"/>
            <rFont val="宋体"/>
            <charset val="134"/>
          </rPr>
          <t xml:space="preserve">
12/10上 客供RRFID贴纸 1790 pcs
2/12上 粉色艾利贴纸 895 pcs
</t>
        </r>
      </text>
    </comment>
    <comment ref="AB42" authorId="0">
      <text>
        <r>
          <rPr>
            <b/>
            <sz val="16"/>
            <rFont val="宋体"/>
            <charset val="134"/>
          </rPr>
          <t>Administrator:</t>
        </r>
        <r>
          <rPr>
            <sz val="16"/>
            <rFont val="宋体"/>
            <charset val="134"/>
          </rPr>
          <t xml:space="preserve">
0001032 1/10 1576 pcs 华兴三楼A21</t>
        </r>
      </text>
    </comment>
    <comment ref="AD42" authorId="0">
      <text>
        <r>
          <rPr>
            <b/>
            <sz val="16"/>
            <rFont val="宋体"/>
            <charset val="134"/>
          </rPr>
          <t>Administrator:</t>
        </r>
        <r>
          <rPr>
            <sz val="16"/>
            <rFont val="宋体"/>
            <charset val="134"/>
          </rPr>
          <t xml:space="preserve">
12/10上 客供RRFID贴纸 1576 pcs
2/12上 粉色艾利贴纸 788 pcs
</t>
        </r>
      </text>
    </comment>
    <comment ref="AB43" authorId="0">
      <text>
        <r>
          <rPr>
            <b/>
            <sz val="16"/>
            <rFont val="宋体"/>
            <charset val="134"/>
          </rPr>
          <t>Administrator:</t>
        </r>
        <r>
          <rPr>
            <sz val="16"/>
            <rFont val="宋体"/>
            <charset val="134"/>
          </rPr>
          <t xml:space="preserve">
0001043 1/11 228 pcs 华兴三楼A27</t>
        </r>
      </text>
    </comment>
    <comment ref="AB44" authorId="0">
      <text>
        <r>
          <rPr>
            <b/>
            <sz val="16"/>
            <rFont val="宋体"/>
            <charset val="134"/>
          </rPr>
          <t>Administrator:</t>
        </r>
        <r>
          <rPr>
            <sz val="16"/>
            <rFont val="宋体"/>
            <charset val="134"/>
          </rPr>
          <t xml:space="preserve">
0001044 1/11 672 pcs 华兴三楼B11</t>
        </r>
      </text>
    </comment>
    <comment ref="AB45" authorId="0">
      <text>
        <r>
          <rPr>
            <b/>
            <sz val="16"/>
            <rFont val="宋体"/>
            <charset val="134"/>
          </rPr>
          <t>Administrator:</t>
        </r>
        <r>
          <rPr>
            <sz val="16"/>
            <rFont val="宋体"/>
            <charset val="134"/>
          </rPr>
          <t xml:space="preserve">
0001095 1/16 804 pcs 华兴三楼B10</t>
        </r>
      </text>
    </comment>
    <comment ref="AD45" authorId="0">
      <text>
        <r>
          <rPr>
            <b/>
            <sz val="16"/>
            <rFont val="宋体"/>
            <charset val="134"/>
          </rPr>
          <t>Administrator:</t>
        </r>
        <r>
          <rPr>
            <sz val="16"/>
            <rFont val="宋体"/>
            <charset val="134"/>
          </rPr>
          <t xml:space="preserve">
12/23上 客供价格贴纸 885 pcs</t>
        </r>
      </text>
    </comment>
    <comment ref="AB46" authorId="0">
      <text>
        <r>
          <rPr>
            <b/>
            <sz val="16"/>
            <rFont val="宋体"/>
            <charset val="134"/>
          </rPr>
          <t>Administrator:</t>
        </r>
        <r>
          <rPr>
            <sz val="16"/>
            <rFont val="宋体"/>
            <charset val="134"/>
          </rPr>
          <t xml:space="preserve">
0001081 1/15 804 pcs 华兴三楼A19</t>
        </r>
      </text>
    </comment>
    <comment ref="AD46" authorId="0">
      <text>
        <r>
          <rPr>
            <b/>
            <sz val="16"/>
            <rFont val="宋体"/>
            <charset val="134"/>
          </rPr>
          <t>Administrator:</t>
        </r>
        <r>
          <rPr>
            <sz val="16"/>
            <rFont val="宋体"/>
            <charset val="134"/>
          </rPr>
          <t xml:space="preserve">
12/23上 客供价格贴纸 885 pcs</t>
        </r>
      </text>
    </comment>
    <comment ref="AB47" authorId="0">
      <text>
        <r>
          <rPr>
            <b/>
            <sz val="16"/>
            <rFont val="宋体"/>
            <charset val="134"/>
          </rPr>
          <t>Administrator:</t>
        </r>
        <r>
          <rPr>
            <sz val="16"/>
            <rFont val="宋体"/>
            <charset val="134"/>
          </rPr>
          <t xml:space="preserve">
0001081 1/15 600 pcs 华兴三楼A19</t>
        </r>
      </text>
    </comment>
    <comment ref="AD47" authorId="0">
      <text>
        <r>
          <rPr>
            <b/>
            <sz val="16"/>
            <rFont val="宋体"/>
            <charset val="134"/>
          </rPr>
          <t>Administrator:</t>
        </r>
        <r>
          <rPr>
            <sz val="16"/>
            <rFont val="宋体"/>
            <charset val="134"/>
          </rPr>
          <t xml:space="preserve">
12/23上 客供价格贴纸 660 pcs</t>
        </r>
      </text>
    </comment>
    <comment ref="AB48" authorId="0">
      <text>
        <r>
          <rPr>
            <b/>
            <sz val="16"/>
            <rFont val="宋体"/>
            <charset val="134"/>
          </rPr>
          <t>Administrator:</t>
        </r>
        <r>
          <rPr>
            <sz val="16"/>
            <rFont val="宋体"/>
            <charset val="134"/>
          </rPr>
          <t xml:space="preserve">
0001095 1/16 600 pcs 华兴三楼B10</t>
        </r>
      </text>
    </comment>
    <comment ref="AD48" authorId="0">
      <text>
        <r>
          <rPr>
            <b/>
            <sz val="16"/>
            <rFont val="宋体"/>
            <charset val="134"/>
          </rPr>
          <t>Administrator:</t>
        </r>
        <r>
          <rPr>
            <sz val="16"/>
            <rFont val="宋体"/>
            <charset val="134"/>
          </rPr>
          <t xml:space="preserve">
12/23上 客供价格贴纸 660 pcs</t>
        </r>
      </text>
    </comment>
    <comment ref="AB49" authorId="0">
      <text>
        <r>
          <rPr>
            <b/>
            <sz val="16"/>
            <rFont val="宋体"/>
            <charset val="134"/>
          </rPr>
          <t>Administrator:</t>
        </r>
        <r>
          <rPr>
            <sz val="16"/>
            <rFont val="宋体"/>
            <charset val="134"/>
          </rPr>
          <t xml:space="preserve">
0001113 1/17 288 pcs 华兴三楼B8
0001116 1/17 612 pcs B8
0001136 1/17 2196 pcs B8</t>
        </r>
      </text>
    </comment>
    <comment ref="AD49" authorId="0">
      <text>
        <r>
          <rPr>
            <b/>
            <sz val="16"/>
            <rFont val="宋体"/>
            <charset val="134"/>
          </rPr>
          <t>Administrator:</t>
        </r>
        <r>
          <rPr>
            <sz val="16"/>
            <rFont val="宋体"/>
            <charset val="134"/>
          </rPr>
          <t xml:space="preserve">
1/3上 客供价格贴纸 3251 pcs</t>
        </r>
      </text>
    </comment>
    <comment ref="AB50" authorId="0">
      <text>
        <r>
          <rPr>
            <b/>
            <sz val="16"/>
            <rFont val="宋体"/>
            <charset val="134"/>
          </rPr>
          <t>Administrator:</t>
        </r>
        <r>
          <rPr>
            <sz val="16"/>
            <rFont val="宋体"/>
            <charset val="134"/>
          </rPr>
          <t xml:space="preserve">
0001113 1/17 1548 pcs 华兴三楼B12</t>
        </r>
      </text>
    </comment>
    <comment ref="AD50" authorId="0">
      <text>
        <r>
          <rPr>
            <b/>
            <sz val="16"/>
            <rFont val="宋体"/>
            <charset val="134"/>
          </rPr>
          <t>Administrator:</t>
        </r>
        <r>
          <rPr>
            <sz val="16"/>
            <rFont val="宋体"/>
            <charset val="134"/>
          </rPr>
          <t xml:space="preserve">
1/3上 客供价格贴纸 1626 pcs</t>
        </r>
      </text>
    </comment>
    <comment ref="AB51" authorId="0">
      <text>
        <r>
          <rPr>
            <b/>
            <sz val="16"/>
            <rFont val="宋体"/>
            <charset val="134"/>
          </rPr>
          <t>Administrator:</t>
        </r>
        <r>
          <rPr>
            <sz val="16"/>
            <rFont val="宋体"/>
            <charset val="134"/>
          </rPr>
          <t xml:space="preserve">
0001138 1/18 804 pcs 华兴三楼B4</t>
        </r>
      </text>
    </comment>
    <comment ref="AD51" authorId="0">
      <text>
        <r>
          <rPr>
            <b/>
            <sz val="16"/>
            <rFont val="宋体"/>
            <charset val="134"/>
          </rPr>
          <t>Administrator:</t>
        </r>
        <r>
          <rPr>
            <sz val="16"/>
            <rFont val="宋体"/>
            <charset val="134"/>
          </rPr>
          <t xml:space="preserve">
12/23上 客供价格贴纸 885 pcs</t>
        </r>
      </text>
    </comment>
    <comment ref="AB52" authorId="0">
      <text>
        <r>
          <rPr>
            <b/>
            <sz val="16"/>
            <rFont val="宋体"/>
            <charset val="134"/>
          </rPr>
          <t>Administrator:</t>
        </r>
        <r>
          <rPr>
            <sz val="16"/>
            <rFont val="宋体"/>
            <charset val="134"/>
          </rPr>
          <t xml:space="preserve">
0001138 1/18 600 pcs 华兴三楼B4</t>
        </r>
      </text>
    </comment>
    <comment ref="AD52" authorId="0">
      <text>
        <r>
          <rPr>
            <b/>
            <sz val="16"/>
            <rFont val="宋体"/>
            <charset val="134"/>
          </rPr>
          <t>Administrator:</t>
        </r>
        <r>
          <rPr>
            <sz val="16"/>
            <rFont val="宋体"/>
            <charset val="134"/>
          </rPr>
          <t xml:space="preserve">
12/23上 客供价格贴纸 660 pcs</t>
        </r>
      </text>
    </comment>
    <comment ref="AB53" authorId="0">
      <text>
        <r>
          <rPr>
            <b/>
            <sz val="16"/>
            <rFont val="宋体"/>
            <charset val="134"/>
          </rPr>
          <t>Administrator:</t>
        </r>
        <r>
          <rPr>
            <sz val="16"/>
            <rFont val="宋体"/>
            <charset val="134"/>
          </rPr>
          <t xml:space="preserve">
0001136 1/17 1222 pcs 华兴三楼A31</t>
        </r>
      </text>
    </comment>
    <comment ref="AD53" authorId="0">
      <text>
        <r>
          <rPr>
            <b/>
            <sz val="16"/>
            <rFont val="宋体"/>
            <charset val="134"/>
          </rPr>
          <t>Administrator:</t>
        </r>
        <r>
          <rPr>
            <sz val="16"/>
            <rFont val="宋体"/>
            <charset val="134"/>
          </rPr>
          <t xml:space="preserve">
12/10上 客供RRFID贴纸 1222 pcs
2/12上 粉色艾利贴纸 611 pcs
</t>
        </r>
      </text>
    </comment>
    <comment ref="AB54" authorId="0">
      <text>
        <r>
          <rPr>
            <b/>
            <sz val="16"/>
            <rFont val="宋体"/>
            <charset val="134"/>
          </rPr>
          <t>Administrator:</t>
        </r>
        <r>
          <rPr>
            <sz val="16"/>
            <rFont val="宋体"/>
            <charset val="134"/>
          </rPr>
          <t xml:space="preserve">
0001113 1/17 2800 pcs 华兴三楼A12
0001116 1/17 1318 pcs A12</t>
        </r>
      </text>
    </comment>
    <comment ref="AD54" authorId="0">
      <text>
        <r>
          <rPr>
            <b/>
            <sz val="16"/>
            <rFont val="宋体"/>
            <charset val="134"/>
          </rPr>
          <t>Administrator:</t>
        </r>
        <r>
          <rPr>
            <sz val="16"/>
            <rFont val="宋体"/>
            <charset val="134"/>
          </rPr>
          <t xml:space="preserve">
12/10上 客供RRFID贴纸 4118 pcs</t>
        </r>
      </text>
    </comment>
    <comment ref="AB55" authorId="0">
      <text>
        <r>
          <rPr>
            <b/>
            <sz val="16"/>
            <rFont val="宋体"/>
            <charset val="134"/>
          </rPr>
          <t>Administrator:</t>
        </r>
        <r>
          <rPr>
            <sz val="16"/>
            <rFont val="宋体"/>
            <charset val="134"/>
          </rPr>
          <t xml:space="preserve">
0001136 1/17 1234 pcs 华兴三楼A31</t>
        </r>
      </text>
    </comment>
    <comment ref="AD55" authorId="0">
      <text>
        <r>
          <rPr>
            <b/>
            <sz val="16"/>
            <rFont val="宋体"/>
            <charset val="134"/>
          </rPr>
          <t>Administrator:</t>
        </r>
        <r>
          <rPr>
            <sz val="16"/>
            <rFont val="宋体"/>
            <charset val="134"/>
          </rPr>
          <t xml:space="preserve">
12/10上 客供RRFID贴纸 1234 pcs
2/12上 粉色艾利贴纸 617 pcs
</t>
        </r>
      </text>
    </comment>
    <comment ref="AB56" authorId="0">
      <text>
        <r>
          <rPr>
            <b/>
            <sz val="16"/>
            <rFont val="宋体"/>
            <charset val="134"/>
          </rPr>
          <t>Administrator:</t>
        </r>
        <r>
          <rPr>
            <sz val="16"/>
            <rFont val="宋体"/>
            <charset val="134"/>
          </rPr>
          <t xml:space="preserve">
0001136 1/17 2434 pcs 华兴三楼A30</t>
        </r>
      </text>
    </comment>
    <comment ref="AD56" authorId="0">
      <text>
        <r>
          <rPr>
            <b/>
            <sz val="16"/>
            <rFont val="宋体"/>
            <charset val="134"/>
          </rPr>
          <t>Administrator:</t>
        </r>
        <r>
          <rPr>
            <sz val="16"/>
            <rFont val="宋体"/>
            <charset val="134"/>
          </rPr>
          <t xml:space="preserve">
12/10上 客供RRFID贴纸 2434 pcs</t>
        </r>
      </text>
    </comment>
    <comment ref="AB57" authorId="0">
      <text>
        <r>
          <rPr>
            <b/>
            <sz val="16"/>
            <rFont val="宋体"/>
            <charset val="134"/>
          </rPr>
          <t>Administrator:</t>
        </r>
        <r>
          <rPr>
            <sz val="16"/>
            <rFont val="宋体"/>
            <charset val="134"/>
          </rPr>
          <t xml:space="preserve">
0001113 1/17 3422 pcs 华兴三楼A11</t>
        </r>
      </text>
    </comment>
    <comment ref="AD57" authorId="0">
      <text>
        <r>
          <rPr>
            <b/>
            <sz val="16"/>
            <rFont val="宋体"/>
            <charset val="134"/>
          </rPr>
          <t>Administrator:</t>
        </r>
        <r>
          <rPr>
            <sz val="16"/>
            <rFont val="宋体"/>
            <charset val="134"/>
          </rPr>
          <t xml:space="preserve">
12/10上 客供RRFID贴纸 3422 pcs</t>
        </r>
      </text>
    </comment>
    <comment ref="AB58" authorId="0">
      <text>
        <r>
          <rPr>
            <b/>
            <sz val="16"/>
            <rFont val="宋体"/>
            <charset val="134"/>
          </rPr>
          <t>Administrator:</t>
        </r>
        <r>
          <rPr>
            <sz val="16"/>
            <rFont val="宋体"/>
            <charset val="134"/>
          </rPr>
          <t xml:space="preserve">
0001113 1/17 3116 pcs 华兴三楼A11</t>
        </r>
      </text>
    </comment>
    <comment ref="AD58" authorId="0">
      <text>
        <r>
          <rPr>
            <b/>
            <sz val="16"/>
            <rFont val="宋体"/>
            <charset val="134"/>
          </rPr>
          <t>Administrator:</t>
        </r>
        <r>
          <rPr>
            <sz val="16"/>
            <rFont val="宋体"/>
            <charset val="134"/>
          </rPr>
          <t xml:space="preserve">
12/10上 客供RRFID贴纸 3116 pcs</t>
        </r>
      </text>
    </comment>
    <comment ref="AB59" authorId="0">
      <text>
        <r>
          <rPr>
            <b/>
            <sz val="16"/>
            <rFont val="宋体"/>
            <charset val="134"/>
          </rPr>
          <t>Administrator:</t>
        </r>
        <r>
          <rPr>
            <sz val="16"/>
            <rFont val="宋体"/>
            <charset val="134"/>
          </rPr>
          <t xml:space="preserve">
0001145 1/18 804 pcs 华兴三楼B17</t>
        </r>
      </text>
    </comment>
    <comment ref="AD59" authorId="0">
      <text>
        <r>
          <rPr>
            <b/>
            <sz val="16"/>
            <rFont val="宋体"/>
            <charset val="134"/>
          </rPr>
          <t>Administrator:</t>
        </r>
        <r>
          <rPr>
            <sz val="16"/>
            <rFont val="宋体"/>
            <charset val="134"/>
          </rPr>
          <t xml:space="preserve">
12/23上 客供价格贴纸 885 pcs</t>
        </r>
      </text>
    </comment>
    <comment ref="AB60" authorId="0">
      <text>
        <r>
          <rPr>
            <b/>
            <sz val="16"/>
            <rFont val="宋体"/>
            <charset val="134"/>
          </rPr>
          <t>Administrator:</t>
        </r>
        <r>
          <rPr>
            <sz val="16"/>
            <rFont val="宋体"/>
            <charset val="134"/>
          </rPr>
          <t xml:space="preserve">
0001138 1/18 600 pcs 华兴三楼B4</t>
        </r>
      </text>
    </comment>
    <comment ref="AD60" authorId="0">
      <text>
        <r>
          <rPr>
            <b/>
            <sz val="16"/>
            <rFont val="宋体"/>
            <charset val="134"/>
          </rPr>
          <t>Administrator:</t>
        </r>
        <r>
          <rPr>
            <sz val="16"/>
            <rFont val="宋体"/>
            <charset val="134"/>
          </rPr>
          <t xml:space="preserve">
12/23上 客供价格贴纸 660 pcs</t>
        </r>
      </text>
    </comment>
    <comment ref="AB61" authorId="0">
      <text>
        <r>
          <rPr>
            <b/>
            <sz val="14"/>
            <rFont val="宋体"/>
            <charset val="134"/>
          </rPr>
          <t>Administrator:</t>
        </r>
        <r>
          <rPr>
            <sz val="14"/>
            <rFont val="宋体"/>
            <charset val="134"/>
          </rPr>
          <t xml:space="preserve">
00001165 1/22 2400 pcs 华兴三楼B10</t>
        </r>
      </text>
    </comment>
    <comment ref="AD61" authorId="0">
      <text>
        <r>
          <rPr>
            <b/>
            <sz val="16"/>
            <rFont val="宋体"/>
            <charset val="134"/>
          </rPr>
          <t>Administrator:</t>
        </r>
        <r>
          <rPr>
            <sz val="16"/>
            <rFont val="宋体"/>
            <charset val="134"/>
          </rPr>
          <t xml:space="preserve">
1/10上 客供价格贴纸 2640 pcs</t>
        </r>
      </text>
    </comment>
    <comment ref="AB62" authorId="0">
      <text>
        <r>
          <rPr>
            <b/>
            <sz val="16"/>
            <rFont val="宋体"/>
            <charset val="134"/>
          </rPr>
          <t>Administrator:</t>
        </r>
        <r>
          <rPr>
            <sz val="16"/>
            <rFont val="宋体"/>
            <charset val="134"/>
          </rPr>
          <t xml:space="preserve">
0001158 1/21 2796 pcs 华兴三楼A28</t>
        </r>
      </text>
    </comment>
    <comment ref="AD62" authorId="0">
      <text>
        <r>
          <rPr>
            <b/>
            <sz val="16"/>
            <rFont val="宋体"/>
            <charset val="134"/>
          </rPr>
          <t>Administrator:</t>
        </r>
        <r>
          <rPr>
            <sz val="16"/>
            <rFont val="宋体"/>
            <charset val="134"/>
          </rPr>
          <t xml:space="preserve">
1/10上 客供价格贴纸 3076 pcs</t>
        </r>
      </text>
    </comment>
    <comment ref="AB63" authorId="0">
      <text>
        <r>
          <rPr>
            <b/>
            <sz val="16"/>
            <rFont val="宋体"/>
            <charset val="134"/>
          </rPr>
          <t>Administrator:</t>
        </r>
        <r>
          <rPr>
            <sz val="16"/>
            <rFont val="宋体"/>
            <charset val="134"/>
          </rPr>
          <t xml:space="preserve">
0001161 1/22 708 pcs 华兴三楼B4</t>
        </r>
      </text>
    </comment>
    <comment ref="AD63" authorId="0">
      <text>
        <r>
          <rPr>
            <b/>
            <sz val="16"/>
            <rFont val="宋体"/>
            <charset val="134"/>
          </rPr>
          <t>Administrator:</t>
        </r>
        <r>
          <rPr>
            <sz val="16"/>
            <rFont val="宋体"/>
            <charset val="134"/>
          </rPr>
          <t xml:space="preserve">
12/25上 德语法语callout贴纸 708 pcs</t>
        </r>
      </text>
    </comment>
    <comment ref="AB64" authorId="0">
      <text>
        <r>
          <rPr>
            <b/>
            <sz val="16"/>
            <rFont val="宋体"/>
            <charset val="134"/>
          </rPr>
          <t>Administrator:</t>
        </r>
        <r>
          <rPr>
            <sz val="16"/>
            <rFont val="宋体"/>
            <charset val="134"/>
          </rPr>
          <t xml:space="preserve">
0001158 1/21 1464 pcs 华兴三楼A28
0001161 1/22 540 pcs A28</t>
        </r>
      </text>
    </comment>
    <comment ref="AD64" authorId="0">
      <text>
        <r>
          <rPr>
            <b/>
            <sz val="16"/>
            <rFont val="宋体"/>
            <charset val="134"/>
          </rPr>
          <t>Administrator:</t>
        </r>
        <r>
          <rPr>
            <sz val="16"/>
            <rFont val="宋体"/>
            <charset val="134"/>
          </rPr>
          <t xml:space="preserve">
1/10上 客供价格贴纸 2205 pcs</t>
        </r>
      </text>
    </comment>
    <comment ref="AB65" authorId="0">
      <text>
        <r>
          <rPr>
            <b/>
            <sz val="16"/>
            <rFont val="宋体"/>
            <charset val="134"/>
          </rPr>
          <t>Administrator:</t>
        </r>
        <r>
          <rPr>
            <sz val="16"/>
            <rFont val="宋体"/>
            <charset val="134"/>
          </rPr>
          <t xml:space="preserve">
0001161 1/22 2400 pcs 华兴三楼B3</t>
        </r>
      </text>
    </comment>
    <comment ref="AD65" authorId="0">
      <text>
        <r>
          <rPr>
            <b/>
            <sz val="16"/>
            <rFont val="宋体"/>
            <charset val="134"/>
          </rPr>
          <t>Administrator:</t>
        </r>
        <r>
          <rPr>
            <sz val="16"/>
            <rFont val="宋体"/>
            <charset val="134"/>
          </rPr>
          <t xml:space="preserve">
1/10上 客供价格贴纸 2640 pcs</t>
        </r>
      </text>
    </comment>
    <comment ref="AB66" authorId="0">
      <text>
        <r>
          <rPr>
            <b/>
            <sz val="16"/>
            <rFont val="宋体"/>
            <charset val="134"/>
          </rPr>
          <t>Administrator:</t>
        </r>
        <r>
          <rPr>
            <sz val="16"/>
            <rFont val="宋体"/>
            <charset val="134"/>
          </rPr>
          <t xml:space="preserve">
0000732 2/6 2460 pcs 华兴三楼A23</t>
        </r>
      </text>
    </comment>
    <comment ref="AD66" authorId="0">
      <text>
        <r>
          <rPr>
            <b/>
            <sz val="16"/>
            <rFont val="宋体"/>
            <charset val="134"/>
          </rPr>
          <t>Administrator:</t>
        </r>
        <r>
          <rPr>
            <sz val="16"/>
            <rFont val="宋体"/>
            <charset val="134"/>
          </rPr>
          <t xml:space="preserve">
1/6上 UCC外箱贴纸 205 pcs
1/3上 客供价格贴纸 2623 pcs</t>
        </r>
      </text>
    </comment>
    <comment ref="AB67" authorId="0">
      <text>
        <r>
          <rPr>
            <b/>
            <sz val="16"/>
            <rFont val="宋体"/>
            <charset val="134"/>
          </rPr>
          <t>Administrator:</t>
        </r>
        <r>
          <rPr>
            <sz val="16"/>
            <rFont val="宋体"/>
            <charset val="134"/>
          </rPr>
          <t xml:space="preserve">
0001211 2/14 2460 pcs 华兴三楼B17</t>
        </r>
      </text>
    </comment>
    <comment ref="AD67" authorId="0">
      <text>
        <r>
          <rPr>
            <b/>
            <sz val="16"/>
            <rFont val="宋体"/>
            <charset val="134"/>
          </rPr>
          <t>Administrator:</t>
        </r>
        <r>
          <rPr>
            <sz val="16"/>
            <rFont val="宋体"/>
            <charset val="134"/>
          </rPr>
          <t xml:space="preserve">
1/6上 UCC外箱贴纸 205 pcs
1/3上 客供价格贴纸 2623 pcs</t>
        </r>
      </text>
    </comment>
    <comment ref="AB68" authorId="0">
      <text>
        <r>
          <rPr>
            <b/>
            <sz val="16"/>
            <rFont val="宋体"/>
            <charset val="134"/>
          </rPr>
          <t>Administrator:</t>
        </r>
        <r>
          <rPr>
            <sz val="16"/>
            <rFont val="宋体"/>
            <charset val="134"/>
          </rPr>
          <t xml:space="preserve">
0001211 2/14 3000 pcs 华兴三楼A24</t>
        </r>
      </text>
    </comment>
    <comment ref="AD68" authorId="0">
      <text>
        <r>
          <rPr>
            <b/>
            <sz val="16"/>
            <rFont val="宋体"/>
            <charset val="134"/>
          </rPr>
          <t>Administrator:</t>
        </r>
        <r>
          <rPr>
            <sz val="16"/>
            <rFont val="宋体"/>
            <charset val="134"/>
          </rPr>
          <t xml:space="preserve">
12/25上 德语法语callout贴纸 3000 pcs</t>
        </r>
      </text>
    </comment>
    <comment ref="AB69" authorId="0">
      <text>
        <r>
          <rPr>
            <b/>
            <sz val="16"/>
            <rFont val="宋体"/>
            <charset val="134"/>
          </rPr>
          <t>Administrator:</t>
        </r>
        <r>
          <rPr>
            <sz val="16"/>
            <rFont val="宋体"/>
            <charset val="134"/>
          </rPr>
          <t xml:space="preserve">
0001244 2/18 2400 pcs 华兴三楼B15</t>
        </r>
      </text>
    </comment>
    <comment ref="AD69" authorId="0">
      <text>
        <r>
          <rPr>
            <b/>
            <sz val="16"/>
            <rFont val="宋体"/>
            <charset val="134"/>
          </rPr>
          <t>Administrator:</t>
        </r>
        <r>
          <rPr>
            <sz val="16"/>
            <rFont val="宋体"/>
            <charset val="134"/>
          </rPr>
          <t xml:space="preserve">
2/7上 客供价格贴纸 2520 pcs</t>
        </r>
      </text>
    </comment>
    <comment ref="AB70" authorId="0">
      <text>
        <r>
          <rPr>
            <b/>
            <sz val="16"/>
            <rFont val="宋体"/>
            <charset val="134"/>
          </rPr>
          <t>Administrator:</t>
        </r>
        <r>
          <rPr>
            <sz val="16"/>
            <rFont val="宋体"/>
            <charset val="134"/>
          </rPr>
          <t xml:space="preserve">
0001244 2/18 352 pcs 华兴三楼B8</t>
        </r>
      </text>
    </comment>
    <comment ref="AD70" authorId="0">
      <text>
        <r>
          <rPr>
            <b/>
            <sz val="16"/>
            <rFont val="宋体"/>
            <charset val="134"/>
          </rPr>
          <t>Administrator:</t>
        </r>
        <r>
          <rPr>
            <sz val="16"/>
            <rFont val="宋体"/>
            <charset val="134"/>
          </rPr>
          <t xml:space="preserve">
1/18上 客供亚马逊外箱贴纸 88 pcs
</t>
        </r>
      </text>
    </comment>
    <comment ref="AB71" authorId="0">
      <text>
        <r>
          <rPr>
            <b/>
            <sz val="16"/>
            <rFont val="宋体"/>
            <charset val="134"/>
          </rPr>
          <t>Administrator:</t>
        </r>
        <r>
          <rPr>
            <sz val="16"/>
            <rFont val="宋体"/>
            <charset val="134"/>
          </rPr>
          <t xml:space="preserve">
0001244 2/18 16 pcs华兴三楼B8
</t>
        </r>
      </text>
    </comment>
    <comment ref="AD71" authorId="0">
      <text>
        <r>
          <rPr>
            <b/>
            <sz val="16"/>
            <rFont val="宋体"/>
            <charset val="134"/>
          </rPr>
          <t>Administrator:</t>
        </r>
        <r>
          <rPr>
            <sz val="16"/>
            <rFont val="宋体"/>
            <charset val="134"/>
          </rPr>
          <t xml:space="preserve">
1/18上 客供亚马逊外箱贴纸 4 pcs
</t>
        </r>
      </text>
    </comment>
    <comment ref="AB72" authorId="0">
      <text>
        <r>
          <rPr>
            <b/>
            <sz val="16"/>
            <rFont val="宋体"/>
            <charset val="134"/>
          </rPr>
          <t>Administrator:</t>
        </r>
        <r>
          <rPr>
            <sz val="16"/>
            <rFont val="宋体"/>
            <charset val="134"/>
          </rPr>
          <t xml:space="preserve">
0001244 2/18 16 pcs华兴三楼B8
</t>
        </r>
      </text>
    </comment>
    <comment ref="AD72" authorId="0">
      <text>
        <r>
          <rPr>
            <b/>
            <sz val="16"/>
            <rFont val="宋体"/>
            <charset val="134"/>
          </rPr>
          <t>Administrator:</t>
        </r>
        <r>
          <rPr>
            <sz val="16"/>
            <rFont val="宋体"/>
            <charset val="134"/>
          </rPr>
          <t xml:space="preserve">
1/18上 客供亚马逊外箱贴纸 88 pcs
</t>
        </r>
      </text>
    </comment>
    <comment ref="AB73" authorId="0">
      <text>
        <r>
          <rPr>
            <b/>
            <sz val="16"/>
            <rFont val="宋体"/>
            <charset val="134"/>
          </rPr>
          <t>Administrator:</t>
        </r>
        <r>
          <rPr>
            <sz val="16"/>
            <rFont val="宋体"/>
            <charset val="134"/>
          </rPr>
          <t xml:space="preserve">
0001244 2/18 144 pcs华兴三楼B8
</t>
        </r>
      </text>
    </comment>
    <comment ref="AD73" authorId="0">
      <text>
        <r>
          <rPr>
            <b/>
            <sz val="16"/>
            <rFont val="宋体"/>
            <charset val="134"/>
          </rPr>
          <t>Administrator:</t>
        </r>
        <r>
          <rPr>
            <sz val="16"/>
            <rFont val="宋体"/>
            <charset val="134"/>
          </rPr>
          <t xml:space="preserve">
1/18上 客供亚马逊外箱贴纸 36 pcs
</t>
        </r>
      </text>
    </comment>
    <comment ref="AB74" authorId="0">
      <text>
        <r>
          <rPr>
            <b/>
            <sz val="16"/>
            <rFont val="宋体"/>
            <charset val="134"/>
          </rPr>
          <t>Administrator:</t>
        </r>
        <r>
          <rPr>
            <sz val="16"/>
            <rFont val="宋体"/>
            <charset val="134"/>
          </rPr>
          <t xml:space="preserve">
0001946 2/22 3926 pcs 三楼A23</t>
        </r>
      </text>
    </comment>
    <comment ref="AD74" authorId="0">
      <text>
        <r>
          <rPr>
            <b/>
            <sz val="16"/>
            <rFont val="宋体"/>
            <charset val="134"/>
          </rPr>
          <t>Administrator:</t>
        </r>
        <r>
          <rPr>
            <sz val="16"/>
            <rFont val="宋体"/>
            <charset val="134"/>
          </rPr>
          <t xml:space="preserve">
12/10上 客供RRFID贴纸 3926 pcs</t>
        </r>
      </text>
    </comment>
    <comment ref="AB75" authorId="0">
      <text>
        <r>
          <rPr>
            <b/>
            <sz val="16"/>
            <rFont val="宋体"/>
            <charset val="134"/>
          </rPr>
          <t>Administrator:</t>
        </r>
        <r>
          <rPr>
            <sz val="16"/>
            <rFont val="宋体"/>
            <charset val="134"/>
          </rPr>
          <t xml:space="preserve">
0001946 2/22 2406 pcs 华兴三楼A23</t>
        </r>
      </text>
    </comment>
    <comment ref="AD75" authorId="0">
      <text>
        <r>
          <rPr>
            <b/>
            <sz val="16"/>
            <rFont val="宋体"/>
            <charset val="134"/>
          </rPr>
          <t>Administrator:</t>
        </r>
        <r>
          <rPr>
            <sz val="16"/>
            <rFont val="宋体"/>
            <charset val="134"/>
          </rPr>
          <t xml:space="preserve">
12/10上 客供RRFID贴纸 2406 pcs</t>
        </r>
      </text>
    </comment>
    <comment ref="AB76" authorId="0">
      <text>
        <r>
          <rPr>
            <b/>
            <sz val="16"/>
            <rFont val="宋体"/>
            <charset val="134"/>
          </rPr>
          <t>Administrator:</t>
        </r>
        <r>
          <rPr>
            <sz val="16"/>
            <rFont val="宋体"/>
            <charset val="134"/>
          </rPr>
          <t xml:space="preserve">
0001306 2/25 408 pcs</t>
        </r>
      </text>
    </comment>
    <comment ref="AD76" authorId="0">
      <text>
        <r>
          <rPr>
            <b/>
            <sz val="16"/>
            <rFont val="宋体"/>
            <charset val="134"/>
          </rPr>
          <t>Administrator:</t>
        </r>
        <r>
          <rPr>
            <sz val="16"/>
            <rFont val="宋体"/>
            <charset val="134"/>
          </rPr>
          <t xml:space="preserve">
1/17上 进口商贴纸 408 pcs
 EAN贴纸408 pcs</t>
        </r>
      </text>
    </comment>
    <comment ref="AB77" authorId="0">
      <text>
        <r>
          <rPr>
            <b/>
            <sz val="16"/>
            <rFont val="宋体"/>
            <charset val="134"/>
          </rPr>
          <t>Administrator:</t>
        </r>
        <r>
          <rPr>
            <sz val="16"/>
            <rFont val="宋体"/>
            <charset val="134"/>
          </rPr>
          <t xml:space="preserve">
0001355 2/28 996 pcs 华兴三楼A16</t>
        </r>
      </text>
    </comment>
    <comment ref="AB78" authorId="0">
      <text>
        <r>
          <rPr>
            <b/>
            <sz val="16"/>
            <rFont val="宋体"/>
            <charset val="134"/>
          </rPr>
          <t>Administrator:</t>
        </r>
        <r>
          <rPr>
            <sz val="16"/>
            <rFont val="宋体"/>
            <charset val="134"/>
          </rPr>
          <t xml:space="preserve">
0001355 2/28 2940 pcs 华兴三楼A30</t>
        </r>
      </text>
    </comment>
    <comment ref="AD78" authorId="0">
      <text>
        <r>
          <rPr>
            <b/>
            <sz val="16"/>
            <rFont val="宋体"/>
            <charset val="134"/>
          </rPr>
          <t>Administrator:</t>
        </r>
        <r>
          <rPr>
            <sz val="16"/>
            <rFont val="宋体"/>
            <charset val="134"/>
          </rPr>
          <t xml:space="preserve">
12/10上 客供RRFID贴纸 2940 pcs</t>
        </r>
      </text>
    </comment>
    <comment ref="AB79" authorId="0">
      <text>
        <r>
          <rPr>
            <b/>
            <sz val="16"/>
            <rFont val="宋体"/>
            <charset val="134"/>
          </rPr>
          <t>Administrator:</t>
        </r>
        <r>
          <rPr>
            <sz val="16"/>
            <rFont val="宋体"/>
            <charset val="134"/>
          </rPr>
          <t xml:space="preserve">
0001355 2/28 1358 pcs 华兴三楼A30</t>
        </r>
      </text>
    </comment>
    <comment ref="AD79" authorId="0">
      <text>
        <r>
          <rPr>
            <b/>
            <sz val="16"/>
            <rFont val="宋体"/>
            <charset val="134"/>
          </rPr>
          <t>Administrator:</t>
        </r>
        <r>
          <rPr>
            <sz val="16"/>
            <rFont val="宋体"/>
            <charset val="134"/>
          </rPr>
          <t xml:space="preserve">
12/10上 客供RRFID贴纸1358 pcs</t>
        </r>
      </text>
    </comment>
    <comment ref="AB80" authorId="0">
      <text>
        <r>
          <rPr>
            <b/>
            <sz val="18"/>
            <rFont val="宋体"/>
            <charset val="134"/>
          </rPr>
          <t>Administrator:</t>
        </r>
        <r>
          <rPr>
            <sz val="18"/>
            <rFont val="宋体"/>
            <charset val="134"/>
          </rPr>
          <t xml:space="preserve">
0001583 3/6 3408 pcs 华兴三楼A24</t>
        </r>
      </text>
    </comment>
    <comment ref="AD80" authorId="0">
      <text>
        <r>
          <rPr>
            <b/>
            <sz val="16"/>
            <rFont val="宋体"/>
            <charset val="134"/>
          </rPr>
          <t>Administrator:</t>
        </r>
        <r>
          <rPr>
            <sz val="16"/>
            <rFont val="宋体"/>
            <charset val="134"/>
          </rPr>
          <t xml:space="preserve">
2/18上 客供价格贴纸 3579 pcs</t>
        </r>
      </text>
    </comment>
    <comment ref="AB81" authorId="0">
      <text>
        <r>
          <rPr>
            <b/>
            <sz val="16"/>
            <rFont val="宋体"/>
            <charset val="134"/>
          </rPr>
          <t>Administrator:</t>
        </r>
        <r>
          <rPr>
            <sz val="16"/>
            <rFont val="宋体"/>
            <charset val="134"/>
          </rPr>
          <t xml:space="preserve">
0001348 3/5 1704 pcs 华兴三楼B9</t>
        </r>
      </text>
    </comment>
    <comment ref="AD81" authorId="0">
      <text>
        <r>
          <rPr>
            <b/>
            <sz val="16"/>
            <rFont val="宋体"/>
            <charset val="134"/>
          </rPr>
          <t>Administrator:</t>
        </r>
        <r>
          <rPr>
            <sz val="16"/>
            <rFont val="宋体"/>
            <charset val="134"/>
          </rPr>
          <t xml:space="preserve">
2/18上 客供价格贴纸 1790 pcs</t>
        </r>
      </text>
    </comment>
    <comment ref="AB82" authorId="0">
      <text>
        <r>
          <rPr>
            <b/>
            <sz val="16"/>
            <rFont val="宋体"/>
            <charset val="134"/>
          </rPr>
          <t>Administrator:</t>
        </r>
        <r>
          <rPr>
            <sz val="16"/>
            <rFont val="宋体"/>
            <charset val="134"/>
          </rPr>
          <t xml:space="preserve">
0001576 3/5 468 pcs 华兴三楼B8</t>
        </r>
      </text>
    </comment>
    <comment ref="AD82" authorId="0">
      <text>
        <r>
          <rPr>
            <b/>
            <sz val="16"/>
            <rFont val="宋体"/>
            <charset val="134"/>
          </rPr>
          <t>Administrator:</t>
        </r>
        <r>
          <rPr>
            <sz val="16"/>
            <rFont val="宋体"/>
            <charset val="134"/>
          </rPr>
          <t xml:space="preserve">
2/13上 进口商贴纸 468 pcs</t>
        </r>
      </text>
    </comment>
    <comment ref="AB83" authorId="0">
      <text>
        <r>
          <rPr>
            <b/>
            <sz val="16"/>
            <rFont val="宋体"/>
            <charset val="134"/>
          </rPr>
          <t>Administrator:</t>
        </r>
        <r>
          <rPr>
            <sz val="16"/>
            <rFont val="宋体"/>
            <charset val="134"/>
          </rPr>
          <t xml:space="preserve">
0001585 3/7 1244 PCS 华兴三楼B16
0001395 3/7 2 pcs B16</t>
        </r>
      </text>
    </comment>
    <comment ref="AD83" authorId="0">
      <text>
        <r>
          <rPr>
            <b/>
            <sz val="16"/>
            <rFont val="宋体"/>
            <charset val="134"/>
          </rPr>
          <t>Administrator:</t>
        </r>
        <r>
          <rPr>
            <sz val="16"/>
            <rFont val="宋体"/>
            <charset val="134"/>
          </rPr>
          <t xml:space="preserve">
12/10上 客供RRFID贴纸 1246 pcs</t>
        </r>
      </text>
    </comment>
    <comment ref="AB84" authorId="0">
      <text>
        <r>
          <rPr>
            <b/>
            <sz val="16"/>
            <rFont val="宋体"/>
            <charset val="134"/>
          </rPr>
          <t>Administrator:</t>
        </r>
        <r>
          <rPr>
            <sz val="16"/>
            <rFont val="宋体"/>
            <charset val="134"/>
          </rPr>
          <t xml:space="preserve">
0001585 3/7 976 pcs 华兴三楼A28</t>
        </r>
      </text>
    </comment>
    <comment ref="AD84" authorId="0">
      <text>
        <r>
          <rPr>
            <b/>
            <sz val="16"/>
            <rFont val="宋体"/>
            <charset val="134"/>
          </rPr>
          <t>Administrator:</t>
        </r>
        <r>
          <rPr>
            <sz val="16"/>
            <rFont val="宋体"/>
            <charset val="134"/>
          </rPr>
          <t xml:space="preserve">
12/10上 客供RRFID贴纸 976 pcs</t>
        </r>
      </text>
    </comment>
    <comment ref="AB85" authorId="0">
      <text>
        <r>
          <rPr>
            <b/>
            <sz val="16"/>
            <rFont val="宋体"/>
            <charset val="134"/>
          </rPr>
          <t>Administrator:</t>
        </r>
        <r>
          <rPr>
            <sz val="16"/>
            <rFont val="宋体"/>
            <charset val="134"/>
          </rPr>
          <t xml:space="preserve">
0001585 3/7 1370 pcs 华兴三楼B16</t>
        </r>
      </text>
    </comment>
    <comment ref="AD85" authorId="0">
      <text>
        <r>
          <rPr>
            <b/>
            <sz val="16"/>
            <rFont val="宋体"/>
            <charset val="134"/>
          </rPr>
          <t>Administrator:</t>
        </r>
        <r>
          <rPr>
            <sz val="16"/>
            <rFont val="宋体"/>
            <charset val="134"/>
          </rPr>
          <t xml:space="preserve">
12/10上 客供RRFID贴纸 1370 pcs</t>
        </r>
      </text>
    </comment>
    <comment ref="AB86" authorId="0">
      <text>
        <r>
          <rPr>
            <b/>
            <sz val="16"/>
            <rFont val="宋体"/>
            <charset val="134"/>
          </rPr>
          <t>Administrator:</t>
        </r>
        <r>
          <rPr>
            <sz val="16"/>
            <rFont val="宋体"/>
            <charset val="134"/>
          </rPr>
          <t xml:space="preserve">
0001585 3/7 962 pcs 华兴三楼A28</t>
        </r>
      </text>
    </comment>
    <comment ref="AD86" authorId="0">
      <text>
        <r>
          <rPr>
            <b/>
            <sz val="16"/>
            <rFont val="宋体"/>
            <charset val="134"/>
          </rPr>
          <t>Administrator:</t>
        </r>
        <r>
          <rPr>
            <sz val="16"/>
            <rFont val="宋体"/>
            <charset val="134"/>
          </rPr>
          <t xml:space="preserve">
12/10上 客供RRFID贴纸 962 pcs</t>
        </r>
      </text>
    </comment>
    <comment ref="AB87" authorId="0">
      <text>
        <r>
          <rPr>
            <b/>
            <sz val="16"/>
            <rFont val="宋体"/>
            <charset val="134"/>
          </rPr>
          <t>Administrator:</t>
        </r>
        <r>
          <rPr>
            <sz val="16"/>
            <rFont val="宋体"/>
            <charset val="134"/>
          </rPr>
          <t xml:space="preserve">
0001482 3/17 1570 pcs 莫海军四楼-A5</t>
        </r>
      </text>
    </comment>
    <comment ref="AD87" authorId="0">
      <text>
        <r>
          <rPr>
            <b/>
            <sz val="16"/>
            <rFont val="宋体"/>
            <charset val="134"/>
          </rPr>
          <t>Administrator:</t>
        </r>
        <r>
          <rPr>
            <sz val="16"/>
            <rFont val="宋体"/>
            <charset val="134"/>
          </rPr>
          <t xml:space="preserve">
12/10上 客供RRFID贴纸 1570 pcs</t>
        </r>
      </text>
    </comment>
    <comment ref="AB88" authorId="0">
      <text>
        <r>
          <rPr>
            <b/>
            <sz val="16"/>
            <rFont val="宋体"/>
            <charset val="134"/>
          </rPr>
          <t>Administrator:</t>
        </r>
        <r>
          <rPr>
            <sz val="16"/>
            <rFont val="宋体"/>
            <charset val="134"/>
          </rPr>
          <t xml:space="preserve">
0001494 3/18 600 pcs 莫海军四楼B-9</t>
        </r>
      </text>
    </comment>
    <comment ref="AD88" authorId="0">
      <text>
        <r>
          <rPr>
            <b/>
            <sz val="16"/>
            <rFont val="宋体"/>
            <charset val="134"/>
          </rPr>
          <t>Administrator:</t>
        </r>
        <r>
          <rPr>
            <sz val="16"/>
            <rFont val="宋体"/>
            <charset val="134"/>
          </rPr>
          <t xml:space="preserve">
3/6上 客供价格贴纸 660 pcs</t>
        </r>
      </text>
    </comment>
    <comment ref="AB89" authorId="0">
      <text>
        <r>
          <rPr>
            <b/>
            <sz val="16"/>
            <rFont val="宋体"/>
            <charset val="134"/>
          </rPr>
          <t>Administrator:</t>
        </r>
        <r>
          <rPr>
            <sz val="16"/>
            <rFont val="宋体"/>
            <charset val="134"/>
          </rPr>
          <t xml:space="preserve">
0001494 3/18 600 pcs 莫海军四楼B-9</t>
        </r>
      </text>
    </comment>
    <comment ref="AD89" authorId="0">
      <text>
        <r>
          <rPr>
            <b/>
            <sz val="16"/>
            <rFont val="宋体"/>
            <charset val="134"/>
          </rPr>
          <t>Administrator:</t>
        </r>
        <r>
          <rPr>
            <sz val="16"/>
            <rFont val="宋体"/>
            <charset val="134"/>
          </rPr>
          <t xml:space="preserve">
3/6上 客供价格贴纸 660 pcs</t>
        </r>
      </text>
    </comment>
    <comment ref="AB90" authorId="0">
      <text>
        <r>
          <rPr>
            <b/>
            <sz val="16"/>
            <rFont val="宋体"/>
            <charset val="134"/>
          </rPr>
          <t>Administrator:</t>
        </r>
        <r>
          <rPr>
            <sz val="16"/>
            <rFont val="宋体"/>
            <charset val="134"/>
          </rPr>
          <t xml:space="preserve">
0001494 3/18 804 pcs 莫海军四楼B-9</t>
        </r>
      </text>
    </comment>
    <comment ref="AD90" authorId="0">
      <text>
        <r>
          <rPr>
            <b/>
            <sz val="16"/>
            <rFont val="宋体"/>
            <charset val="134"/>
          </rPr>
          <t>Administrator:</t>
        </r>
        <r>
          <rPr>
            <sz val="16"/>
            <rFont val="宋体"/>
            <charset val="134"/>
          </rPr>
          <t xml:space="preserve">
3/7上 客供价格贴纸 885 pcs</t>
        </r>
      </text>
    </comment>
    <comment ref="AB91" authorId="0">
      <text>
        <r>
          <rPr>
            <b/>
            <sz val="16"/>
            <rFont val="宋体"/>
            <charset val="134"/>
          </rPr>
          <t>Administrator:</t>
        </r>
        <r>
          <rPr>
            <sz val="16"/>
            <rFont val="宋体"/>
            <charset val="134"/>
          </rPr>
          <t xml:space="preserve">
0001494 3/18 804 pcs 莫海军四楼B-9</t>
        </r>
      </text>
    </comment>
    <comment ref="AD91" authorId="0">
      <text>
        <r>
          <rPr>
            <b/>
            <sz val="16"/>
            <rFont val="宋体"/>
            <charset val="134"/>
          </rPr>
          <t>Administrator:</t>
        </r>
        <r>
          <rPr>
            <sz val="16"/>
            <rFont val="宋体"/>
            <charset val="134"/>
          </rPr>
          <t xml:space="preserve">
3/7上 客供价格贴纸 885 pcs</t>
        </r>
      </text>
    </comment>
    <comment ref="AB92" authorId="0">
      <text>
        <r>
          <rPr>
            <b/>
            <sz val="16"/>
            <rFont val="宋体"/>
            <charset val="134"/>
          </rPr>
          <t>Administrator:</t>
        </r>
        <r>
          <rPr>
            <sz val="16"/>
            <rFont val="宋体"/>
            <charset val="134"/>
          </rPr>
          <t xml:space="preserve">
0001591 3/28 542 pcs 华兴三楼B11
0001892 3/31 2 pcs 华兴三楼B11
</t>
        </r>
      </text>
    </comment>
    <comment ref="AD92" authorId="0">
      <text>
        <r>
          <rPr>
            <b/>
            <sz val="16"/>
            <rFont val="宋体"/>
            <charset val="134"/>
          </rPr>
          <t>Administrator:</t>
        </r>
        <r>
          <rPr>
            <sz val="16"/>
            <rFont val="宋体"/>
            <charset val="134"/>
          </rPr>
          <t xml:space="preserve">
12/10上 客供RRFID贴纸 544 pcs</t>
        </r>
      </text>
    </comment>
    <comment ref="AB93" authorId="0">
      <text>
        <r>
          <rPr>
            <b/>
            <sz val="16"/>
            <rFont val="宋体"/>
            <charset val="134"/>
          </rPr>
          <t>Administrator:</t>
        </r>
        <r>
          <rPr>
            <sz val="16"/>
            <rFont val="宋体"/>
            <charset val="134"/>
          </rPr>
          <t xml:space="preserve">
0001591 3/28 1176 pcs 华兴三楼B11</t>
        </r>
      </text>
    </comment>
    <comment ref="AD93" authorId="0">
      <text>
        <r>
          <rPr>
            <b/>
            <sz val="16"/>
            <rFont val="宋体"/>
            <charset val="134"/>
          </rPr>
          <t>Administrator:</t>
        </r>
        <r>
          <rPr>
            <sz val="16"/>
            <rFont val="宋体"/>
            <charset val="134"/>
          </rPr>
          <t xml:space="preserve">
12/10上 客供RRFID贴纸 1176 pcs</t>
        </r>
      </text>
    </comment>
    <comment ref="AB94" authorId="0">
      <text>
        <r>
          <rPr>
            <b/>
            <sz val="16"/>
            <rFont val="宋体"/>
            <charset val="134"/>
          </rPr>
          <t>Administrator:</t>
        </r>
        <r>
          <rPr>
            <sz val="16"/>
            <rFont val="宋体"/>
            <charset val="134"/>
          </rPr>
          <t xml:space="preserve">
0001892 3/31 1170 pcs 华兴三楼B11</t>
        </r>
        <r>
          <rPr>
            <sz val="9"/>
            <rFont val="宋体"/>
            <charset val="134"/>
          </rPr>
          <t xml:space="preserve">
</t>
        </r>
      </text>
    </comment>
    <comment ref="AD94" authorId="0">
      <text>
        <r>
          <rPr>
            <b/>
            <sz val="16"/>
            <rFont val="宋体"/>
            <charset val="134"/>
          </rPr>
          <t>Administrator:</t>
        </r>
        <r>
          <rPr>
            <sz val="16"/>
            <rFont val="宋体"/>
            <charset val="134"/>
          </rPr>
          <t xml:space="preserve">
3/7上 EAN贴纸 1170 pcs</t>
        </r>
      </text>
    </comment>
    <comment ref="AB95" authorId="0">
      <text>
        <r>
          <rPr>
            <b/>
            <sz val="16"/>
            <rFont val="宋体"/>
            <charset val="134"/>
          </rPr>
          <t>Administrator:</t>
        </r>
        <r>
          <rPr>
            <sz val="16"/>
            <rFont val="宋体"/>
            <charset val="134"/>
          </rPr>
          <t xml:space="preserve">
0001918 3/28 1080 pcs 华兴三楼A32
0001892 3/31 1128 pcs 华兴三楼A32</t>
        </r>
      </text>
    </comment>
    <comment ref="AD95" authorId="0">
      <text>
        <r>
          <rPr>
            <b/>
            <sz val="16"/>
            <rFont val="宋体"/>
            <charset val="134"/>
          </rPr>
          <t>Administrator:</t>
        </r>
        <r>
          <rPr>
            <sz val="16"/>
            <rFont val="宋体"/>
            <charset val="134"/>
          </rPr>
          <t xml:space="preserve">
3/7上 德语/法语callout贴纸 2208 pcs</t>
        </r>
      </text>
    </comment>
    <comment ref="AB97" authorId="0">
      <text>
        <r>
          <rPr>
            <b/>
            <sz val="16"/>
            <rFont val="宋体"/>
            <charset val="134"/>
          </rPr>
          <t>Administrator:</t>
        </r>
        <r>
          <rPr>
            <sz val="16"/>
            <rFont val="宋体"/>
            <charset val="134"/>
          </rPr>
          <t xml:space="preserve">
0001651 4/21 600 pcs B四楼A7</t>
        </r>
      </text>
    </comment>
    <comment ref="AD97" authorId="0">
      <text>
        <r>
          <rPr>
            <b/>
            <sz val="16"/>
            <rFont val="宋体"/>
            <charset val="134"/>
          </rPr>
          <t>Administrator:</t>
        </r>
        <r>
          <rPr>
            <sz val="16"/>
            <rFont val="宋体"/>
            <charset val="134"/>
          </rPr>
          <t xml:space="preserve">
3/31上 客供价格贴纸 660 pcs</t>
        </r>
      </text>
    </comment>
    <comment ref="AB98" authorId="0">
      <text>
        <r>
          <rPr>
            <b/>
            <sz val="16"/>
            <rFont val="宋体"/>
            <charset val="134"/>
          </rPr>
          <t>Administrator:</t>
        </r>
        <r>
          <rPr>
            <sz val="16"/>
            <rFont val="宋体"/>
            <charset val="134"/>
          </rPr>
          <t xml:space="preserve">
0001673 4/17 600 pcs 华兴三楼B4</t>
        </r>
      </text>
    </comment>
    <comment ref="AD98" authorId="0">
      <text>
        <r>
          <rPr>
            <b/>
            <sz val="16"/>
            <rFont val="宋体"/>
            <charset val="134"/>
          </rPr>
          <t>Administrator:</t>
        </r>
        <r>
          <rPr>
            <sz val="16"/>
            <rFont val="宋体"/>
            <charset val="134"/>
          </rPr>
          <t xml:space="preserve">
3/31上 客供价格贴纸 660 pcs</t>
        </r>
      </text>
    </comment>
    <comment ref="AB99" authorId="0">
      <text>
        <r>
          <rPr>
            <b/>
            <sz val="16"/>
            <rFont val="宋体"/>
            <charset val="134"/>
          </rPr>
          <t>Administrator:</t>
        </r>
        <r>
          <rPr>
            <sz val="16"/>
            <rFont val="宋体"/>
            <charset val="134"/>
          </rPr>
          <t xml:space="preserve">
0001673 4/17 156 pcs 华兴三楼B4</t>
        </r>
      </text>
    </comment>
    <comment ref="AD99" authorId="0">
      <text>
        <r>
          <rPr>
            <b/>
            <sz val="16"/>
            <rFont val="宋体"/>
            <charset val="134"/>
          </rPr>
          <t>Administrator:</t>
        </r>
        <r>
          <rPr>
            <sz val="16"/>
            <rFont val="宋体"/>
            <charset val="134"/>
          </rPr>
          <t xml:space="preserve">
3/31上 客供价格贴纸 238 pcs</t>
        </r>
      </text>
    </comment>
    <comment ref="AB100" authorId="0">
      <text>
        <r>
          <rPr>
            <b/>
            <sz val="16"/>
            <rFont val="宋体"/>
            <charset val="134"/>
          </rPr>
          <t>Administrator:</t>
        </r>
        <r>
          <rPr>
            <sz val="16"/>
            <rFont val="宋体"/>
            <charset val="134"/>
          </rPr>
          <t xml:space="preserve">
0001673 4/17 216 pcs 华兴三楼B4</t>
        </r>
      </text>
    </comment>
    <comment ref="AD100" authorId="0">
      <text>
        <r>
          <rPr>
            <b/>
            <sz val="16"/>
            <rFont val="宋体"/>
            <charset val="134"/>
          </rPr>
          <t>Administrator:</t>
        </r>
        <r>
          <rPr>
            <sz val="16"/>
            <rFont val="宋体"/>
            <charset val="134"/>
          </rPr>
          <t xml:space="preserve">
3/31上 客供价格贴纸 238 pcs</t>
        </r>
      </text>
    </comment>
    <comment ref="AB101" authorId="0">
      <text>
        <r>
          <rPr>
            <b/>
            <sz val="16"/>
            <rFont val="宋体"/>
            <charset val="134"/>
          </rPr>
          <t>Administrator:</t>
        </r>
        <r>
          <rPr>
            <sz val="16"/>
            <rFont val="宋体"/>
            <charset val="134"/>
          </rPr>
          <t xml:space="preserve">
0001649 4/21 444 pcs B四楼A6</t>
        </r>
      </text>
    </comment>
    <comment ref="AD101" authorId="0">
      <text>
        <r>
          <rPr>
            <b/>
            <sz val="16"/>
            <rFont val="宋体"/>
            <charset val="134"/>
          </rPr>
          <t>Administrator:</t>
        </r>
        <r>
          <rPr>
            <sz val="16"/>
            <rFont val="宋体"/>
            <charset val="134"/>
          </rPr>
          <t xml:space="preserve">
3/31上 客供价格贴纸 489 pcs</t>
        </r>
      </text>
    </comment>
    <comment ref="AB102" authorId="0">
      <text>
        <r>
          <rPr>
            <b/>
            <sz val="16"/>
            <rFont val="宋体"/>
            <charset val="134"/>
          </rPr>
          <t>Administrator:</t>
        </r>
        <r>
          <rPr>
            <sz val="16"/>
            <rFont val="宋体"/>
            <charset val="134"/>
          </rPr>
          <t xml:space="preserve">
0001673 4/17 444 pcs 华兴三楼B4
</t>
        </r>
      </text>
    </comment>
    <comment ref="AD102" authorId="0">
      <text>
        <r>
          <rPr>
            <b/>
            <sz val="16"/>
            <rFont val="宋体"/>
            <charset val="134"/>
          </rPr>
          <t>Administrator:</t>
        </r>
        <r>
          <rPr>
            <sz val="16"/>
            <rFont val="宋体"/>
            <charset val="134"/>
          </rPr>
          <t xml:space="preserve">
3/31上 客供价格贴纸 489 pcs</t>
        </r>
      </text>
    </comment>
    <comment ref="AB103" authorId="0">
      <text>
        <r>
          <rPr>
            <b/>
            <sz val="16"/>
            <rFont val="宋体"/>
            <charset val="134"/>
          </rPr>
          <t>Administrator:</t>
        </r>
        <r>
          <rPr>
            <sz val="16"/>
            <rFont val="宋体"/>
            <charset val="134"/>
          </rPr>
          <t xml:space="preserve">
0001651 4/21 120 pcs B四楼B9</t>
        </r>
      </text>
    </comment>
    <comment ref="AB104" authorId="0">
      <text>
        <r>
          <rPr>
            <b/>
            <sz val="16"/>
            <rFont val="宋体"/>
            <charset val="134"/>
          </rPr>
          <t>Administrator:</t>
        </r>
        <r>
          <rPr>
            <sz val="16"/>
            <rFont val="宋体"/>
            <charset val="134"/>
          </rPr>
          <t xml:space="preserve">
0001673 4/17 120 pcs 华兴三楼B4
</t>
        </r>
      </text>
    </comment>
    <comment ref="AB105" authorId="0">
      <text>
        <r>
          <rPr>
            <b/>
            <sz val="16"/>
            <rFont val="宋体"/>
            <charset val="134"/>
          </rPr>
          <t>Administrator:</t>
        </r>
        <r>
          <rPr>
            <sz val="16"/>
            <rFont val="宋体"/>
            <charset val="134"/>
          </rPr>
          <t xml:space="preserve">
0001651 4/21 120 pcs B四楼B9</t>
        </r>
      </text>
    </comment>
    <comment ref="AB106" authorId="0">
      <text>
        <r>
          <rPr>
            <b/>
            <sz val="16"/>
            <rFont val="宋体"/>
            <charset val="134"/>
          </rPr>
          <t>Administrator:</t>
        </r>
        <r>
          <rPr>
            <sz val="16"/>
            <rFont val="宋体"/>
            <charset val="134"/>
          </rPr>
          <t xml:space="preserve">
0001673 4/17 120 pcs 华兴三楼B4
</t>
        </r>
      </text>
    </comment>
    <comment ref="AB107" authorId="0">
      <text>
        <r>
          <rPr>
            <b/>
            <sz val="16"/>
            <rFont val="宋体"/>
            <charset val="134"/>
          </rPr>
          <t>Administrator:</t>
        </r>
        <r>
          <rPr>
            <sz val="16"/>
            <rFont val="宋体"/>
            <charset val="134"/>
          </rPr>
          <t xml:space="preserve">
0001651 4/21 96 pcs B四楼B9</t>
        </r>
      </text>
    </comment>
    <comment ref="AB108" authorId="0">
      <text>
        <r>
          <rPr>
            <b/>
            <sz val="16"/>
            <rFont val="宋体"/>
            <charset val="134"/>
          </rPr>
          <t>Administrator:</t>
        </r>
        <r>
          <rPr>
            <sz val="16"/>
            <rFont val="宋体"/>
            <charset val="134"/>
          </rPr>
          <t xml:space="preserve">
0001673 4/17 96 pcs 华兴三楼B4
</t>
        </r>
      </text>
    </comment>
    <comment ref="AB109" authorId="0">
      <text>
        <r>
          <rPr>
            <b/>
            <sz val="16"/>
            <rFont val="宋体"/>
            <charset val="134"/>
          </rPr>
          <t>Administrator:</t>
        </r>
        <r>
          <rPr>
            <sz val="16"/>
            <rFont val="宋体"/>
            <charset val="134"/>
          </rPr>
          <t xml:space="preserve">
0001673 4/17 156 pcs 华兴三楼B4</t>
        </r>
      </text>
    </comment>
    <comment ref="AD109" authorId="0">
      <text>
        <r>
          <rPr>
            <b/>
            <sz val="16"/>
            <rFont val="宋体"/>
            <charset val="134"/>
          </rPr>
          <t>Administrator:</t>
        </r>
        <r>
          <rPr>
            <sz val="16"/>
            <rFont val="宋体"/>
            <charset val="134"/>
          </rPr>
          <t xml:space="preserve">
3/31上 客供价格贴纸 172 pcs</t>
        </r>
      </text>
    </comment>
    <comment ref="AB110" authorId="0">
      <text>
        <r>
          <rPr>
            <b/>
            <sz val="16"/>
            <rFont val="宋体"/>
            <charset val="134"/>
          </rPr>
          <t>Administrator:</t>
        </r>
        <r>
          <rPr>
            <sz val="16"/>
            <rFont val="宋体"/>
            <charset val="134"/>
          </rPr>
          <t xml:space="preserve">
0001661 4/16 156 pcs 华兴三楼B7</t>
        </r>
      </text>
    </comment>
    <comment ref="AD110" authorId="0">
      <text>
        <r>
          <rPr>
            <b/>
            <sz val="16"/>
            <rFont val="宋体"/>
            <charset val="134"/>
          </rPr>
          <t>Administrator:</t>
        </r>
        <r>
          <rPr>
            <sz val="16"/>
            <rFont val="宋体"/>
            <charset val="134"/>
          </rPr>
          <t xml:space="preserve">
3/31上 客供价格贴纸 172 pcs</t>
        </r>
      </text>
    </comment>
    <comment ref="AB111" authorId="0">
      <text>
        <r>
          <rPr>
            <b/>
            <sz val="16"/>
            <rFont val="宋体"/>
            <charset val="134"/>
          </rPr>
          <t>Administrator:</t>
        </r>
        <r>
          <rPr>
            <sz val="16"/>
            <rFont val="宋体"/>
            <charset val="134"/>
          </rPr>
          <t xml:space="preserve">
0001651 4/21 600 pcs B四楼B9</t>
        </r>
      </text>
    </comment>
    <comment ref="AD111" authorId="0">
      <text>
        <r>
          <rPr>
            <b/>
            <sz val="16"/>
            <rFont val="宋体"/>
            <charset val="134"/>
          </rPr>
          <t>Administrator:</t>
        </r>
        <r>
          <rPr>
            <sz val="16"/>
            <rFont val="宋体"/>
            <charset val="134"/>
          </rPr>
          <t xml:space="preserve">
3/31上 客供价格贴纸 660 pcs</t>
        </r>
      </text>
    </comment>
    <comment ref="AB112" authorId="0">
      <text>
        <r>
          <rPr>
            <b/>
            <sz val="16"/>
            <rFont val="宋体"/>
            <charset val="134"/>
          </rPr>
          <t>Administrator:</t>
        </r>
        <r>
          <rPr>
            <sz val="16"/>
            <rFont val="宋体"/>
            <charset val="134"/>
          </rPr>
          <t xml:space="preserve">
0001673 4/17 600 pcs 华兴三楼B4
</t>
        </r>
      </text>
    </comment>
    <comment ref="AD112" authorId="0">
      <text>
        <r>
          <rPr>
            <b/>
            <sz val="16"/>
            <rFont val="宋体"/>
            <charset val="134"/>
          </rPr>
          <t>Administrator:</t>
        </r>
        <r>
          <rPr>
            <sz val="16"/>
            <rFont val="宋体"/>
            <charset val="134"/>
          </rPr>
          <t xml:space="preserve">
3/31上 客供价格贴纸 660 pcs</t>
        </r>
      </text>
    </comment>
    <comment ref="AB113" authorId="0">
      <text>
        <r>
          <rPr>
            <b/>
            <sz val="16"/>
            <rFont val="宋体"/>
            <charset val="134"/>
          </rPr>
          <t>Administrator:</t>
        </r>
        <r>
          <rPr>
            <sz val="16"/>
            <rFont val="宋体"/>
            <charset val="134"/>
          </rPr>
          <t xml:space="preserve">
0001651 4/21 216 pcs B四楼B9</t>
        </r>
      </text>
    </comment>
    <comment ref="AD113" authorId="0">
      <text>
        <r>
          <rPr>
            <b/>
            <sz val="16"/>
            <rFont val="宋体"/>
            <charset val="134"/>
          </rPr>
          <t>Administrator:</t>
        </r>
        <r>
          <rPr>
            <sz val="16"/>
            <rFont val="宋体"/>
            <charset val="134"/>
          </rPr>
          <t xml:space="preserve">
3/31上 客供价格贴纸 238 pcs</t>
        </r>
      </text>
    </comment>
    <comment ref="AB114" authorId="0">
      <text>
        <r>
          <rPr>
            <b/>
            <sz val="16"/>
            <rFont val="宋体"/>
            <charset val="134"/>
          </rPr>
          <t>Administrator:</t>
        </r>
        <r>
          <rPr>
            <sz val="16"/>
            <rFont val="宋体"/>
            <charset val="134"/>
          </rPr>
          <t xml:space="preserve">
0001673 4/17 216 pcs 华兴三楼B4
</t>
        </r>
      </text>
    </comment>
    <comment ref="AD114" authorId="0">
      <text>
        <r>
          <rPr>
            <b/>
            <sz val="16"/>
            <rFont val="宋体"/>
            <charset val="134"/>
          </rPr>
          <t>Administrator:</t>
        </r>
        <r>
          <rPr>
            <sz val="16"/>
            <rFont val="宋体"/>
            <charset val="134"/>
          </rPr>
          <t xml:space="preserve">
3/31上 客供价格贴纸 238 pcs</t>
        </r>
      </text>
    </comment>
    <comment ref="AB115" authorId="0">
      <text>
        <r>
          <rPr>
            <b/>
            <sz val="16"/>
            <rFont val="宋体"/>
            <charset val="134"/>
          </rPr>
          <t>Administrator:</t>
        </r>
        <r>
          <rPr>
            <sz val="16"/>
            <rFont val="宋体"/>
            <charset val="134"/>
          </rPr>
          <t xml:space="preserve">
0001792 4/28 804 pcs 华兴三楼A25</t>
        </r>
      </text>
    </comment>
    <comment ref="AD115" authorId="0">
      <text>
        <r>
          <rPr>
            <b/>
            <sz val="16"/>
            <rFont val="宋体"/>
            <charset val="134"/>
          </rPr>
          <t>Administrator:</t>
        </r>
        <r>
          <rPr>
            <sz val="16"/>
            <rFont val="宋体"/>
            <charset val="134"/>
          </rPr>
          <t xml:space="preserve">
4/1上 客供价格贴纸 885 pcs</t>
        </r>
      </text>
    </comment>
    <comment ref="AB116" authorId="0">
      <text>
        <r>
          <rPr>
            <b/>
            <sz val="16"/>
            <rFont val="宋体"/>
            <charset val="134"/>
          </rPr>
          <t>Administrator:</t>
        </r>
        <r>
          <rPr>
            <sz val="16"/>
            <rFont val="宋体"/>
            <charset val="134"/>
          </rPr>
          <t xml:space="preserve">
0001792 4/28 804 pcs 华兴三楼A25
</t>
        </r>
      </text>
    </comment>
    <comment ref="AD116" authorId="0">
      <text>
        <r>
          <rPr>
            <b/>
            <sz val="16"/>
            <rFont val="宋体"/>
            <charset val="134"/>
          </rPr>
          <t>Administrator:</t>
        </r>
        <r>
          <rPr>
            <sz val="16"/>
            <rFont val="宋体"/>
            <charset val="134"/>
          </rPr>
          <t xml:space="preserve">
4/1上 客供价格贴纸 885 pcs</t>
        </r>
      </text>
    </comment>
    <comment ref="AB117" authorId="0">
      <text>
        <r>
          <rPr>
            <b/>
            <sz val="16"/>
            <rFont val="宋体"/>
            <charset val="134"/>
          </rPr>
          <t>Administrator:</t>
        </r>
        <r>
          <rPr>
            <sz val="16"/>
            <rFont val="宋体"/>
            <charset val="134"/>
          </rPr>
          <t xml:space="preserve">
0001792 4/28 600 pcs 华兴三楼A25
</t>
        </r>
      </text>
    </comment>
    <comment ref="AD117" authorId="0">
      <text>
        <r>
          <rPr>
            <b/>
            <sz val="16"/>
            <rFont val="宋体"/>
            <charset val="134"/>
          </rPr>
          <t>Administrator:</t>
        </r>
        <r>
          <rPr>
            <sz val="16"/>
            <rFont val="宋体"/>
            <charset val="134"/>
          </rPr>
          <t xml:space="preserve">
4/7上 客供价格贴纸 660 pcs</t>
        </r>
      </text>
    </comment>
    <comment ref="AB118" authorId="0">
      <text>
        <r>
          <rPr>
            <b/>
            <sz val="16"/>
            <rFont val="宋体"/>
            <charset val="134"/>
          </rPr>
          <t>Administrator:</t>
        </r>
        <r>
          <rPr>
            <sz val="16"/>
            <rFont val="宋体"/>
            <charset val="134"/>
          </rPr>
          <t xml:space="preserve">
0001792 4/28 600 pcs 华兴三楼A25
</t>
        </r>
      </text>
    </comment>
    <comment ref="AD118" authorId="0">
      <text>
        <r>
          <rPr>
            <b/>
            <sz val="16"/>
            <rFont val="宋体"/>
            <charset val="134"/>
          </rPr>
          <t>Administrator:</t>
        </r>
        <r>
          <rPr>
            <sz val="16"/>
            <rFont val="宋体"/>
            <charset val="134"/>
          </rPr>
          <t xml:space="preserve">
4/7上 客供价格贴纸 660 pcs</t>
        </r>
      </text>
    </comment>
    <comment ref="AB119" authorId="0">
      <text>
        <r>
          <rPr>
            <b/>
            <sz val="16"/>
            <rFont val="宋体"/>
            <charset val="134"/>
          </rPr>
          <t>Administrator:</t>
        </r>
        <r>
          <rPr>
            <sz val="16"/>
            <rFont val="宋体"/>
            <charset val="134"/>
          </rPr>
          <t xml:space="preserve">
0001768 4/30 576 pcs 华兴三楼B14
</t>
        </r>
      </text>
    </comment>
    <comment ref="AD119" authorId="0">
      <text>
        <r>
          <rPr>
            <b/>
            <sz val="16"/>
            <rFont val="宋体"/>
            <charset val="134"/>
          </rPr>
          <t>Administrator:</t>
        </r>
        <r>
          <rPr>
            <sz val="16"/>
            <rFont val="宋体"/>
            <charset val="134"/>
          </rPr>
          <t xml:space="preserve">
4/15上 进口商贴纸 576 pcs</t>
        </r>
      </text>
    </comment>
    <comment ref="AB120" authorId="0">
      <text>
        <r>
          <rPr>
            <b/>
            <sz val="16"/>
            <rFont val="宋体"/>
            <charset val="134"/>
          </rPr>
          <t>Administrator:</t>
        </r>
        <r>
          <rPr>
            <sz val="16"/>
            <rFont val="宋体"/>
            <charset val="134"/>
          </rPr>
          <t xml:space="preserve">
0001768 4/30 252 pcs 华兴三楼B14</t>
        </r>
      </text>
    </comment>
    <comment ref="AD120" authorId="0">
      <text>
        <r>
          <rPr>
            <b/>
            <sz val="16"/>
            <rFont val="宋体"/>
            <charset val="134"/>
          </rPr>
          <t>Administrator:</t>
        </r>
        <r>
          <rPr>
            <sz val="16"/>
            <rFont val="宋体"/>
            <charset val="134"/>
          </rPr>
          <t xml:space="preserve">
4/15上 进口商贴纸 252 pcs</t>
        </r>
      </text>
    </comment>
    <comment ref="AB121" authorId="0">
      <text>
        <r>
          <rPr>
            <b/>
            <sz val="16"/>
            <rFont val="宋体"/>
            <charset val="134"/>
          </rPr>
          <t>Administrator:</t>
        </r>
        <r>
          <rPr>
            <sz val="16"/>
            <rFont val="宋体"/>
            <charset val="134"/>
          </rPr>
          <t xml:space="preserve">
0001768 4/30 252 pcs 华兴三楼B12
</t>
        </r>
      </text>
    </comment>
    <comment ref="AD121" authorId="0">
      <text>
        <r>
          <rPr>
            <b/>
            <sz val="16"/>
            <rFont val="宋体"/>
            <charset val="134"/>
          </rPr>
          <t>Administrator:</t>
        </r>
        <r>
          <rPr>
            <sz val="16"/>
            <rFont val="宋体"/>
            <charset val="134"/>
          </rPr>
          <t xml:space="preserve">
4/15上 进口商贴纸 252 pcs</t>
        </r>
      </text>
    </comment>
    <comment ref="AB122" authorId="0">
      <text>
        <r>
          <rPr>
            <b/>
            <sz val="16"/>
            <rFont val="宋体"/>
            <charset val="134"/>
          </rPr>
          <t>Administrator:</t>
        </r>
        <r>
          <rPr>
            <sz val="16"/>
            <rFont val="宋体"/>
            <charset val="134"/>
          </rPr>
          <t xml:space="preserve">
0001768 4/30 600 pcs 华兴三楼A23
</t>
        </r>
      </text>
    </comment>
    <comment ref="AD122" authorId="0">
      <text>
        <r>
          <rPr>
            <b/>
            <sz val="16"/>
            <rFont val="宋体"/>
            <charset val="134"/>
          </rPr>
          <t>Administrator:</t>
        </r>
        <r>
          <rPr>
            <sz val="16"/>
            <rFont val="宋体"/>
            <charset val="134"/>
          </rPr>
          <t xml:space="preserve">
4/7上 客供价格贴纸 660 pcs</t>
        </r>
      </text>
    </comment>
    <comment ref="AB123" authorId="0">
      <text>
        <r>
          <rPr>
            <b/>
            <sz val="16"/>
            <rFont val="宋体"/>
            <charset val="134"/>
          </rPr>
          <t>Administrator:</t>
        </r>
        <r>
          <rPr>
            <sz val="16"/>
            <rFont val="宋体"/>
            <charset val="134"/>
          </rPr>
          <t xml:space="preserve">
2001067 5/8 600 pcs 华兴三楼A29</t>
        </r>
      </text>
    </comment>
    <comment ref="AD123" authorId="0">
      <text>
        <r>
          <rPr>
            <b/>
            <sz val="16"/>
            <rFont val="宋体"/>
            <charset val="134"/>
          </rPr>
          <t>Administrator:</t>
        </r>
        <r>
          <rPr>
            <sz val="16"/>
            <rFont val="宋体"/>
            <charset val="134"/>
          </rPr>
          <t xml:space="preserve">
4/7上 客供价格贴纸 660 pcs</t>
        </r>
      </text>
    </comment>
    <comment ref="AB124" authorId="0">
      <text>
        <r>
          <rPr>
            <b/>
            <sz val="16"/>
            <rFont val="宋体"/>
            <charset val="134"/>
          </rPr>
          <t>Administrator:</t>
        </r>
        <r>
          <rPr>
            <sz val="16"/>
            <rFont val="宋体"/>
            <charset val="134"/>
          </rPr>
          <t xml:space="preserve">
2001067 5/8 804 pcs 华兴三楼A29</t>
        </r>
      </text>
    </comment>
    <comment ref="AD124" authorId="0">
      <text>
        <r>
          <rPr>
            <b/>
            <sz val="16"/>
            <rFont val="宋体"/>
            <charset val="134"/>
          </rPr>
          <t>Administrator:</t>
        </r>
        <r>
          <rPr>
            <sz val="16"/>
            <rFont val="宋体"/>
            <charset val="134"/>
          </rPr>
          <t xml:space="preserve">
4/1上 客供价格贴纸 885 pcs</t>
        </r>
      </text>
    </comment>
    <comment ref="AB125" authorId="0">
      <text>
        <r>
          <rPr>
            <b/>
            <sz val="16"/>
            <rFont val="宋体"/>
            <charset val="134"/>
          </rPr>
          <t>Administrator:</t>
        </r>
        <r>
          <rPr>
            <sz val="16"/>
            <rFont val="宋体"/>
            <charset val="134"/>
          </rPr>
          <t xml:space="preserve">
2001067 5/8 804 pcs 华兴三楼A30</t>
        </r>
      </text>
    </comment>
    <comment ref="AD125" authorId="0">
      <text>
        <r>
          <rPr>
            <b/>
            <sz val="16"/>
            <rFont val="宋体"/>
            <charset val="134"/>
          </rPr>
          <t>Administrator:</t>
        </r>
        <r>
          <rPr>
            <sz val="16"/>
            <rFont val="宋体"/>
            <charset val="134"/>
          </rPr>
          <t xml:space="preserve">
4/1上 客供价格贴纸 885 pcs</t>
        </r>
      </text>
    </comment>
    <comment ref="AB126" authorId="0">
      <text>
        <r>
          <rPr>
            <b/>
            <sz val="16"/>
            <rFont val="宋体"/>
            <charset val="134"/>
          </rPr>
          <t>Administrator:</t>
        </r>
        <r>
          <rPr>
            <sz val="16"/>
            <rFont val="宋体"/>
            <charset val="134"/>
          </rPr>
          <t xml:space="preserve">
2001074 5/8 1300 pcs 华兴B3</t>
        </r>
      </text>
    </comment>
    <comment ref="AB127" authorId="0">
      <text>
        <r>
          <rPr>
            <b/>
            <sz val="16"/>
            <rFont val="宋体"/>
            <charset val="134"/>
          </rPr>
          <t>Administrator:</t>
        </r>
        <r>
          <rPr>
            <sz val="16"/>
            <rFont val="宋体"/>
            <charset val="134"/>
          </rPr>
          <t xml:space="preserve">
2001084 5/8 700 pcs 华兴三楼B4</t>
        </r>
      </text>
    </comment>
    <comment ref="AB128" authorId="0">
      <text>
        <r>
          <rPr>
            <b/>
            <sz val="16"/>
            <rFont val="宋体"/>
            <charset val="134"/>
          </rPr>
          <t>Administrator:</t>
        </r>
        <r>
          <rPr>
            <sz val="16"/>
            <rFont val="宋体"/>
            <charset val="134"/>
          </rPr>
          <t xml:space="preserve">
2001205 5/15 360 pcs 华兴三楼B17</t>
        </r>
      </text>
    </comment>
    <comment ref="AD128" authorId="0">
      <text>
        <r>
          <rPr>
            <b/>
            <sz val="16"/>
            <rFont val="宋体"/>
            <charset val="134"/>
          </rPr>
          <t>Administrator:</t>
        </r>
        <r>
          <rPr>
            <sz val="16"/>
            <rFont val="宋体"/>
            <charset val="134"/>
          </rPr>
          <t xml:space="preserve">
4/16上 EAN/客人进口商贴纸 360 pcs
4/21上 带干电池走货北欧六语通用黑白电池说明书 360 pcs</t>
        </r>
      </text>
    </comment>
    <comment ref="AB129" authorId="0">
      <text>
        <r>
          <rPr>
            <b/>
            <sz val="16"/>
            <rFont val="宋体"/>
            <charset val="134"/>
          </rPr>
          <t>Administrator:</t>
        </r>
        <r>
          <rPr>
            <sz val="16"/>
            <rFont val="宋体"/>
            <charset val="134"/>
          </rPr>
          <t xml:space="preserve">
2001205 5/15 360 pcs 华兴三楼B17</t>
        </r>
      </text>
    </comment>
    <comment ref="AD129" authorId="0">
      <text>
        <r>
          <rPr>
            <b/>
            <sz val="16"/>
            <rFont val="宋体"/>
            <charset val="134"/>
          </rPr>
          <t>Administrator:</t>
        </r>
        <r>
          <rPr>
            <sz val="16"/>
            <rFont val="宋体"/>
            <charset val="134"/>
          </rPr>
          <t xml:space="preserve">
4/16上 EAN/客人进口商贴纸 360 pcs
4/21上 带干电池走货北欧六语通用黑白电池说明书 360 pcs</t>
        </r>
      </text>
    </comment>
    <comment ref="AB130" authorId="0">
      <text>
        <r>
          <rPr>
            <b/>
            <sz val="16"/>
            <rFont val="宋体"/>
            <charset val="134"/>
          </rPr>
          <t>Administrator:</t>
        </r>
        <r>
          <rPr>
            <sz val="16"/>
            <rFont val="宋体"/>
            <charset val="134"/>
          </rPr>
          <t xml:space="preserve">
2000983 5/17 198 pcs B栋四楼C8</t>
        </r>
      </text>
    </comment>
    <comment ref="AD130" authorId="0">
      <text>
        <r>
          <rPr>
            <b/>
            <sz val="16"/>
            <rFont val="宋体"/>
            <charset val="134"/>
          </rPr>
          <t>Administrator:</t>
        </r>
        <r>
          <rPr>
            <sz val="16"/>
            <rFont val="宋体"/>
            <charset val="134"/>
          </rPr>
          <t xml:space="preserve">
5/9上 EAN条码贴纸 198 pcs
 黑白说明书 198 pcs
 北欧六语通用带电池出货黑白电池说明书 198 pcs</t>
        </r>
      </text>
    </comment>
    <comment ref="AB131" authorId="0">
      <text>
        <r>
          <rPr>
            <b/>
            <sz val="16"/>
            <rFont val="宋体"/>
            <charset val="134"/>
          </rPr>
          <t>Administrator:</t>
        </r>
        <r>
          <rPr>
            <sz val="16"/>
            <rFont val="宋体"/>
            <charset val="134"/>
          </rPr>
          <t xml:space="preserve">
2000983 5/17 198 pcs B栋四楼C8</t>
        </r>
      </text>
    </comment>
    <comment ref="AD131" authorId="0">
      <text>
        <r>
          <rPr>
            <b/>
            <sz val="16"/>
            <rFont val="宋体"/>
            <charset val="134"/>
          </rPr>
          <t>Administrator:</t>
        </r>
        <r>
          <rPr>
            <sz val="16"/>
            <rFont val="宋体"/>
            <charset val="134"/>
          </rPr>
          <t xml:space="preserve">
5/9上 EAN条码贴纸 198 pcs
 黑白说明书 198 pcs
 北欧六语通用带电池出货黑白电池说明书 198 pcs</t>
        </r>
      </text>
    </comment>
    <comment ref="AB132" authorId="0">
      <text>
        <r>
          <rPr>
            <b/>
            <sz val="16"/>
            <rFont val="宋体"/>
            <charset val="134"/>
          </rPr>
          <t>Administrator:</t>
        </r>
        <r>
          <rPr>
            <sz val="16"/>
            <rFont val="宋体"/>
            <charset val="134"/>
          </rPr>
          <t xml:space="preserve">
2000983 5/17 198 pcs B栋四楼C8</t>
        </r>
      </text>
    </comment>
    <comment ref="AD132" authorId="0">
      <text>
        <r>
          <rPr>
            <b/>
            <sz val="16"/>
            <rFont val="宋体"/>
            <charset val="134"/>
          </rPr>
          <t>Administrator:</t>
        </r>
        <r>
          <rPr>
            <sz val="16"/>
            <rFont val="宋体"/>
            <charset val="134"/>
          </rPr>
          <t xml:space="preserve">
5/9上 EAN条码贴纸 198 pcs
 黑白说明书 198 pcs
 北欧六语通用带电池出货黑白电池说明书 198 pcs</t>
        </r>
      </text>
    </comment>
    <comment ref="AB133" authorId="0">
      <text>
        <r>
          <rPr>
            <b/>
            <sz val="16"/>
            <rFont val="宋体"/>
            <charset val="134"/>
          </rPr>
          <t>Administrator:</t>
        </r>
        <r>
          <rPr>
            <sz val="16"/>
            <rFont val="宋体"/>
            <charset val="134"/>
          </rPr>
          <t xml:space="preserve">
2001004 5/19 504 pcs 华兴三楼A14</t>
        </r>
      </text>
    </comment>
    <comment ref="AD133" authorId="0">
      <text>
        <r>
          <rPr>
            <b/>
            <sz val="14"/>
            <rFont val="宋体"/>
            <charset val="134"/>
          </rPr>
          <t>Administrator:</t>
        </r>
        <r>
          <rPr>
            <sz val="14"/>
            <rFont val="宋体"/>
            <charset val="134"/>
          </rPr>
          <t xml:space="preserve">
4/21上 进口商贴纸 504 pcs</t>
        </r>
      </text>
    </comment>
    <comment ref="AB134" authorId="0">
      <text>
        <r>
          <rPr>
            <b/>
            <sz val="16"/>
            <rFont val="宋体"/>
            <charset val="134"/>
          </rPr>
          <t>Administrator:</t>
        </r>
        <r>
          <rPr>
            <sz val="16"/>
            <rFont val="宋体"/>
            <charset val="134"/>
          </rPr>
          <t xml:space="preserve">
2000983 5/17 504 pcsB栋四楼C8
</t>
        </r>
      </text>
    </comment>
    <comment ref="AD134" authorId="0">
      <text>
        <r>
          <rPr>
            <b/>
            <sz val="14"/>
            <rFont val="宋体"/>
            <charset val="134"/>
          </rPr>
          <t>Administrator:</t>
        </r>
        <r>
          <rPr>
            <sz val="14"/>
            <rFont val="宋体"/>
            <charset val="134"/>
          </rPr>
          <t xml:space="preserve">
4/21上 进口商贴纸 504 pcs</t>
        </r>
      </text>
    </comment>
    <comment ref="AB135" authorId="0">
      <text>
        <r>
          <rPr>
            <b/>
            <sz val="16"/>
            <rFont val="宋体"/>
            <charset val="134"/>
          </rPr>
          <t>Administrator:</t>
        </r>
        <r>
          <rPr>
            <sz val="16"/>
            <rFont val="宋体"/>
            <charset val="134"/>
          </rPr>
          <t xml:space="preserve">
2001004 5/19 120 pcs 华兴三楼A14
</t>
        </r>
      </text>
    </comment>
    <comment ref="AD135" authorId="0">
      <text>
        <r>
          <rPr>
            <b/>
            <sz val="14"/>
            <rFont val="宋体"/>
            <charset val="134"/>
          </rPr>
          <t>Administrator:</t>
        </r>
        <r>
          <rPr>
            <sz val="14"/>
            <rFont val="宋体"/>
            <charset val="134"/>
          </rPr>
          <t xml:space="preserve">
4/21上 EAN贴纸 120 pcs 
 带干电池走货北欧六语通用黑白电池说明书 120 pcs</t>
        </r>
      </text>
    </comment>
    <comment ref="AB136" authorId="0">
      <text>
        <r>
          <rPr>
            <b/>
            <sz val="16"/>
            <rFont val="宋体"/>
            <charset val="134"/>
          </rPr>
          <t>Administrator:</t>
        </r>
        <r>
          <rPr>
            <sz val="16"/>
            <rFont val="宋体"/>
            <charset val="134"/>
          </rPr>
          <t xml:space="preserve">
2001004 5/19 120 pcs 华兴三楼A14
</t>
        </r>
      </text>
    </comment>
    <comment ref="AD136" authorId="0">
      <text>
        <r>
          <rPr>
            <b/>
            <sz val="14"/>
            <rFont val="宋体"/>
            <charset val="134"/>
          </rPr>
          <t>Administrator:</t>
        </r>
        <r>
          <rPr>
            <sz val="14"/>
            <rFont val="宋体"/>
            <charset val="134"/>
          </rPr>
          <t xml:space="preserve">
4/21上 EAN贴纸 120 pcs 
 带干电池走货北欧六语通用黑白电池说明书 120 pcs</t>
        </r>
      </text>
    </comment>
    <comment ref="AB137" authorId="0">
      <text>
        <r>
          <rPr>
            <b/>
            <sz val="16"/>
            <rFont val="宋体"/>
            <charset val="134"/>
          </rPr>
          <t>Administrator:</t>
        </r>
        <r>
          <rPr>
            <sz val="16"/>
            <rFont val="宋体"/>
            <charset val="134"/>
          </rPr>
          <t xml:space="preserve">
2001004 5/19 120 pcs 华兴三楼A14
</t>
        </r>
      </text>
    </comment>
    <comment ref="AD137" authorId="0">
      <text>
        <r>
          <rPr>
            <b/>
            <sz val="14"/>
            <rFont val="宋体"/>
            <charset val="134"/>
          </rPr>
          <t>Administrator:</t>
        </r>
        <r>
          <rPr>
            <sz val="14"/>
            <rFont val="宋体"/>
            <charset val="134"/>
          </rPr>
          <t xml:space="preserve">
4/21上 EAN贴纸 120 pcs 
 带干电池走货北欧六语通用黑白电池说明书 120 pcs</t>
        </r>
      </text>
    </comment>
    <comment ref="AB138" authorId="0">
      <text>
        <r>
          <rPr>
            <b/>
            <sz val="16"/>
            <rFont val="宋体"/>
            <charset val="134"/>
          </rPr>
          <t>Administrator:</t>
        </r>
        <r>
          <rPr>
            <sz val="16"/>
            <rFont val="宋体"/>
            <charset val="134"/>
          </rPr>
          <t xml:space="preserve">
2000880 5/20 1200 pcs 华兴三楼A31</t>
        </r>
      </text>
    </comment>
    <comment ref="AD138" authorId="0">
      <text>
        <r>
          <rPr>
            <b/>
            <sz val="16"/>
            <rFont val="宋体"/>
            <charset val="134"/>
          </rPr>
          <t>Administrator:</t>
        </r>
        <r>
          <rPr>
            <sz val="16"/>
            <rFont val="宋体"/>
            <charset val="134"/>
          </rPr>
          <t xml:space="preserve">
4/21上 德语/法语callout含法国贴纸 1200 pcs</t>
        </r>
      </text>
    </comment>
    <comment ref="AB139" authorId="0">
      <text>
        <r>
          <rPr>
            <b/>
            <sz val="14"/>
            <rFont val="宋体"/>
            <charset val="134"/>
          </rPr>
          <t>Administrator:</t>
        </r>
        <r>
          <rPr>
            <sz val="14"/>
            <rFont val="宋体"/>
            <charset val="134"/>
          </rPr>
          <t xml:space="preserve">
2000905 5/22 1002 pcs</t>
        </r>
      </text>
    </comment>
    <comment ref="AB140" authorId="0">
      <text>
        <r>
          <rPr>
            <b/>
            <sz val="16"/>
            <rFont val="宋体"/>
            <charset val="134"/>
          </rPr>
          <t>Administrator:</t>
        </r>
        <r>
          <rPr>
            <sz val="16"/>
            <rFont val="宋体"/>
            <charset val="134"/>
          </rPr>
          <t xml:space="preserve">
2000667 5/28 12 pcs B3      
2000684 5/28 1488 pcs 华兴三楼B3</t>
        </r>
      </text>
    </comment>
    <comment ref="AD140" authorId="0">
      <text>
        <r>
          <rPr>
            <b/>
            <sz val="16"/>
            <rFont val="宋体"/>
            <charset val="134"/>
          </rPr>
          <t>Administrator:</t>
        </r>
        <r>
          <rPr>
            <sz val="16"/>
            <rFont val="宋体"/>
            <charset val="134"/>
          </rPr>
          <t xml:space="preserve">
5/14上 德语/法语callout贴纸 1500 pcs</t>
        </r>
      </text>
    </comment>
    <comment ref="AB141" authorId="0">
      <text>
        <r>
          <rPr>
            <b/>
            <sz val="16"/>
            <rFont val="宋体"/>
            <charset val="134"/>
          </rPr>
          <t>Administrator:</t>
        </r>
        <r>
          <rPr>
            <sz val="16"/>
            <rFont val="宋体"/>
            <charset val="134"/>
          </rPr>
          <t xml:space="preserve">
2000667 5/28 504 pcs 华兴三楼B5</t>
        </r>
      </text>
    </comment>
    <comment ref="AD141" authorId="0">
      <text>
        <r>
          <rPr>
            <b/>
            <sz val="16"/>
            <rFont val="宋体"/>
            <charset val="134"/>
          </rPr>
          <t>Administrator:</t>
        </r>
        <r>
          <rPr>
            <sz val="16"/>
            <rFont val="宋体"/>
            <charset val="134"/>
          </rPr>
          <t xml:space="preserve">
5/14上 德语/法语callout贴纸 504 pcs</t>
        </r>
      </text>
    </comment>
    <comment ref="AB142" authorId="0">
      <text>
        <r>
          <rPr>
            <b/>
            <sz val="16"/>
            <rFont val="宋体"/>
            <charset val="134"/>
          </rPr>
          <t>Administrator:</t>
        </r>
        <r>
          <rPr>
            <sz val="16"/>
            <rFont val="宋体"/>
            <charset val="134"/>
          </rPr>
          <t xml:space="preserve">
0001903 4/1 816 pcs 华兴三楼A28
0001909 4/2 1440 pcs A28</t>
        </r>
      </text>
    </comment>
    <comment ref="AD142" authorId="0">
      <text>
        <r>
          <rPr>
            <b/>
            <sz val="16"/>
            <rFont val="宋体"/>
            <charset val="134"/>
          </rPr>
          <t>Administrator:</t>
        </r>
        <r>
          <rPr>
            <sz val="16"/>
            <rFont val="宋体"/>
            <charset val="134"/>
          </rPr>
          <t xml:space="preserve">
3/24上 客供价格贴纸 2369 pcs</t>
        </r>
      </text>
    </comment>
    <comment ref="AB143" authorId="0">
      <text>
        <r>
          <rPr>
            <b/>
            <sz val="14"/>
            <rFont val="宋体"/>
            <charset val="134"/>
          </rPr>
          <t>Administrator:</t>
        </r>
        <r>
          <rPr>
            <sz val="14"/>
            <rFont val="宋体"/>
            <charset val="134"/>
          </rPr>
          <t xml:space="preserve">
2002415 6/4 300 pcs 一楼A2</t>
        </r>
      </text>
    </comment>
    <comment ref="AB144" authorId="0">
      <text>
        <r>
          <rPr>
            <b/>
            <sz val="14"/>
            <rFont val="宋体"/>
            <charset val="134"/>
          </rPr>
          <t>Administrator:</t>
        </r>
        <r>
          <rPr>
            <sz val="14"/>
            <rFont val="宋体"/>
            <charset val="134"/>
          </rPr>
          <t xml:space="preserve">
2002264 6/10 708 pcs  华兴三楼A16</t>
        </r>
      </text>
    </comment>
    <comment ref="AD144" authorId="0">
      <text>
        <r>
          <rPr>
            <b/>
            <sz val="14"/>
            <rFont val="宋体"/>
            <charset val="134"/>
          </rPr>
          <t>Administrator:</t>
        </r>
        <r>
          <rPr>
            <sz val="14"/>
            <rFont val="宋体"/>
            <charset val="134"/>
          </rPr>
          <t xml:space="preserve">
5/20上 德语/法语callout贴纸  708 pcs
WEEE电池通用30L说明书 708 pcs</t>
        </r>
      </text>
    </comment>
    <comment ref="AB145" authorId="0">
      <text>
        <r>
          <rPr>
            <b/>
            <sz val="14"/>
            <rFont val="宋体"/>
            <charset val="134"/>
          </rPr>
          <t>Administrator:</t>
        </r>
        <r>
          <rPr>
            <sz val="14"/>
            <rFont val="宋体"/>
            <charset val="134"/>
          </rPr>
          <t xml:space="preserve">
2002220 6/13 1500 pcs 华兴三楼B3</t>
        </r>
      </text>
    </comment>
    <comment ref="AD145" authorId="0">
      <text>
        <r>
          <rPr>
            <b/>
            <sz val="14"/>
            <rFont val="宋体"/>
            <charset val="134"/>
          </rPr>
          <t>Administrator:</t>
        </r>
        <r>
          <rPr>
            <sz val="14"/>
            <rFont val="宋体"/>
            <charset val="134"/>
          </rPr>
          <t xml:space="preserve">
5/20上 德语/法语callout贴纸  1500 pcs
WEEE电池通用30L说明书 1500 pcs</t>
        </r>
      </text>
    </comment>
    <comment ref="AB146" authorId="0">
      <text>
        <r>
          <rPr>
            <b/>
            <sz val="14"/>
            <rFont val="宋体"/>
            <charset val="134"/>
          </rPr>
          <t>Administrator:</t>
        </r>
        <r>
          <rPr>
            <sz val="14"/>
            <rFont val="宋体"/>
            <charset val="134"/>
          </rPr>
          <t xml:space="preserve">
2002220 6/13 504 pcs 华兴三楼A15</t>
        </r>
      </text>
    </comment>
    <comment ref="AB147" authorId="0">
      <text>
        <r>
          <rPr>
            <b/>
            <sz val="14"/>
            <rFont val="宋体"/>
            <charset val="134"/>
          </rPr>
          <t>Administrator:</t>
        </r>
        <r>
          <rPr>
            <sz val="14"/>
            <rFont val="宋体"/>
            <charset val="134"/>
          </rPr>
          <t xml:space="preserve">
2002264 6/10 1800 pcs  华兴三楼B8 </t>
        </r>
      </text>
    </comment>
    <comment ref="AB148" authorId="0">
      <text>
        <r>
          <rPr>
            <b/>
            <sz val="14"/>
            <rFont val="宋体"/>
            <charset val="134"/>
          </rPr>
          <t>Administrator:</t>
        </r>
        <r>
          <rPr>
            <sz val="14"/>
            <rFont val="宋体"/>
            <charset val="134"/>
          </rPr>
          <t xml:space="preserve">
2002220 6/13 504 pcs 华兴三楼B9</t>
        </r>
      </text>
    </comment>
    <comment ref="AB149" authorId="0">
      <text>
        <r>
          <rPr>
            <b/>
            <sz val="16"/>
            <rFont val="宋体"/>
            <charset val="134"/>
          </rPr>
          <t>Administrator:</t>
        </r>
        <r>
          <rPr>
            <sz val="16"/>
            <rFont val="宋体"/>
            <charset val="134"/>
          </rPr>
          <t xml:space="preserve">
2001988 6/24 1200 pcs 新仓库3-C12</t>
        </r>
      </text>
    </comment>
    <comment ref="AB150" authorId="0">
      <text>
        <r>
          <rPr>
            <b/>
            <sz val="16"/>
            <rFont val="宋体"/>
            <charset val="134"/>
          </rPr>
          <t>Administrator:</t>
        </r>
        <r>
          <rPr>
            <sz val="16"/>
            <rFont val="宋体"/>
            <charset val="134"/>
          </rPr>
          <t xml:space="preserve">
2001988 6/24 216 pcs 新仓库3-C10</t>
        </r>
      </text>
    </comment>
    <comment ref="AB151" authorId="0">
      <text>
        <r>
          <rPr>
            <b/>
            <sz val="16"/>
            <rFont val="宋体"/>
            <charset val="134"/>
          </rPr>
          <t>Administrator:</t>
        </r>
        <r>
          <rPr>
            <sz val="16"/>
            <rFont val="宋体"/>
            <charset val="134"/>
          </rPr>
          <t xml:space="preserve">
3001869 6/24 204 pcs 新仓库3-B11</t>
        </r>
      </text>
    </comment>
    <comment ref="AB152" authorId="0">
      <text>
        <r>
          <rPr>
            <b/>
            <sz val="16"/>
            <rFont val="宋体"/>
            <charset val="134"/>
          </rPr>
          <t>Administrator:</t>
        </r>
        <r>
          <rPr>
            <sz val="16"/>
            <rFont val="宋体"/>
            <charset val="134"/>
          </rPr>
          <t xml:space="preserve">
3001869 6/24 360 pcs 新仓库3-B11
</t>
        </r>
      </text>
    </comment>
    <comment ref="AB153" authorId="0">
      <text>
        <r>
          <rPr>
            <b/>
            <sz val="16"/>
            <rFont val="宋体"/>
            <charset val="134"/>
          </rPr>
          <t>Administrator:</t>
        </r>
        <r>
          <rPr>
            <sz val="16"/>
            <rFont val="宋体"/>
            <charset val="134"/>
          </rPr>
          <t xml:space="preserve">
3001869 6/24 240 pcs 已走货</t>
        </r>
      </text>
    </comment>
    <comment ref="AB154" authorId="0">
      <text>
        <r>
          <rPr>
            <b/>
            <sz val="16"/>
            <rFont val="宋体"/>
            <charset val="134"/>
          </rPr>
          <t>Administrator:</t>
        </r>
        <r>
          <rPr>
            <sz val="16"/>
            <rFont val="宋体"/>
            <charset val="134"/>
          </rPr>
          <t xml:space="preserve">
3001869 6/24 180 pcs 新仓库3-B11
</t>
        </r>
      </text>
    </comment>
    <comment ref="AB155" authorId="0">
      <text>
        <r>
          <rPr>
            <b/>
            <sz val="18"/>
            <rFont val="宋体"/>
            <charset val="134"/>
          </rPr>
          <t>Administrator:</t>
        </r>
        <r>
          <rPr>
            <sz val="18"/>
            <rFont val="宋体"/>
            <charset val="134"/>
          </rPr>
          <t xml:space="preserve">
3001996 7/2 3600 pcs 莫B四楼C7</t>
        </r>
      </text>
    </comment>
    <comment ref="AD155" authorId="0">
      <text>
        <r>
          <rPr>
            <b/>
            <sz val="18"/>
            <rFont val="宋体"/>
            <charset val="134"/>
          </rPr>
          <t>Administrator:</t>
        </r>
        <r>
          <rPr>
            <sz val="18"/>
            <rFont val="宋体"/>
            <charset val="134"/>
          </rPr>
          <t xml:space="preserve">
6/21上 客供价格贴纸 3780 pcs</t>
        </r>
      </text>
    </comment>
    <comment ref="AB156" authorId="0">
      <text>
        <r>
          <rPr>
            <b/>
            <sz val="16"/>
            <rFont val="宋体"/>
            <charset val="134"/>
          </rPr>
          <t>Administrator:</t>
        </r>
        <r>
          <rPr>
            <sz val="16"/>
            <rFont val="宋体"/>
            <charset val="134"/>
          </rPr>
          <t xml:space="preserve">
6/27 3001779 360 pcs 华兴三楼B13</t>
        </r>
      </text>
    </comment>
    <comment ref="AB157" authorId="0">
      <text>
        <r>
          <rPr>
            <b/>
            <sz val="16"/>
            <rFont val="宋体"/>
            <charset val="134"/>
          </rPr>
          <t>Administrator:</t>
        </r>
        <r>
          <rPr>
            <sz val="16"/>
            <rFont val="宋体"/>
            <charset val="134"/>
          </rPr>
          <t xml:space="preserve">
6/27 3001779 240 pcs 华兴三楼B13
</t>
        </r>
      </text>
    </comment>
    <comment ref="AB158" authorId="0">
      <text>
        <r>
          <rPr>
            <b/>
            <sz val="16"/>
            <rFont val="宋体"/>
            <charset val="134"/>
          </rPr>
          <t>Administrator:</t>
        </r>
        <r>
          <rPr>
            <sz val="16"/>
            <rFont val="宋体"/>
            <charset val="134"/>
          </rPr>
          <t xml:space="preserve">
6/27 3001779 360 pcs 华兴三楼B13
</t>
        </r>
      </text>
    </comment>
    <comment ref="AB159" authorId="0">
      <text>
        <r>
          <rPr>
            <b/>
            <sz val="16"/>
            <rFont val="宋体"/>
            <charset val="134"/>
          </rPr>
          <t>Administrator:</t>
        </r>
        <r>
          <rPr>
            <sz val="16"/>
            <rFont val="宋体"/>
            <charset val="134"/>
          </rPr>
          <t xml:space="preserve">
3001564 7/2 804 pcs 莫B四楼B8</t>
        </r>
      </text>
    </comment>
    <comment ref="AD159" authorId="0">
      <text>
        <r>
          <rPr>
            <b/>
            <sz val="14"/>
            <rFont val="宋体"/>
            <charset val="134"/>
          </rPr>
          <t>Administrator:</t>
        </r>
        <r>
          <rPr>
            <sz val="14"/>
            <rFont val="宋体"/>
            <charset val="134"/>
          </rPr>
          <t xml:space="preserve">
6/13上 德语/法语callout含法国sorting logo 804 pcs</t>
        </r>
      </text>
    </comment>
    <comment ref="AB160" authorId="0">
      <text>
        <r>
          <rPr>
            <b/>
            <sz val="16"/>
            <rFont val="宋体"/>
            <charset val="134"/>
          </rPr>
          <t>Administrator:</t>
        </r>
        <r>
          <rPr>
            <sz val="16"/>
            <rFont val="宋体"/>
            <charset val="134"/>
          </rPr>
          <t xml:space="preserve">
3001661 7/9 504 pcs 新仓库三楼B8</t>
        </r>
      </text>
    </comment>
    <comment ref="AD160" authorId="0">
      <text>
        <r>
          <rPr>
            <b/>
            <sz val="16"/>
            <rFont val="宋体"/>
            <charset val="134"/>
          </rPr>
          <t>Administrator:</t>
        </r>
        <r>
          <rPr>
            <sz val="16"/>
            <rFont val="宋体"/>
            <charset val="134"/>
          </rPr>
          <t xml:space="preserve">
6/18上 客版西语说明书 504 pcs
6/24上 客供Hu贴纸（条码贴）42 pcs
 客供ASN贴纸 42 pcs
6/27上 价标贴纸 504 pcs
6/28上 进口商贴纸 504 pcs
 说明书贴纸 504 pcs
</t>
        </r>
      </text>
    </comment>
    <comment ref="AB161" authorId="0">
      <text>
        <r>
          <rPr>
            <b/>
            <sz val="16"/>
            <rFont val="宋体"/>
            <charset val="134"/>
          </rPr>
          <t>Administrator:</t>
        </r>
        <r>
          <rPr>
            <sz val="16"/>
            <rFont val="宋体"/>
            <charset val="134"/>
          </rPr>
          <t xml:space="preserve">
3002548 7/21 2004 pcs 莫B四楼A5</t>
        </r>
      </text>
    </comment>
    <comment ref="AD161" authorId="0">
      <text>
        <r>
          <rPr>
            <b/>
            <sz val="16"/>
            <rFont val="宋体"/>
            <charset val="134"/>
          </rPr>
          <t>Administrator:</t>
        </r>
        <r>
          <rPr>
            <sz val="16"/>
            <rFont val="宋体"/>
            <charset val="134"/>
          </rPr>
          <t xml:space="preserve">
6/26上 德语/法语callout贴纸翻 2004 pcs
 WEEE声明通用30L说明书（带电池） 2004 pcs
7/9挪用别的订单 贴纸贴纸 3000 pcs
 备注：25251因更改电池盖，不够位置移印ZUTU贴纸，后改订地址贴纸来贴</t>
        </r>
      </text>
    </comment>
    <comment ref="AB162" authorId="0">
      <text>
        <r>
          <rPr>
            <b/>
            <sz val="16"/>
            <rFont val="宋体"/>
            <charset val="134"/>
          </rPr>
          <t>Administrator:</t>
        </r>
        <r>
          <rPr>
            <sz val="16"/>
            <rFont val="宋体"/>
            <charset val="134"/>
          </rPr>
          <t xml:space="preserve">
3002595 7/21 708 pcs 华兴三楼A16
</t>
        </r>
      </text>
    </comment>
    <comment ref="AD162" authorId="0">
      <text>
        <r>
          <rPr>
            <b/>
            <sz val="18"/>
            <rFont val="宋体"/>
            <charset val="134"/>
          </rPr>
          <t>Administrator:</t>
        </r>
        <r>
          <rPr>
            <sz val="18"/>
            <rFont val="宋体"/>
            <charset val="134"/>
          </rPr>
          <t xml:space="preserve">
6/20上 德语Callout/德意荷警语贴纸 708 pcs</t>
        </r>
      </text>
    </comment>
    <comment ref="AB163" authorId="0">
      <text>
        <r>
          <rPr>
            <b/>
            <sz val="18"/>
            <rFont val="宋体"/>
            <charset val="134"/>
          </rPr>
          <t>Administrator:</t>
        </r>
        <r>
          <rPr>
            <sz val="18"/>
            <rFont val="宋体"/>
            <charset val="134"/>
          </rPr>
          <t xml:space="preserve">
3002424 7/25 3000 pcs 莫B四楼A4</t>
        </r>
      </text>
    </comment>
    <comment ref="AD163" authorId="0">
      <text>
        <r>
          <rPr>
            <b/>
            <sz val="18"/>
            <rFont val="宋体"/>
            <charset val="134"/>
          </rPr>
          <t>Administrator:</t>
        </r>
        <r>
          <rPr>
            <sz val="18"/>
            <rFont val="宋体"/>
            <charset val="134"/>
          </rPr>
          <t xml:space="preserve">
6/20上 德语Callout/德意荷警语贴纸 3000 pcs</t>
        </r>
      </text>
    </comment>
    <comment ref="AB164" authorId="0">
      <text>
        <r>
          <rPr>
            <b/>
            <sz val="16"/>
            <rFont val="宋体"/>
            <charset val="134"/>
          </rPr>
          <t>Administrator:</t>
        </r>
        <r>
          <rPr>
            <sz val="16"/>
            <rFont val="宋体"/>
            <charset val="134"/>
          </rPr>
          <t xml:space="preserve">
3002105 7/26 1002 pcs 华兴三楼B5
</t>
        </r>
      </text>
    </comment>
    <comment ref="AB165" authorId="0">
      <text>
        <r>
          <rPr>
            <b/>
            <sz val="16"/>
            <rFont val="宋体"/>
            <charset val="134"/>
          </rPr>
          <t>Administrator:</t>
        </r>
        <r>
          <rPr>
            <sz val="16"/>
            <rFont val="宋体"/>
            <charset val="134"/>
          </rPr>
          <t xml:space="preserve">
3002040 7/30 1200 pcs</t>
        </r>
      </text>
    </comment>
    <comment ref="AD165" authorId="0">
      <text>
        <r>
          <rPr>
            <b/>
            <sz val="18"/>
            <rFont val="宋体"/>
            <charset val="134"/>
          </rPr>
          <t>Administrator:</t>
        </r>
        <r>
          <rPr>
            <sz val="18"/>
            <rFont val="宋体"/>
            <charset val="134"/>
          </rPr>
          <t xml:space="preserve">
7/16上 客供价格贴纸 1260 pcs</t>
        </r>
      </text>
    </comment>
    <comment ref="AB166" authorId="0">
      <text>
        <r>
          <rPr>
            <b/>
            <sz val="16"/>
            <rFont val="宋体"/>
            <charset val="134"/>
          </rPr>
          <t>Administrator:</t>
        </r>
        <r>
          <rPr>
            <sz val="16"/>
            <rFont val="宋体"/>
            <charset val="134"/>
          </rPr>
          <t xml:space="preserve">
3002308 8/8 528 pcs 华兴三楼B15</t>
        </r>
      </text>
    </comment>
    <comment ref="AD166" authorId="0">
      <text>
        <r>
          <rPr>
            <b/>
            <sz val="14"/>
            <rFont val="宋体"/>
            <charset val="134"/>
          </rPr>
          <t>Administrator:</t>
        </r>
        <r>
          <rPr>
            <sz val="14"/>
            <rFont val="宋体"/>
            <charset val="134"/>
          </rPr>
          <t xml:space="preserve">
7/15 上 黑白说明书 528 pcs
7/23上 UPC贴纸 528 pcs
 进口商贴纸 528 pcs
</t>
        </r>
      </text>
    </comment>
    <comment ref="AB167" authorId="0">
      <text>
        <r>
          <rPr>
            <b/>
            <sz val="16"/>
            <rFont val="宋体"/>
            <charset val="134"/>
          </rPr>
          <t>Administrator:</t>
        </r>
        <r>
          <rPr>
            <sz val="16"/>
            <rFont val="宋体"/>
            <charset val="134"/>
          </rPr>
          <t xml:space="preserve">
3002317 8/7 516 pcs 莫A一楼A7
3002303 8/8 12 pcs 莫A栋一楼</t>
        </r>
      </text>
    </comment>
    <comment ref="AD167" authorId="0">
      <text>
        <r>
          <rPr>
            <b/>
            <sz val="14"/>
            <rFont val="宋体"/>
            <charset val="134"/>
          </rPr>
          <t>Administrator:</t>
        </r>
        <r>
          <rPr>
            <sz val="14"/>
            <rFont val="宋体"/>
            <charset val="134"/>
          </rPr>
          <t xml:space="preserve">
7/15 上 黑白说明书 528 pcs
7/23上 UPC贴纸 528 pcs
 进口商贴纸 528 pcs
</t>
        </r>
      </text>
    </comment>
    <comment ref="AB168" authorId="0">
      <text>
        <r>
          <rPr>
            <b/>
            <sz val="16"/>
            <rFont val="宋体"/>
            <charset val="134"/>
          </rPr>
          <t>Administrator:</t>
        </r>
        <r>
          <rPr>
            <sz val="16"/>
            <rFont val="宋体"/>
            <charset val="134"/>
          </rPr>
          <t xml:space="preserve">
3002317 8/7 516 pcs 莫A一楼A7
3002303 8/8 12 pcs 莫A栋一楼</t>
        </r>
      </text>
    </comment>
    <comment ref="AD168" authorId="0">
      <text>
        <r>
          <rPr>
            <b/>
            <sz val="14"/>
            <rFont val="宋体"/>
            <charset val="134"/>
          </rPr>
          <t>Administrator:</t>
        </r>
        <r>
          <rPr>
            <sz val="14"/>
            <rFont val="宋体"/>
            <charset val="134"/>
          </rPr>
          <t xml:space="preserve">
7/15 上 黑白说明书 528 pcs
7/23上 UPC贴纸 528 pcs
 进口商贴纸 528 pcs
</t>
        </r>
      </text>
    </comment>
    <comment ref="AB169" authorId="0">
      <text>
        <r>
          <rPr>
            <b/>
            <sz val="16"/>
            <rFont val="宋体"/>
            <charset val="134"/>
          </rPr>
          <t>Administrator:</t>
        </r>
        <r>
          <rPr>
            <sz val="16"/>
            <rFont val="宋体"/>
            <charset val="134"/>
          </rPr>
          <t xml:space="preserve">
3002317 8/7 408 pcs 莫A一楼A6
</t>
        </r>
      </text>
    </comment>
    <comment ref="AD169" authorId="0">
      <text>
        <r>
          <rPr>
            <b/>
            <sz val="16"/>
            <rFont val="宋体"/>
            <charset val="134"/>
          </rPr>
          <t>Administrator:</t>
        </r>
        <r>
          <rPr>
            <sz val="16"/>
            <rFont val="宋体"/>
            <charset val="134"/>
          </rPr>
          <t xml:space="preserve">
7/10上 客供价格贴纸 408 pcs</t>
        </r>
      </text>
    </comment>
    <comment ref="AB170" authorId="0">
      <text>
        <r>
          <rPr>
            <b/>
            <sz val="16"/>
            <rFont val="宋体"/>
            <charset val="134"/>
          </rPr>
          <t>Administrator:</t>
        </r>
        <r>
          <rPr>
            <sz val="16"/>
            <rFont val="宋体"/>
            <charset val="134"/>
          </rPr>
          <t xml:space="preserve">
3002317 8/7 408 pcs 莫A一楼A6
</t>
        </r>
      </text>
    </comment>
    <comment ref="AD170" authorId="0">
      <text>
        <r>
          <rPr>
            <b/>
            <sz val="16"/>
            <rFont val="宋体"/>
            <charset val="134"/>
          </rPr>
          <t>Administrator:</t>
        </r>
        <r>
          <rPr>
            <sz val="16"/>
            <rFont val="宋体"/>
            <charset val="134"/>
          </rPr>
          <t xml:space="preserve">
7/10上 客供价格贴纸 408 pcs</t>
        </r>
      </text>
    </comment>
    <comment ref="AB171" authorId="0">
      <text>
        <r>
          <rPr>
            <b/>
            <sz val="16"/>
            <rFont val="宋体"/>
            <charset val="134"/>
          </rPr>
          <t>Administrator:</t>
        </r>
        <r>
          <rPr>
            <sz val="16"/>
            <rFont val="宋体"/>
            <charset val="134"/>
          </rPr>
          <t xml:space="preserve">
4000326 8/11 216 pcs 莫B四楼B1</t>
        </r>
      </text>
    </comment>
    <comment ref="AD171" authorId="0">
      <text>
        <r>
          <rPr>
            <b/>
            <sz val="16"/>
            <rFont val="宋体"/>
            <charset val="134"/>
          </rPr>
          <t>Administrator:</t>
        </r>
        <r>
          <rPr>
            <sz val="16"/>
            <rFont val="宋体"/>
            <charset val="134"/>
          </rPr>
          <t xml:space="preserve">
7/21上 进口商贴纸 216 pcs</t>
        </r>
      </text>
    </comment>
    <comment ref="AB172" authorId="0">
      <text>
        <r>
          <rPr>
            <b/>
            <sz val="16"/>
            <rFont val="宋体"/>
            <charset val="134"/>
          </rPr>
          <t>Administrator:</t>
        </r>
        <r>
          <rPr>
            <sz val="16"/>
            <rFont val="宋体"/>
            <charset val="134"/>
          </rPr>
          <t xml:space="preserve">
4000326 8/11 324 pcs 莫B四楼A2</t>
        </r>
      </text>
    </comment>
    <comment ref="AD172" authorId="0">
      <text>
        <r>
          <rPr>
            <b/>
            <sz val="16"/>
            <rFont val="宋体"/>
            <charset val="134"/>
          </rPr>
          <t>Administrator:</t>
        </r>
        <r>
          <rPr>
            <sz val="16"/>
            <rFont val="宋体"/>
            <charset val="134"/>
          </rPr>
          <t xml:space="preserve">
7/21上 进口商贴纸 324 pcs</t>
        </r>
      </text>
    </comment>
    <comment ref="AB173" authorId="0">
      <text>
        <r>
          <rPr>
            <b/>
            <sz val="16"/>
            <rFont val="宋体"/>
            <charset val="134"/>
          </rPr>
          <t>Administrator:</t>
        </r>
        <r>
          <rPr>
            <sz val="16"/>
            <rFont val="宋体"/>
            <charset val="134"/>
          </rPr>
          <t xml:space="preserve">
4000326 8/11 252 pcs 莫B四楼A2
</t>
        </r>
      </text>
    </comment>
    <comment ref="AD173" authorId="0">
      <text>
        <r>
          <rPr>
            <b/>
            <sz val="16"/>
            <rFont val="宋体"/>
            <charset val="134"/>
          </rPr>
          <t>Administrator:</t>
        </r>
        <r>
          <rPr>
            <sz val="16"/>
            <rFont val="宋体"/>
            <charset val="134"/>
          </rPr>
          <t xml:space="preserve">
7/21上 进口商贴纸 252 pcs</t>
        </r>
      </text>
    </comment>
    <comment ref="AB174" authorId="0">
      <text>
        <r>
          <rPr>
            <b/>
            <sz val="16"/>
            <rFont val="宋体"/>
            <charset val="134"/>
          </rPr>
          <t>Administrator:</t>
        </r>
        <r>
          <rPr>
            <sz val="16"/>
            <rFont val="宋体"/>
            <charset val="134"/>
          </rPr>
          <t xml:space="preserve">
4000523 8/14 3696 pcs 华兴三楼A22</t>
        </r>
      </text>
    </comment>
    <comment ref="AD174" authorId="0">
      <text>
        <r>
          <rPr>
            <b/>
            <sz val="16"/>
            <rFont val="宋体"/>
            <charset val="134"/>
          </rPr>
          <t>Administrator:</t>
        </r>
        <r>
          <rPr>
            <sz val="16"/>
            <rFont val="宋体"/>
            <charset val="134"/>
          </rPr>
          <t xml:space="preserve">
8/7上 客供价格贴纸 3881 pcs</t>
        </r>
      </text>
    </comment>
    <comment ref="AB175" authorId="0">
      <text>
        <r>
          <rPr>
            <b/>
            <sz val="16"/>
            <rFont val="宋体"/>
            <charset val="134"/>
          </rPr>
          <t>Administrator:</t>
        </r>
        <r>
          <rPr>
            <sz val="16"/>
            <rFont val="宋体"/>
            <charset val="134"/>
          </rPr>
          <t xml:space="preserve">
4000558 8/16 1008 pcs 华兴三楼B14</t>
        </r>
      </text>
    </comment>
    <comment ref="AD175" authorId="0">
      <text>
        <r>
          <rPr>
            <b/>
            <sz val="16"/>
            <rFont val="宋体"/>
            <charset val="134"/>
          </rPr>
          <t>Administrator:</t>
        </r>
        <r>
          <rPr>
            <sz val="16"/>
            <rFont val="宋体"/>
            <charset val="134"/>
          </rPr>
          <t xml:space="preserve">
7/29上 德语/法语callout贴纸 1008 pcs</t>
        </r>
      </text>
    </comment>
    <comment ref="AB176" authorId="0">
      <text>
        <r>
          <rPr>
            <b/>
            <sz val="16"/>
            <rFont val="宋体"/>
            <charset val="134"/>
          </rPr>
          <t>Administrator:</t>
        </r>
        <r>
          <rPr>
            <sz val="16"/>
            <rFont val="宋体"/>
            <charset val="134"/>
          </rPr>
          <t xml:space="preserve">
4000523 8/14 1092 pcs 华兴三楼A28</t>
        </r>
      </text>
    </comment>
    <comment ref="AD176" authorId="0">
      <text>
        <r>
          <rPr>
            <b/>
            <sz val="16"/>
            <rFont val="宋体"/>
            <charset val="134"/>
          </rPr>
          <t>Administrator:</t>
        </r>
        <r>
          <rPr>
            <sz val="16"/>
            <rFont val="宋体"/>
            <charset val="134"/>
          </rPr>
          <t xml:space="preserve">
7/30上 进口商贴纸 1092 pcs
 EAN条码贴纸 1092 pcs</t>
        </r>
      </text>
    </comment>
    <comment ref="AB177" authorId="0">
      <text>
        <r>
          <rPr>
            <b/>
            <sz val="16"/>
            <rFont val="宋体"/>
            <charset val="134"/>
          </rPr>
          <t>Administrator:</t>
        </r>
        <r>
          <rPr>
            <sz val="16"/>
            <rFont val="宋体"/>
            <charset val="134"/>
          </rPr>
          <t xml:space="preserve">
4000523 8/14 468 pcs 华兴三楼A28</t>
        </r>
      </text>
    </comment>
    <comment ref="AD177" authorId="0">
      <text>
        <r>
          <rPr>
            <b/>
            <sz val="16"/>
            <rFont val="宋体"/>
            <charset val="134"/>
          </rPr>
          <t>Administrator:</t>
        </r>
        <r>
          <rPr>
            <sz val="16"/>
            <rFont val="宋体"/>
            <charset val="134"/>
          </rPr>
          <t xml:space="preserve">
7/30上 进口商贴纸 468 pcs
 EAN条码贴纸 468 pcs</t>
        </r>
      </text>
    </comment>
    <comment ref="AB178" authorId="0">
      <text>
        <r>
          <rPr>
            <b/>
            <sz val="16"/>
            <rFont val="宋体"/>
            <charset val="134"/>
          </rPr>
          <t>Administrator:</t>
        </r>
        <r>
          <rPr>
            <sz val="16"/>
            <rFont val="宋体"/>
            <charset val="134"/>
          </rPr>
          <t xml:space="preserve">
4000552 8/15 36 pcs 华兴三楼B15</t>
        </r>
      </text>
    </comment>
    <comment ref="AD178" authorId="0">
      <text>
        <r>
          <rPr>
            <b/>
            <sz val="16"/>
            <rFont val="宋体"/>
            <charset val="134"/>
          </rPr>
          <t>Administrator:</t>
        </r>
        <r>
          <rPr>
            <sz val="16"/>
            <rFont val="宋体"/>
            <charset val="134"/>
          </rPr>
          <t xml:space="preserve">
7/21上 进口商贴纸 36 pcs</t>
        </r>
      </text>
    </comment>
    <comment ref="AB179" authorId="0">
      <text>
        <r>
          <rPr>
            <b/>
            <sz val="16"/>
            <rFont val="宋体"/>
            <charset val="134"/>
          </rPr>
          <t>Administrator:</t>
        </r>
        <r>
          <rPr>
            <sz val="16"/>
            <rFont val="宋体"/>
            <charset val="134"/>
          </rPr>
          <t xml:space="preserve">
4000552 8/15 144 pcs 华兴三楼B15
</t>
        </r>
      </text>
    </comment>
    <comment ref="AD179" authorId="0">
      <text>
        <r>
          <rPr>
            <b/>
            <sz val="16"/>
            <rFont val="宋体"/>
            <charset val="134"/>
          </rPr>
          <t>Administrator:</t>
        </r>
        <r>
          <rPr>
            <sz val="16"/>
            <rFont val="宋体"/>
            <charset val="134"/>
          </rPr>
          <t xml:space="preserve">
7/21上 进口商贴纸 144 pcs</t>
        </r>
      </text>
    </comment>
    <comment ref="AB180" authorId="0">
      <text>
        <r>
          <rPr>
            <b/>
            <sz val="16"/>
            <rFont val="宋体"/>
            <charset val="134"/>
          </rPr>
          <t>Administrator:</t>
        </r>
        <r>
          <rPr>
            <sz val="16"/>
            <rFont val="宋体"/>
            <charset val="134"/>
          </rPr>
          <t xml:space="preserve">
4000552 8/15 36 pcs 华兴三楼B15
</t>
        </r>
      </text>
    </comment>
    <comment ref="AD180" authorId="0">
      <text>
        <r>
          <rPr>
            <b/>
            <sz val="16"/>
            <rFont val="宋体"/>
            <charset val="134"/>
          </rPr>
          <t>Administrator:</t>
        </r>
        <r>
          <rPr>
            <sz val="16"/>
            <rFont val="宋体"/>
            <charset val="134"/>
          </rPr>
          <t xml:space="preserve">
7/21上 进口商贴纸 36 pcs</t>
        </r>
      </text>
    </comment>
    <comment ref="AB181" authorId="0">
      <text>
        <r>
          <rPr>
            <b/>
            <sz val="16"/>
            <rFont val="宋体"/>
            <charset val="134"/>
          </rPr>
          <t>Administrator:</t>
        </r>
        <r>
          <rPr>
            <sz val="16"/>
            <rFont val="宋体"/>
            <charset val="134"/>
          </rPr>
          <t xml:space="preserve">
4000552 8/15 72 pcs 华兴三楼B15
</t>
        </r>
      </text>
    </comment>
    <comment ref="AD181" authorId="0">
      <text>
        <r>
          <rPr>
            <b/>
            <sz val="16"/>
            <rFont val="宋体"/>
            <charset val="134"/>
          </rPr>
          <t>Administrator:</t>
        </r>
        <r>
          <rPr>
            <sz val="16"/>
            <rFont val="宋体"/>
            <charset val="134"/>
          </rPr>
          <t xml:space="preserve">
7/21上 进口商贴纸 72 pcs</t>
        </r>
      </text>
    </comment>
    <comment ref="AB182" authorId="0">
      <text>
        <r>
          <rPr>
            <b/>
            <sz val="16"/>
            <rFont val="宋体"/>
            <charset val="134"/>
          </rPr>
          <t>Administrator:</t>
        </r>
        <r>
          <rPr>
            <sz val="16"/>
            <rFont val="宋体"/>
            <charset val="134"/>
          </rPr>
          <t xml:space="preserve">
4000552 8/15 72 pcs 华兴三楼B15
</t>
        </r>
      </text>
    </comment>
    <comment ref="AD182" authorId="0">
      <text>
        <r>
          <rPr>
            <b/>
            <sz val="16"/>
            <rFont val="宋体"/>
            <charset val="134"/>
          </rPr>
          <t>Administrator:</t>
        </r>
        <r>
          <rPr>
            <sz val="16"/>
            <rFont val="宋体"/>
            <charset val="134"/>
          </rPr>
          <t xml:space="preserve">
7/21上 进口商贴纸 72 pcs</t>
        </r>
      </text>
    </comment>
    <comment ref="AB183" authorId="0">
      <text>
        <r>
          <rPr>
            <b/>
            <sz val="16"/>
            <rFont val="宋体"/>
            <charset val="134"/>
          </rPr>
          <t>Administrator:</t>
        </r>
        <r>
          <rPr>
            <sz val="16"/>
            <rFont val="宋体"/>
            <charset val="134"/>
          </rPr>
          <t xml:space="preserve">
4000552 8/15 60 pcs 华兴三楼B15
</t>
        </r>
      </text>
    </comment>
    <comment ref="AD183" authorId="0">
      <text>
        <r>
          <rPr>
            <b/>
            <sz val="16"/>
            <rFont val="宋体"/>
            <charset val="134"/>
          </rPr>
          <t>Administrator:</t>
        </r>
        <r>
          <rPr>
            <sz val="16"/>
            <rFont val="宋体"/>
            <charset val="134"/>
          </rPr>
          <t xml:space="preserve">
7/21上 进口商贴纸 60 pcs</t>
        </r>
      </text>
    </comment>
    <comment ref="AB184" authorId="0">
      <text>
        <r>
          <rPr>
            <b/>
            <sz val="16"/>
            <rFont val="宋体"/>
            <charset val="134"/>
          </rPr>
          <t>Administrator:</t>
        </r>
        <r>
          <rPr>
            <sz val="16"/>
            <rFont val="宋体"/>
            <charset val="134"/>
          </rPr>
          <t xml:space="preserve">
4000558 8/16 504 pcs 华兴三楼B14</t>
        </r>
      </text>
    </comment>
    <comment ref="AB185" authorId="0">
      <text>
        <r>
          <rPr>
            <b/>
            <sz val="14"/>
            <rFont val="宋体"/>
            <charset val="134"/>
          </rPr>
          <t>Administrator:</t>
        </r>
        <r>
          <rPr>
            <sz val="14"/>
            <rFont val="宋体"/>
            <charset val="134"/>
          </rPr>
          <t xml:space="preserve">
4000616 8/19 240 pcs 莫B四楼B9</t>
        </r>
      </text>
    </comment>
    <comment ref="AD185" authorId="0">
      <text>
        <r>
          <rPr>
            <b/>
            <sz val="16"/>
            <rFont val="宋体"/>
            <charset val="134"/>
          </rPr>
          <t>Administrator:</t>
        </r>
        <r>
          <rPr>
            <sz val="16"/>
            <rFont val="宋体"/>
            <charset val="134"/>
          </rPr>
          <t xml:space="preserve">
7/26上 进口商贴纸 240 pcs</t>
        </r>
      </text>
    </comment>
    <comment ref="AB186" authorId="0">
      <text>
        <r>
          <rPr>
            <b/>
            <sz val="16"/>
            <rFont val="宋体"/>
            <charset val="134"/>
          </rPr>
          <t>Administrator:</t>
        </r>
        <r>
          <rPr>
            <sz val="16"/>
            <rFont val="宋体"/>
            <charset val="134"/>
          </rPr>
          <t xml:space="preserve">
4000622 8/20 1800 pcs 新仓库一楼B8
4000243 8/22 12 pcs 新仓库</t>
        </r>
      </text>
    </comment>
    <comment ref="AD186" authorId="0">
      <text>
        <r>
          <rPr>
            <b/>
            <sz val="16"/>
            <rFont val="宋体"/>
            <charset val="134"/>
          </rPr>
          <t>Administrator:</t>
        </r>
        <r>
          <rPr>
            <sz val="16"/>
            <rFont val="宋体"/>
            <charset val="134"/>
          </rPr>
          <t xml:space="preserve">
8/14上 客供价格贴纸 1903 pcs</t>
        </r>
      </text>
    </comment>
    <comment ref="AB187" authorId="0">
      <text>
        <r>
          <rPr>
            <b/>
            <sz val="16"/>
            <rFont val="宋体"/>
            <charset val="134"/>
          </rPr>
          <t>Administrator:</t>
        </r>
        <r>
          <rPr>
            <sz val="16"/>
            <rFont val="宋体"/>
            <charset val="134"/>
          </rPr>
          <t xml:space="preserve">
4000107 8/29 2004 pcs 新仓库一楼B5</t>
        </r>
      </text>
    </comment>
    <comment ref="AD187" authorId="0">
      <text>
        <r>
          <rPr>
            <b/>
            <sz val="16"/>
            <rFont val="宋体"/>
            <charset val="134"/>
          </rPr>
          <t>Administrator:</t>
        </r>
        <r>
          <rPr>
            <sz val="16"/>
            <rFont val="宋体"/>
            <charset val="134"/>
          </rPr>
          <t xml:space="preserve">
7/30上 德语/法语callout贴纸 2004 pcs</t>
        </r>
      </text>
    </comment>
    <comment ref="AB188" authorId="0">
      <text>
        <r>
          <rPr>
            <b/>
            <sz val="16"/>
            <rFont val="宋体"/>
            <charset val="134"/>
          </rPr>
          <t>Administrator:</t>
        </r>
        <r>
          <rPr>
            <sz val="16"/>
            <rFont val="宋体"/>
            <charset val="134"/>
          </rPr>
          <t xml:space="preserve">
4000081 8/29 192 pcs 新仓库一楼A7</t>
        </r>
      </text>
    </comment>
    <comment ref="AD188" authorId="0">
      <text>
        <r>
          <rPr>
            <b/>
            <sz val="16"/>
            <rFont val="宋体"/>
            <charset val="134"/>
          </rPr>
          <t>Administrator:</t>
        </r>
        <r>
          <rPr>
            <sz val="16"/>
            <rFont val="宋体"/>
            <charset val="134"/>
          </rPr>
          <t xml:space="preserve">
8/14上 客供价格贴纸 244 pcs</t>
        </r>
      </text>
    </comment>
    <comment ref="AB189" authorId="0">
      <text>
        <r>
          <rPr>
            <b/>
            <sz val="16"/>
            <rFont val="宋体"/>
            <charset val="134"/>
          </rPr>
          <t>Administrator:</t>
        </r>
        <r>
          <rPr>
            <sz val="16"/>
            <rFont val="宋体"/>
            <charset val="134"/>
          </rPr>
          <t xml:space="preserve">
4000109 9/1 828 pcs 华兴三楼B13</t>
        </r>
      </text>
    </comment>
    <comment ref="AD189" authorId="0">
      <text>
        <r>
          <rPr>
            <b/>
            <sz val="16"/>
            <rFont val="宋体"/>
            <charset val="134"/>
          </rPr>
          <t>Administrator:</t>
        </r>
        <r>
          <rPr>
            <sz val="16"/>
            <rFont val="宋体"/>
            <charset val="134"/>
          </rPr>
          <t xml:space="preserve">
8/14上 客供价格贴纸 244 pcs</t>
        </r>
      </text>
    </comment>
    <comment ref="AB190" authorId="0">
      <text>
        <r>
          <rPr>
            <b/>
            <sz val="16"/>
            <rFont val="宋体"/>
            <charset val="134"/>
          </rPr>
          <t>Administrator:</t>
        </r>
        <r>
          <rPr>
            <sz val="16"/>
            <rFont val="宋体"/>
            <charset val="134"/>
          </rPr>
          <t xml:space="preserve">
4000370 9/5 96 pcs B6区</t>
        </r>
      </text>
    </comment>
    <comment ref="AB191" authorId="0">
      <text>
        <r>
          <rPr>
            <b/>
            <sz val="16"/>
            <rFont val="宋体"/>
            <charset val="134"/>
          </rPr>
          <t>Administrator:</t>
        </r>
        <r>
          <rPr>
            <sz val="16"/>
            <rFont val="宋体"/>
            <charset val="134"/>
          </rPr>
          <t xml:space="preserve">
4000370 9/5 96 pcs B6区</t>
        </r>
      </text>
    </comment>
    <comment ref="AB192" authorId="0">
      <text>
        <r>
          <rPr>
            <b/>
            <sz val="16"/>
            <rFont val="宋体"/>
            <charset val="134"/>
          </rPr>
          <t>Administrator:</t>
        </r>
        <r>
          <rPr>
            <sz val="16"/>
            <rFont val="宋体"/>
            <charset val="134"/>
          </rPr>
          <t xml:space="preserve">
4000370 9/5 96 pcs B6区</t>
        </r>
      </text>
    </comment>
    <comment ref="AB193" authorId="0">
      <text>
        <r>
          <rPr>
            <b/>
            <sz val="16"/>
            <rFont val="宋体"/>
            <charset val="134"/>
          </rPr>
          <t>Administrator:</t>
        </r>
        <r>
          <rPr>
            <sz val="16"/>
            <rFont val="宋体"/>
            <charset val="134"/>
          </rPr>
          <t xml:space="preserve">
3001936 9/6 1008 pcs 华兴三楼B10</t>
        </r>
      </text>
    </comment>
    <comment ref="AD193" authorId="0">
      <text>
        <r>
          <rPr>
            <b/>
            <sz val="18"/>
            <rFont val="宋体"/>
            <charset val="134"/>
          </rPr>
          <t>Administrator:</t>
        </r>
        <r>
          <rPr>
            <sz val="18"/>
            <rFont val="宋体"/>
            <charset val="134"/>
          </rPr>
          <t xml:space="preserve">
8/13上 德语/法语callout贴纸 1008 pcs</t>
        </r>
      </text>
    </comment>
    <comment ref="AB194" authorId="0">
      <text>
        <r>
          <rPr>
            <b/>
            <sz val="16"/>
            <rFont val="宋体"/>
            <charset val="134"/>
          </rPr>
          <t>Administrator:</t>
        </r>
        <r>
          <rPr>
            <sz val="16"/>
            <rFont val="宋体"/>
            <charset val="134"/>
          </rPr>
          <t xml:space="preserve">
4000508 9/6 3780 pcs 华兴三楼A24     
4000512 9/6 1980 pcs  A24
4000517 9/8 4080 pcs A24</t>
        </r>
      </text>
    </comment>
    <comment ref="AD194" authorId="0">
      <text>
        <r>
          <rPr>
            <b/>
            <sz val="16"/>
            <rFont val="宋体"/>
            <charset val="134"/>
          </rPr>
          <t>Administrator:</t>
        </r>
        <r>
          <rPr>
            <sz val="16"/>
            <rFont val="宋体"/>
            <charset val="134"/>
          </rPr>
          <t xml:space="preserve">
8/14上 客供价格贴纸 10332 pcs</t>
        </r>
      </text>
    </comment>
    <comment ref="AB195" authorId="0">
      <text>
        <r>
          <rPr>
            <b/>
            <sz val="18"/>
            <rFont val="宋体"/>
            <charset val="134"/>
          </rPr>
          <t>Administrator:</t>
        </r>
        <r>
          <rPr>
            <sz val="18"/>
            <rFont val="宋体"/>
            <charset val="134"/>
          </rPr>
          <t xml:space="preserve">
4000397 9/12 552 pcs 莫四楼C4</t>
        </r>
      </text>
    </comment>
    <comment ref="AD195" authorId="0">
      <text>
        <r>
          <rPr>
            <b/>
            <sz val="16"/>
            <rFont val="宋体"/>
            <charset val="134"/>
          </rPr>
          <t>Administrator:</t>
        </r>
        <r>
          <rPr>
            <sz val="16"/>
            <rFont val="宋体"/>
            <charset val="134"/>
          </rPr>
          <t xml:space="preserve">
8/5上 德语/法语callout贴纸 552 pcs
8/6上 地址贴纸 552 pcs
8/26补上更正的贴纸 德语/法语callout贴纸 552 pcs</t>
        </r>
      </text>
    </comment>
    <comment ref="AB196" authorId="0">
      <text>
        <r>
          <rPr>
            <b/>
            <sz val="18"/>
            <rFont val="宋体"/>
            <charset val="134"/>
          </rPr>
          <t>Administrator:</t>
        </r>
        <r>
          <rPr>
            <sz val="18"/>
            <rFont val="宋体"/>
            <charset val="134"/>
          </rPr>
          <t xml:space="preserve">
4000397 9/12 456 pcs 莫四楼B9</t>
        </r>
      </text>
    </comment>
    <comment ref="AD196" authorId="0">
      <text>
        <r>
          <rPr>
            <b/>
            <sz val="16"/>
            <rFont val="宋体"/>
            <charset val="134"/>
          </rPr>
          <t>Administrator:</t>
        </r>
        <r>
          <rPr>
            <sz val="16"/>
            <rFont val="宋体"/>
            <charset val="134"/>
          </rPr>
          <t xml:space="preserve">
8/5上 德语/法语callout贴纸 456 pcs
8/6上 地址贴纸 552 pcs
8/26补上更正的贴纸 德语/法语callout贴纸 456 pcs
</t>
        </r>
      </text>
    </comment>
    <comment ref="AB197" authorId="0">
      <text>
        <r>
          <rPr>
            <b/>
            <sz val="16"/>
            <rFont val="宋体"/>
            <charset val="134"/>
          </rPr>
          <t>Administrator:</t>
        </r>
        <r>
          <rPr>
            <sz val="16"/>
            <rFont val="宋体"/>
            <charset val="134"/>
          </rPr>
          <t xml:space="preserve">
5000531 9/17 864 pcs华兴三楼A28
5000526 9/17 1140 pcs  莫四楼B3</t>
        </r>
      </text>
    </comment>
    <comment ref="AD197" authorId="0">
      <text>
        <r>
          <rPr>
            <b/>
            <sz val="16"/>
            <rFont val="宋体"/>
            <charset val="134"/>
          </rPr>
          <t>Administrator:</t>
        </r>
        <r>
          <rPr>
            <sz val="16"/>
            <rFont val="宋体"/>
            <charset val="134"/>
          </rPr>
          <t xml:space="preserve">
8/27上 德语/法语callout贴纸 2004 pcs</t>
        </r>
      </text>
    </comment>
    <comment ref="AB198" authorId="0">
      <text>
        <r>
          <rPr>
            <b/>
            <sz val="16"/>
            <rFont val="宋体"/>
            <charset val="134"/>
          </rPr>
          <t>Administrator:</t>
        </r>
        <r>
          <rPr>
            <sz val="16"/>
            <rFont val="宋体"/>
            <charset val="134"/>
          </rPr>
          <t xml:space="preserve">
5000266 9/17 156 pcs 华兴三楼B14
</t>
        </r>
      </text>
    </comment>
    <comment ref="AD198" authorId="0">
      <text>
        <r>
          <rPr>
            <b/>
            <sz val="16"/>
            <rFont val="宋体"/>
            <charset val="134"/>
          </rPr>
          <t>Administrator:</t>
        </r>
        <r>
          <rPr>
            <sz val="16"/>
            <rFont val="宋体"/>
            <charset val="134"/>
          </rPr>
          <t xml:space="preserve">
9/5上 外箱UPC贴纸 26 pcs</t>
        </r>
      </text>
    </comment>
    <comment ref="AB199" authorId="0">
      <text>
        <r>
          <rPr>
            <b/>
            <sz val="16"/>
            <rFont val="宋体"/>
            <charset val="134"/>
          </rPr>
          <t>Administrator:</t>
        </r>
        <r>
          <rPr>
            <sz val="16"/>
            <rFont val="宋体"/>
            <charset val="134"/>
          </rPr>
          <t xml:space="preserve">
5000531 9/17 1214 pcs 华兴三楼A20
5000266 9/17 12 pcs A20</t>
        </r>
      </text>
    </comment>
    <comment ref="AB200" authorId="0">
      <text>
        <r>
          <rPr>
            <b/>
            <sz val="16"/>
            <rFont val="宋体"/>
            <charset val="134"/>
          </rPr>
          <t>Administrator:</t>
        </r>
        <r>
          <rPr>
            <sz val="16"/>
            <rFont val="宋体"/>
            <charset val="134"/>
          </rPr>
          <t xml:space="preserve">
5000531 9/17 976 pcs 华兴三楼B8</t>
        </r>
      </text>
    </comment>
    <comment ref="AB201" authorId="0">
      <text>
        <r>
          <rPr>
            <b/>
            <sz val="16"/>
            <rFont val="宋体"/>
            <charset val="134"/>
          </rPr>
          <t>Administrator:</t>
        </r>
        <r>
          <rPr>
            <sz val="16"/>
            <rFont val="宋体"/>
            <charset val="134"/>
          </rPr>
          <t xml:space="preserve">
5000531 9/17 556 pcs 华兴三楼A32</t>
        </r>
      </text>
    </comment>
    <comment ref="AD201" authorId="0">
      <text>
        <r>
          <rPr>
            <b/>
            <sz val="16"/>
            <rFont val="宋体"/>
            <charset val="134"/>
          </rPr>
          <t>Administrator:</t>
        </r>
        <r>
          <rPr>
            <sz val="16"/>
            <rFont val="宋体"/>
            <charset val="134"/>
          </rPr>
          <t xml:space="preserve">
8/7上 客供RFID贴纸 556 pcs</t>
        </r>
      </text>
    </comment>
    <comment ref="AB202" authorId="0">
      <text>
        <r>
          <rPr>
            <b/>
            <sz val="16"/>
            <rFont val="宋体"/>
            <charset val="134"/>
          </rPr>
          <t>Administrator:</t>
        </r>
        <r>
          <rPr>
            <sz val="16"/>
            <rFont val="宋体"/>
            <charset val="134"/>
          </rPr>
          <t xml:space="preserve">
5000266 9/17 1200 pcs 直走</t>
        </r>
      </text>
    </comment>
    <comment ref="AD202" authorId="0">
      <text>
        <r>
          <rPr>
            <b/>
            <sz val="16"/>
            <rFont val="宋体"/>
            <charset val="134"/>
          </rPr>
          <t>Administrator:</t>
        </r>
        <r>
          <rPr>
            <sz val="16"/>
            <rFont val="宋体"/>
            <charset val="134"/>
          </rPr>
          <t xml:space="preserve">
8/14上 客供价格贴纸 1260 pcs</t>
        </r>
      </text>
    </comment>
    <comment ref="AB203" authorId="0">
      <text>
        <r>
          <rPr>
            <b/>
            <sz val="16"/>
            <rFont val="宋体"/>
            <charset val="134"/>
          </rPr>
          <t>Administrator:</t>
        </r>
        <r>
          <rPr>
            <sz val="16"/>
            <rFont val="宋体"/>
            <charset val="134"/>
          </rPr>
          <t xml:space="preserve">
5000581 10/16 4008 pcs 华兴三楼A26</t>
        </r>
      </text>
    </comment>
    <comment ref="AD203" authorId="0">
      <text>
        <r>
          <rPr>
            <b/>
            <sz val="16"/>
            <rFont val="宋体"/>
            <charset val="134"/>
          </rPr>
          <t>Administrator:</t>
        </r>
        <r>
          <rPr>
            <sz val="16"/>
            <rFont val="宋体"/>
            <charset val="134"/>
          </rPr>
          <t xml:space="preserve">
9/18上 客供价格贴纸 4209 pcs</t>
        </r>
      </text>
    </comment>
    <comment ref="AB204" authorId="0">
      <text>
        <r>
          <rPr>
            <b/>
            <sz val="16"/>
            <rFont val="宋体"/>
            <charset val="134"/>
          </rPr>
          <t>Administrator:</t>
        </r>
        <r>
          <rPr>
            <sz val="16"/>
            <rFont val="宋体"/>
            <charset val="134"/>
          </rPr>
          <t xml:space="preserve">
5000629 10/20 1008 pcs 华兴三楼B11</t>
        </r>
      </text>
    </comment>
    <comment ref="AB205" authorId="0">
      <text>
        <r>
          <rPr>
            <b/>
            <sz val="14"/>
            <rFont val="宋体"/>
            <charset val="134"/>
          </rPr>
          <t>Administrator:</t>
        </r>
        <r>
          <rPr>
            <sz val="14"/>
            <rFont val="宋体"/>
            <charset val="134"/>
          </rPr>
          <t xml:space="preserve">
5000632 10/20 990 pcs 华兴三楼B16</t>
        </r>
      </text>
    </comment>
    <comment ref="AB206" authorId="0">
      <text>
        <r>
          <rPr>
            <b/>
            <sz val="16"/>
            <rFont val="宋体"/>
            <charset val="134"/>
          </rPr>
          <t>Administrator:</t>
        </r>
        <r>
          <rPr>
            <sz val="16"/>
            <rFont val="宋体"/>
            <charset val="134"/>
          </rPr>
          <t xml:space="preserve">
1200304 11/5 2192 pcs 华兴三楼B11</t>
        </r>
      </text>
    </comment>
    <comment ref="AD206" authorId="0">
      <text>
        <r>
          <rPr>
            <b/>
            <sz val="16"/>
            <rFont val="宋体"/>
            <charset val="134"/>
          </rPr>
          <t>Administrator:</t>
        </r>
        <r>
          <rPr>
            <sz val="16"/>
            <rFont val="宋体"/>
            <charset val="134"/>
          </rPr>
          <t xml:space="preserve">
10/13上 粉色MOD艾利贴纸 1096 pcs
10/22上 客供RFIF贴纸 2192 pcs</t>
        </r>
      </text>
    </comment>
    <comment ref="AB207" authorId="0">
      <text>
        <r>
          <rPr>
            <b/>
            <sz val="16"/>
            <rFont val="宋体"/>
            <charset val="134"/>
          </rPr>
          <t>Administrator:</t>
        </r>
        <r>
          <rPr>
            <sz val="16"/>
            <rFont val="宋体"/>
            <charset val="134"/>
          </rPr>
          <t xml:space="preserve">
1200325 11/7 4200 pcs 华兴三楼A26</t>
        </r>
      </text>
    </comment>
    <comment ref="AD207" authorId="0">
      <text>
        <r>
          <rPr>
            <b/>
            <sz val="14"/>
            <rFont val="宋体"/>
            <charset val="134"/>
          </rPr>
          <t>Administrator:</t>
        </r>
        <r>
          <rPr>
            <sz val="14"/>
            <rFont val="宋体"/>
            <charset val="134"/>
          </rPr>
          <t xml:space="preserve">
10/21上 德语/法语callout贴纸  4200 pcs
WEEE电池通用30L说明书 4200 pcs</t>
        </r>
      </text>
    </comment>
    <comment ref="AB208" authorId="0">
      <text>
        <r>
          <rPr>
            <b/>
            <sz val="14"/>
            <rFont val="宋体"/>
            <charset val="134"/>
          </rPr>
          <t>Administrator:</t>
        </r>
        <r>
          <rPr>
            <sz val="14"/>
            <rFont val="宋体"/>
            <charset val="134"/>
          </rPr>
          <t xml:space="preserve">
1200390 11/12 48 pcs 华兴三楼A30</t>
        </r>
      </text>
    </comment>
    <comment ref="AD208" authorId="0">
      <text>
        <r>
          <rPr>
            <b/>
            <sz val="16"/>
            <rFont val="宋体"/>
            <charset val="134"/>
          </rPr>
          <t>Administrator:</t>
        </r>
        <r>
          <rPr>
            <sz val="16"/>
            <rFont val="宋体"/>
            <charset val="134"/>
          </rPr>
          <t xml:space="preserve">
10/16上 客版说明书 36 pcs
   EAN贴纸 36 pcs
10/27上 客供家乐福外箱贴纸 5 pcs
11/4上 法国环保logo贴纸 36 pcs</t>
        </r>
      </text>
    </comment>
    <comment ref="AB209" authorId="0">
      <text>
        <r>
          <rPr>
            <b/>
            <sz val="14"/>
            <rFont val="宋体"/>
            <charset val="134"/>
          </rPr>
          <t>Administrator:</t>
        </r>
        <r>
          <rPr>
            <sz val="14"/>
            <rFont val="宋体"/>
            <charset val="134"/>
          </rPr>
          <t xml:space="preserve">
1200390 11/12 36 pcs 华兴三楼A30
</t>
        </r>
      </text>
    </comment>
    <comment ref="AD209" authorId="0">
      <text>
        <r>
          <rPr>
            <b/>
            <sz val="16"/>
            <rFont val="宋体"/>
            <charset val="134"/>
          </rPr>
          <t>Administrator:</t>
        </r>
        <r>
          <rPr>
            <sz val="16"/>
            <rFont val="宋体"/>
            <charset val="134"/>
          </rPr>
          <t xml:space="preserve">
10/16上 客版说明书 36 pcs
   EAN贴纸 36 pcs
10/27上 客供家乐福外箱贴纸 5 pcs
11/4上 法国环保logo贴纸 36 pcs
</t>
        </r>
      </text>
    </comment>
    <comment ref="AB210" authorId="0">
      <text>
        <r>
          <rPr>
            <b/>
            <sz val="16"/>
            <rFont val="宋体"/>
            <charset val="134"/>
          </rPr>
          <t>Administrator:</t>
        </r>
        <r>
          <rPr>
            <sz val="16"/>
            <rFont val="宋体"/>
            <charset val="134"/>
          </rPr>
          <t xml:space="preserve">
1200372 11/12 48 pcs 华兴三楼A30
</t>
        </r>
      </text>
    </comment>
    <comment ref="AD210" authorId="0">
      <text>
        <r>
          <rPr>
            <b/>
            <sz val="16"/>
            <rFont val="宋体"/>
            <charset val="134"/>
          </rPr>
          <t>Administrator:</t>
        </r>
        <r>
          <rPr>
            <sz val="16"/>
            <rFont val="宋体"/>
            <charset val="134"/>
          </rPr>
          <t xml:space="preserve">
10/16上 EAN条码贴纸 48 pcs
 客版说明书 48 pcs
10/27上 客供家乐福外箱贴纸 6 pcs
11/4上 法国环保logo贴纸 48 pcs
</t>
        </r>
      </text>
    </comment>
    <comment ref="AB211" authorId="0">
      <text>
        <r>
          <rPr>
            <b/>
            <sz val="14"/>
            <rFont val="宋体"/>
            <charset val="134"/>
          </rPr>
          <t>Administrator:</t>
        </r>
        <r>
          <rPr>
            <sz val="14"/>
            <rFont val="宋体"/>
            <charset val="134"/>
          </rPr>
          <t xml:space="preserve">
1200390 11/12 408 pcs 华兴三楼A30
</t>
        </r>
      </text>
    </comment>
    <comment ref="AD211" authorId="0">
      <text>
        <r>
          <rPr>
            <b/>
            <sz val="16"/>
            <rFont val="宋体"/>
            <charset val="134"/>
          </rPr>
          <t>Administrator:</t>
        </r>
        <r>
          <rPr>
            <sz val="16"/>
            <rFont val="宋体"/>
            <charset val="134"/>
          </rPr>
          <t xml:space="preserve">
10/16上 客版说明书 408 pcs
  EAN贴纸 408 pcs
10/27上 客供家乐福外箱贴纸 39 pcs
11/4上 法国环保logo贴纸 408 pcs
</t>
        </r>
      </text>
    </comment>
    <comment ref="AB212" authorId="0">
      <text>
        <r>
          <rPr>
            <b/>
            <sz val="14"/>
            <rFont val="宋体"/>
            <charset val="134"/>
          </rPr>
          <t>Administrator:</t>
        </r>
        <r>
          <rPr>
            <sz val="14"/>
            <rFont val="宋体"/>
            <charset val="134"/>
          </rPr>
          <t xml:space="preserve">
1200390 11/12 300 pcs 华兴三楼A30
</t>
        </r>
      </text>
    </comment>
    <comment ref="AD212" authorId="0">
      <text>
        <r>
          <rPr>
            <b/>
            <sz val="16"/>
            <rFont val="宋体"/>
            <charset val="134"/>
          </rPr>
          <t>Administrator:</t>
        </r>
        <r>
          <rPr>
            <sz val="16"/>
            <rFont val="宋体"/>
            <charset val="134"/>
          </rPr>
          <t xml:space="preserve">
10/16上 客版说明书 300 pcs
   EAN贴纸 300 pcs
10/27上 客供家乐福外箱贴纸 30 pcs
11/4上 法国环保logo贴纸 300 pcs
</t>
        </r>
      </text>
    </comment>
    <comment ref="AB213" authorId="0">
      <text>
        <r>
          <rPr>
            <b/>
            <sz val="16"/>
            <rFont val="宋体"/>
            <charset val="134"/>
          </rPr>
          <t>Administrator:</t>
        </r>
        <r>
          <rPr>
            <sz val="16"/>
            <rFont val="宋体"/>
            <charset val="134"/>
          </rPr>
          <t xml:space="preserve">
1200372 11/12 420 pcs 华兴三楼A30
</t>
        </r>
      </text>
    </comment>
    <comment ref="AD213" authorId="0">
      <text>
        <r>
          <rPr>
            <b/>
            <sz val="16"/>
            <rFont val="宋体"/>
            <charset val="134"/>
          </rPr>
          <t>Administrator:</t>
        </r>
        <r>
          <rPr>
            <sz val="16"/>
            <rFont val="宋体"/>
            <charset val="134"/>
          </rPr>
          <t xml:space="preserve">
10/16上 EAN条码贴纸420 pcs
 客版说明书 420 pcs
10/27上 客供家乐福外箱贴纸 40 pcs
11/4上 法国环保logo贴纸 420 pcs
</t>
        </r>
      </text>
    </comment>
    <comment ref="AB214" authorId="0">
      <text>
        <r>
          <rPr>
            <b/>
            <sz val="14"/>
            <rFont val="宋体"/>
            <charset val="134"/>
          </rPr>
          <t>Administrator:</t>
        </r>
        <r>
          <rPr>
            <sz val="14"/>
            <rFont val="宋体"/>
            <charset val="134"/>
          </rPr>
          <t xml:space="preserve">
1200390 11/12 24 pcs 华兴三楼B16
</t>
        </r>
      </text>
    </comment>
    <comment ref="AD214" authorId="0">
      <text>
        <r>
          <rPr>
            <b/>
            <sz val="16"/>
            <rFont val="宋体"/>
            <charset val="134"/>
          </rPr>
          <t>Administrator:</t>
        </r>
        <r>
          <rPr>
            <sz val="16"/>
            <rFont val="宋体"/>
            <charset val="134"/>
          </rPr>
          <t xml:space="preserve">
10/16上 客版说明书 24 pcs
  EAN贴纸 24 pcs
10/27上 客供家乐福外箱贴纸 4 pcs
11/4上 法国环保logo贴纸 24 pcs
</t>
        </r>
      </text>
    </comment>
    <comment ref="AB215" authorId="0">
      <text>
        <r>
          <rPr>
            <b/>
            <sz val="14"/>
            <rFont val="宋体"/>
            <charset val="134"/>
          </rPr>
          <t>Administrator:</t>
        </r>
        <r>
          <rPr>
            <sz val="14"/>
            <rFont val="宋体"/>
            <charset val="134"/>
          </rPr>
          <t xml:space="preserve">
1200390 11/12 36 pcs 华兴三楼A30
</t>
        </r>
      </text>
    </comment>
    <comment ref="AD215" authorId="0">
      <text>
        <r>
          <rPr>
            <b/>
            <sz val="16"/>
            <rFont val="宋体"/>
            <charset val="134"/>
          </rPr>
          <t>Administrator:</t>
        </r>
        <r>
          <rPr>
            <sz val="16"/>
            <rFont val="宋体"/>
            <charset val="134"/>
          </rPr>
          <t xml:space="preserve">
10/16上 客版说明书 36 pcs
   EAN贴纸 36 pcs
10/27上 客供家乐福外箱贴纸 5 pcs
11/4上 法国环保logo贴纸 36 pcs
</t>
        </r>
      </text>
    </comment>
    <comment ref="AB216" authorId="0">
      <text>
        <r>
          <rPr>
            <b/>
            <sz val="16"/>
            <rFont val="宋体"/>
            <charset val="134"/>
          </rPr>
          <t>Administrator:</t>
        </r>
        <r>
          <rPr>
            <sz val="16"/>
            <rFont val="宋体"/>
            <charset val="134"/>
          </rPr>
          <t xml:space="preserve">
1200372 11/12 60 pcs 华兴三楼B16
</t>
        </r>
      </text>
    </comment>
    <comment ref="AD216" authorId="0">
      <text>
        <r>
          <rPr>
            <b/>
            <sz val="16"/>
            <rFont val="宋体"/>
            <charset val="134"/>
          </rPr>
          <t>Administrator:</t>
        </r>
        <r>
          <rPr>
            <sz val="16"/>
            <rFont val="宋体"/>
            <charset val="134"/>
          </rPr>
          <t xml:space="preserve">
10/16上 EAN条码贴纸 60 pcs
 客版说明书 60 pcs
10/27上 客供家乐福外箱贴纸 7 pcs
11/4上 法国环保logo贴纸 60 pcs
</t>
        </r>
      </text>
    </comment>
    <comment ref="AB217" authorId="0">
      <text>
        <r>
          <rPr>
            <b/>
            <sz val="14"/>
            <rFont val="宋体"/>
            <charset val="134"/>
          </rPr>
          <t>Administrator:</t>
        </r>
        <r>
          <rPr>
            <sz val="14"/>
            <rFont val="宋体"/>
            <charset val="134"/>
          </rPr>
          <t xml:space="preserve">
1200390 11/12 336 pcs 华兴三楼B16
</t>
        </r>
      </text>
    </comment>
    <comment ref="AD217" authorId="0">
      <text>
        <r>
          <rPr>
            <b/>
            <sz val="16"/>
            <rFont val="宋体"/>
            <charset val="134"/>
          </rPr>
          <t>Administrator:</t>
        </r>
        <r>
          <rPr>
            <sz val="16"/>
            <rFont val="宋体"/>
            <charset val="134"/>
          </rPr>
          <t xml:space="preserve">
10/16上 客版说明书 336 pcs
  EAN贴纸 366 pcs
10/27上 客供家乐福外箱贴纸 33 pcs
11/4上 法国环保logo贴纸 336 pcs
</t>
        </r>
      </text>
    </comment>
    <comment ref="AB218" authorId="0">
      <text>
        <r>
          <rPr>
            <b/>
            <sz val="14"/>
            <rFont val="宋体"/>
            <charset val="134"/>
          </rPr>
          <t>Administrator:</t>
        </r>
        <r>
          <rPr>
            <sz val="14"/>
            <rFont val="宋体"/>
            <charset val="134"/>
          </rPr>
          <t xml:space="preserve">
1200390 11/12 276 pcs 华兴三楼B16
</t>
        </r>
      </text>
    </comment>
    <comment ref="AD218" authorId="0">
      <text>
        <r>
          <rPr>
            <b/>
            <sz val="16"/>
            <rFont val="宋体"/>
            <charset val="134"/>
          </rPr>
          <t>Administrator:</t>
        </r>
        <r>
          <rPr>
            <sz val="16"/>
            <rFont val="宋体"/>
            <charset val="134"/>
          </rPr>
          <t xml:space="preserve">
10/16上 客版说明书 276 pcs
   EAN贴纸 276 pcs
10/27上 客供家乐福外箱贴纸 28 pcs
11/4上 法国环保logo贴纸 276 pcs
</t>
        </r>
      </text>
    </comment>
    <comment ref="AB219" authorId="0">
      <text>
        <r>
          <rPr>
            <b/>
            <sz val="16"/>
            <rFont val="宋体"/>
            <charset val="134"/>
          </rPr>
          <t>Administrator:</t>
        </r>
        <r>
          <rPr>
            <sz val="16"/>
            <rFont val="宋体"/>
            <charset val="134"/>
          </rPr>
          <t xml:space="preserve">
1200372 11/12 288 pcs 华兴三楼B16
</t>
        </r>
      </text>
    </comment>
    <comment ref="AD219" authorId="0">
      <text>
        <r>
          <rPr>
            <b/>
            <sz val="16"/>
            <rFont val="宋体"/>
            <charset val="134"/>
          </rPr>
          <t>Administrator:</t>
        </r>
        <r>
          <rPr>
            <sz val="16"/>
            <rFont val="宋体"/>
            <charset val="134"/>
          </rPr>
          <t xml:space="preserve">
10/16上 EAN条码贴纸 288 pcs
 客版说明书 288 pcs
10/27上 客供家乐福外箱贴纸 29 pcs
11/4上 法国环保logo贴纸 288 pcs
</t>
        </r>
      </text>
    </comment>
    <comment ref="AB220" authorId="0">
      <text>
        <r>
          <rPr>
            <b/>
            <sz val="16"/>
            <rFont val="宋体"/>
            <charset val="134"/>
          </rPr>
          <t>Administrator:</t>
        </r>
        <r>
          <rPr>
            <sz val="16"/>
            <rFont val="宋体"/>
            <charset val="134"/>
          </rPr>
          <t xml:space="preserve">
1200458 11/19 686 pcs 华兴三楼A14
</t>
        </r>
      </text>
    </comment>
    <comment ref="AD220" authorId="0">
      <text>
        <r>
          <rPr>
            <b/>
            <sz val="16"/>
            <rFont val="宋体"/>
            <charset val="134"/>
          </rPr>
          <t>Administrator:</t>
        </r>
        <r>
          <rPr>
            <sz val="16"/>
            <rFont val="宋体"/>
            <charset val="134"/>
          </rPr>
          <t xml:space="preserve">
10/13上 粉色MOD艾利贴纸 343 pcs
10/22上 客供RFIF贴纸 686 pcs
</t>
        </r>
      </text>
    </comment>
    <comment ref="AB221" authorId="0">
      <text>
        <r>
          <rPr>
            <b/>
            <sz val="16"/>
            <rFont val="宋体"/>
            <charset val="134"/>
          </rPr>
          <t>Administrator:</t>
        </r>
        <r>
          <rPr>
            <sz val="16"/>
            <rFont val="宋体"/>
            <charset val="134"/>
          </rPr>
          <t xml:space="preserve">
1200469 11/20 1094 pcs 王四楼B5</t>
        </r>
      </text>
    </comment>
    <comment ref="AD221" authorId="0">
      <text>
        <r>
          <rPr>
            <b/>
            <sz val="16"/>
            <rFont val="宋体"/>
            <charset val="134"/>
          </rPr>
          <t>Administrator:</t>
        </r>
        <r>
          <rPr>
            <sz val="16"/>
            <rFont val="宋体"/>
            <charset val="134"/>
          </rPr>
          <t xml:space="preserve">
10/13上 粉色MOD艾利贴纸 547 pcs
10/22上 客供RFIF贴纸 1094 pcs
</t>
        </r>
      </text>
    </comment>
    <comment ref="AB222" authorId="0">
      <text>
        <r>
          <rPr>
            <b/>
            <sz val="16"/>
            <rFont val="宋体"/>
            <charset val="134"/>
          </rPr>
          <t>Administrator:</t>
        </r>
        <r>
          <rPr>
            <sz val="16"/>
            <rFont val="宋体"/>
            <charset val="134"/>
          </rPr>
          <t xml:space="preserve">
1200458 11/19 1476 pcs 华兴三楼A21
</t>
        </r>
      </text>
    </comment>
    <comment ref="AD222" authorId="0">
      <text>
        <r>
          <rPr>
            <b/>
            <sz val="16"/>
            <rFont val="宋体"/>
            <charset val="134"/>
          </rPr>
          <t>Administrator:</t>
        </r>
        <r>
          <rPr>
            <sz val="16"/>
            <rFont val="宋体"/>
            <charset val="134"/>
          </rPr>
          <t xml:space="preserve">
10/13上 粉色MOD艾利贴纸 738 pcs
10/22上 客供RFIF贴纸 1476 pcs
</t>
        </r>
      </text>
    </comment>
    <comment ref="AB223" authorId="0">
      <text>
        <r>
          <rPr>
            <b/>
            <sz val="16"/>
            <rFont val="宋体"/>
            <charset val="134"/>
          </rPr>
          <t>Administrator:</t>
        </r>
        <r>
          <rPr>
            <sz val="16"/>
            <rFont val="宋体"/>
            <charset val="134"/>
          </rPr>
          <t xml:space="preserve">
1200458 11/19 2414 pcs 华兴三楼A21</t>
        </r>
      </text>
    </comment>
    <comment ref="AD223" authorId="0">
      <text>
        <r>
          <rPr>
            <b/>
            <sz val="18"/>
            <rFont val="宋体"/>
            <charset val="134"/>
          </rPr>
          <t>Administrator:</t>
        </r>
        <r>
          <rPr>
            <sz val="18"/>
            <rFont val="宋体"/>
            <charset val="134"/>
          </rPr>
          <t xml:space="preserve">
10/22上 客供RFIF贴纸 2414 pcs
</t>
        </r>
      </text>
    </comment>
    <comment ref="AB224" authorId="0">
      <text>
        <r>
          <rPr>
            <b/>
            <sz val="16"/>
            <rFont val="宋体"/>
            <charset val="134"/>
          </rPr>
          <t>Administrator:</t>
        </r>
        <r>
          <rPr>
            <sz val="16"/>
            <rFont val="宋体"/>
            <charset val="134"/>
          </rPr>
          <t xml:space="preserve">
1200469 11/20 1364 pcs 王四楼B5</t>
        </r>
      </text>
    </comment>
    <comment ref="AD224" authorId="0">
      <text>
        <r>
          <rPr>
            <b/>
            <sz val="18"/>
            <rFont val="宋体"/>
            <charset val="134"/>
          </rPr>
          <t>Administrator:</t>
        </r>
        <r>
          <rPr>
            <sz val="18"/>
            <rFont val="宋体"/>
            <charset val="134"/>
          </rPr>
          <t xml:space="preserve">
10/22上 客供RFIF贴纸 1364 pcs
</t>
        </r>
      </text>
    </comment>
    <comment ref="AB225" authorId="0">
      <text>
        <r>
          <rPr>
            <b/>
            <sz val="16"/>
            <rFont val="宋体"/>
            <charset val="134"/>
          </rPr>
          <t>Administrator:</t>
        </r>
        <r>
          <rPr>
            <sz val="16"/>
            <rFont val="宋体"/>
            <charset val="134"/>
          </rPr>
          <t xml:space="preserve">
1200455 11/19 2042 pcs 华兴三楼A23
1200497 11/24 10 pcs A23</t>
        </r>
      </text>
    </comment>
    <comment ref="AD225" authorId="0">
      <text>
        <r>
          <rPr>
            <b/>
            <sz val="16"/>
            <rFont val="宋体"/>
            <charset val="134"/>
          </rPr>
          <t>Administrator:</t>
        </r>
        <r>
          <rPr>
            <sz val="16"/>
            <rFont val="宋体"/>
            <charset val="134"/>
          </rPr>
          <t xml:space="preserve">
10/13上 粉色MOD艾利贴纸 1026 pcs
10/22上 客供RFIF贴纸 2052 pcs
</t>
        </r>
      </text>
    </comment>
    <comment ref="AB226" authorId="0">
      <text>
        <r>
          <rPr>
            <b/>
            <sz val="16"/>
            <rFont val="宋体"/>
            <charset val="134"/>
          </rPr>
          <t>Administrator:</t>
        </r>
        <r>
          <rPr>
            <sz val="16"/>
            <rFont val="宋体"/>
            <charset val="134"/>
          </rPr>
          <t xml:space="preserve">
1200470 11/20 2754 pcs 王四楼B8</t>
        </r>
      </text>
    </comment>
    <comment ref="AD226" authorId="0">
      <text>
        <r>
          <rPr>
            <b/>
            <sz val="18"/>
            <rFont val="宋体"/>
            <charset val="134"/>
          </rPr>
          <t>Administrator:</t>
        </r>
        <r>
          <rPr>
            <sz val="18"/>
            <rFont val="宋体"/>
            <charset val="134"/>
          </rPr>
          <t xml:space="preserve">
10/22上 客供RFIF贴纸 2754 pcs
</t>
        </r>
      </text>
    </comment>
    <comment ref="AB227" authorId="0">
      <text>
        <r>
          <rPr>
            <b/>
            <sz val="16"/>
            <rFont val="宋体"/>
            <charset val="134"/>
          </rPr>
          <t>Administrator:</t>
        </r>
        <r>
          <rPr>
            <sz val="16"/>
            <rFont val="宋体"/>
            <charset val="134"/>
          </rPr>
          <t xml:space="preserve">
1200470 11/20 450 pcs  C4 
1200469 11/20 2462 pcs 王四楼C4</t>
        </r>
      </text>
    </comment>
    <comment ref="AD227" authorId="0">
      <text>
        <r>
          <rPr>
            <b/>
            <sz val="18"/>
            <rFont val="宋体"/>
            <charset val="134"/>
          </rPr>
          <t>Administrator:</t>
        </r>
        <r>
          <rPr>
            <sz val="18"/>
            <rFont val="宋体"/>
            <charset val="134"/>
          </rPr>
          <t xml:space="preserve">
10/22上 客供RFIF贴纸 2912 pcs
</t>
        </r>
      </text>
    </comment>
    <comment ref="AB228" authorId="0">
      <text>
        <r>
          <rPr>
            <b/>
            <sz val="16"/>
            <rFont val="宋体"/>
            <charset val="134"/>
          </rPr>
          <t>Administrator:</t>
        </r>
        <r>
          <rPr>
            <sz val="16"/>
            <rFont val="宋体"/>
            <charset val="134"/>
          </rPr>
          <t xml:space="preserve">
1200478 11/20 3456 pcs 王四楼A5</t>
        </r>
      </text>
    </comment>
    <comment ref="AD228" authorId="0">
      <text>
        <r>
          <rPr>
            <b/>
            <sz val="18"/>
            <rFont val="宋体"/>
            <charset val="134"/>
          </rPr>
          <t>Administrator:</t>
        </r>
        <r>
          <rPr>
            <sz val="18"/>
            <rFont val="宋体"/>
            <charset val="134"/>
          </rPr>
          <t xml:space="preserve">
10/22上 客供RFIF贴纸 3456 pcs
</t>
        </r>
      </text>
    </comment>
    <comment ref="AB229" authorId="0">
      <text>
        <r>
          <rPr>
            <b/>
            <sz val="16"/>
            <rFont val="宋体"/>
            <charset val="134"/>
          </rPr>
          <t>Administrator:</t>
        </r>
        <r>
          <rPr>
            <sz val="16"/>
            <rFont val="宋体"/>
            <charset val="134"/>
          </rPr>
          <t xml:space="preserve">
1200445 11/19 700 pcs 华兴三楼B11     
1200454 11/19 500 pcs  B11</t>
        </r>
      </text>
    </comment>
    <comment ref="AB230" authorId="0">
      <text>
        <r>
          <rPr>
            <b/>
            <sz val="16"/>
            <rFont val="宋体"/>
            <charset val="134"/>
          </rPr>
          <t>Administrator:</t>
        </r>
        <r>
          <rPr>
            <sz val="16"/>
            <rFont val="宋体"/>
            <charset val="134"/>
          </rPr>
          <t xml:space="preserve">
1200497 11/24 1104 pcs 直走</t>
        </r>
      </text>
    </comment>
    <comment ref="AD230" authorId="0">
      <text>
        <r>
          <rPr>
            <b/>
            <sz val="16"/>
            <rFont val="宋体"/>
            <charset val="134"/>
          </rPr>
          <t>Administrator:</t>
        </r>
        <r>
          <rPr>
            <sz val="16"/>
            <rFont val="宋体"/>
            <charset val="134"/>
          </rPr>
          <t xml:space="preserve">
11/1上 德语/法语callout/法国sorting label贴纸 1104 pcs
 WEEE带电池出货欧洲通用30L说明书B版 1104 pcs
11/8上 地址贴纸 1104 pcs</t>
        </r>
      </text>
    </comment>
    <comment ref="AB231" authorId="0">
      <text>
        <r>
          <rPr>
            <b/>
            <sz val="16"/>
            <rFont val="宋体"/>
            <charset val="134"/>
          </rPr>
          <t>Administrator:</t>
        </r>
        <r>
          <rPr>
            <sz val="16"/>
            <rFont val="宋体"/>
            <charset val="134"/>
          </rPr>
          <t xml:space="preserve">
1200478 11/20 900 pcs 王四楼A8</t>
        </r>
      </text>
    </comment>
    <comment ref="AD231" authorId="0">
      <text>
        <r>
          <rPr>
            <b/>
            <sz val="16"/>
            <rFont val="宋体"/>
            <charset val="134"/>
          </rPr>
          <t>Administrator:</t>
        </r>
        <r>
          <rPr>
            <sz val="16"/>
            <rFont val="宋体"/>
            <charset val="134"/>
          </rPr>
          <t xml:space="preserve">
11/1上 德语/法语callout/法国sorting label贴纸900 pcs
 WEEE带电池出货欧洲通用30L说明书B版 900 pcs
11/8上 地址贴纸 900 pcs
</t>
        </r>
      </text>
    </comment>
    <comment ref="AB232" authorId="0">
      <text>
        <r>
          <rPr>
            <b/>
            <sz val="16"/>
            <rFont val="宋体"/>
            <charset val="134"/>
          </rPr>
          <t>Administrator:</t>
        </r>
        <r>
          <rPr>
            <sz val="16"/>
            <rFont val="宋体"/>
            <charset val="134"/>
          </rPr>
          <t xml:space="preserve">
1200548 11/27 504 pcs 华兴三楼A15</t>
        </r>
      </text>
    </comment>
    <comment ref="AD232" authorId="0">
      <text>
        <r>
          <rPr>
            <b/>
            <sz val="16"/>
            <rFont val="宋体"/>
            <charset val="134"/>
          </rPr>
          <t>Administrator:</t>
        </r>
        <r>
          <rPr>
            <sz val="16"/>
            <rFont val="宋体"/>
            <charset val="134"/>
          </rPr>
          <t xml:space="preserve">
10/16上 EAN条码/法国环保logo/摩洛哥标志/进口商信息贴纸 504 pcs
 产品贴纸 504 pcs
 客版说明书 504 pcs
10/27上 客供家乐福外箱贴纸 47 pcs
11/4上 法国环保logo贴纸 504 pcs
</t>
        </r>
      </text>
    </comment>
    <comment ref="AB233" authorId="0">
      <text>
        <r>
          <rPr>
            <b/>
            <sz val="16"/>
            <rFont val="宋体"/>
            <charset val="134"/>
          </rPr>
          <t>Administrator:</t>
        </r>
        <r>
          <rPr>
            <sz val="16"/>
            <rFont val="宋体"/>
            <charset val="134"/>
          </rPr>
          <t xml:space="preserve">
1200545 11/28 1008 pcs 华兴三楼B14</t>
        </r>
      </text>
    </comment>
    <comment ref="AD233" authorId="0">
      <text>
        <r>
          <rPr>
            <b/>
            <sz val="14"/>
            <rFont val="宋体"/>
            <charset val="134"/>
          </rPr>
          <t>Administrator:</t>
        </r>
        <r>
          <rPr>
            <sz val="14"/>
            <rFont val="宋体"/>
            <charset val="134"/>
          </rPr>
          <t xml:space="preserve">
11/10上 德语/法语callout/法国sorting label贴纸 1008 pcs
 WEEE带电池出货欧洲通用30L说明书 1008 pcs</t>
        </r>
      </text>
    </comment>
    <comment ref="AB234" authorId="0">
      <text>
        <r>
          <rPr>
            <b/>
            <sz val="16"/>
            <rFont val="宋体"/>
            <charset val="134"/>
          </rPr>
          <t>Administrator:</t>
        </r>
        <r>
          <rPr>
            <sz val="16"/>
            <rFont val="宋体"/>
            <charset val="134"/>
          </rPr>
          <t xml:space="preserve">
1200604 12/3 804 pcs 华兴三楼B8</t>
        </r>
      </text>
    </comment>
    <comment ref="AD234" authorId="0">
      <text>
        <r>
          <rPr>
            <b/>
            <sz val="14"/>
            <rFont val="宋体"/>
            <charset val="134"/>
          </rPr>
          <t>Administrator:</t>
        </r>
        <r>
          <rPr>
            <sz val="14"/>
            <rFont val="宋体"/>
            <charset val="134"/>
          </rPr>
          <t xml:space="preserve">
11/21上 客供RFID贴纸 885 pcs</t>
        </r>
      </text>
    </comment>
    <comment ref="AB235" authorId="0">
      <text>
        <r>
          <rPr>
            <b/>
            <sz val="16"/>
            <rFont val="宋体"/>
            <charset val="134"/>
          </rPr>
          <t>Administrator:</t>
        </r>
        <r>
          <rPr>
            <sz val="16"/>
            <rFont val="宋体"/>
            <charset val="134"/>
          </rPr>
          <t xml:space="preserve">
1200624 12/3 204 pcs 华兴三楼B8
</t>
        </r>
      </text>
    </comment>
    <comment ref="AD235" authorId="0">
      <text>
        <r>
          <rPr>
            <b/>
            <sz val="14"/>
            <rFont val="宋体"/>
            <charset val="134"/>
          </rPr>
          <t>Administrator:</t>
        </r>
        <r>
          <rPr>
            <sz val="14"/>
            <rFont val="宋体"/>
            <charset val="134"/>
          </rPr>
          <t xml:space="preserve">
11/21上 客供RFID贴纸 225 pcs</t>
        </r>
      </text>
    </comment>
    <comment ref="AB236" authorId="0">
      <text>
        <r>
          <rPr>
            <b/>
            <sz val="16"/>
            <rFont val="宋体"/>
            <charset val="134"/>
          </rPr>
          <t>Administrator:</t>
        </r>
        <r>
          <rPr>
            <sz val="16"/>
            <rFont val="宋体"/>
            <charset val="134"/>
          </rPr>
          <t xml:space="preserve">
1200624 12/3 804 pcs 华兴三楼A32
</t>
        </r>
      </text>
    </comment>
    <comment ref="AD236" authorId="0">
      <text>
        <r>
          <rPr>
            <b/>
            <sz val="14"/>
            <rFont val="宋体"/>
            <charset val="134"/>
          </rPr>
          <t>Administrator:</t>
        </r>
        <r>
          <rPr>
            <sz val="14"/>
            <rFont val="宋体"/>
            <charset val="134"/>
          </rPr>
          <t xml:space="preserve">
11/21上 客供RFID贴纸 885 pcs</t>
        </r>
      </text>
    </comment>
    <comment ref="AB237" authorId="0">
      <text>
        <r>
          <rPr>
            <b/>
            <sz val="16"/>
            <rFont val="宋体"/>
            <charset val="134"/>
          </rPr>
          <t>Administrator:</t>
        </r>
        <r>
          <rPr>
            <sz val="16"/>
            <rFont val="宋体"/>
            <charset val="134"/>
          </rPr>
          <t xml:space="preserve">
1200624 12/3 204 pcs 华兴三楼B8
</t>
        </r>
      </text>
    </comment>
    <comment ref="AD237" authorId="0">
      <text>
        <r>
          <rPr>
            <b/>
            <sz val="14"/>
            <rFont val="宋体"/>
            <charset val="134"/>
          </rPr>
          <t>Administrator:</t>
        </r>
        <r>
          <rPr>
            <sz val="14"/>
            <rFont val="宋体"/>
            <charset val="134"/>
          </rPr>
          <t xml:space="preserve">
11/21上 客供RFID贴纸 225 pcs</t>
        </r>
      </text>
    </comment>
    <comment ref="AB238" authorId="0">
      <text>
        <r>
          <rPr>
            <b/>
            <sz val="16"/>
            <rFont val="宋体"/>
            <charset val="134"/>
          </rPr>
          <t>Administrator:</t>
        </r>
        <r>
          <rPr>
            <sz val="16"/>
            <rFont val="宋体"/>
            <charset val="134"/>
          </rPr>
          <t xml:space="preserve">
1200624 12/3 144 pcs 华兴三楼B8</t>
        </r>
      </text>
    </comment>
    <comment ref="AD238" authorId="0">
      <text>
        <r>
          <rPr>
            <b/>
            <sz val="14"/>
            <rFont val="宋体"/>
            <charset val="134"/>
          </rPr>
          <t>Administrator:</t>
        </r>
        <r>
          <rPr>
            <sz val="14"/>
            <rFont val="宋体"/>
            <charset val="134"/>
          </rPr>
          <t xml:space="preserve">
11/21上 客供价格贴纸 159 pcs</t>
        </r>
      </text>
    </comment>
    <comment ref="AB239" authorId="0">
      <text>
        <r>
          <rPr>
            <b/>
            <sz val="16"/>
            <rFont val="宋体"/>
            <charset val="134"/>
          </rPr>
          <t>Administrator:</t>
        </r>
        <r>
          <rPr>
            <sz val="16"/>
            <rFont val="宋体"/>
            <charset val="134"/>
          </rPr>
          <t xml:space="preserve">
1200624 12/3 144 pcs 华兴三楼B8
</t>
        </r>
      </text>
    </comment>
    <comment ref="AD239" authorId="0">
      <text>
        <r>
          <rPr>
            <b/>
            <sz val="14"/>
            <rFont val="宋体"/>
            <charset val="134"/>
          </rPr>
          <t>Administrator:</t>
        </r>
        <r>
          <rPr>
            <sz val="14"/>
            <rFont val="宋体"/>
            <charset val="134"/>
          </rPr>
          <t xml:space="preserve">
11/27上 客供价格贴纸 159 pcs</t>
        </r>
      </text>
    </comment>
    <comment ref="AB240" authorId="0">
      <text>
        <r>
          <rPr>
            <b/>
            <sz val="16"/>
            <rFont val="宋体"/>
            <charset val="134"/>
          </rPr>
          <t>Administrator:</t>
        </r>
        <r>
          <rPr>
            <sz val="16"/>
            <rFont val="宋体"/>
            <charset val="134"/>
          </rPr>
          <t xml:space="preserve">
1200584 12/2 2808 pcs 华兴三楼A18</t>
        </r>
      </text>
    </comment>
    <comment ref="AD240" authorId="0">
      <text>
        <r>
          <rPr>
            <b/>
            <sz val="14"/>
            <rFont val="宋体"/>
            <charset val="134"/>
          </rPr>
          <t>Administrator:</t>
        </r>
        <r>
          <rPr>
            <sz val="14"/>
            <rFont val="宋体"/>
            <charset val="134"/>
          </rPr>
          <t xml:space="preserve">
11/21上 客供RFID贴纸 2940 pcs</t>
        </r>
      </text>
    </comment>
    <comment ref="AB241" authorId="0">
      <text>
        <r>
          <rPr>
            <b/>
            <sz val="16"/>
            <rFont val="宋体"/>
            <charset val="134"/>
          </rPr>
          <t>Administrator:</t>
        </r>
        <r>
          <rPr>
            <sz val="16"/>
            <rFont val="宋体"/>
            <charset val="134"/>
          </rPr>
          <t xml:space="preserve">
1200584 12/2 3408 pcs 华兴三楼A18</t>
        </r>
      </text>
    </comment>
    <comment ref="AD241" authorId="0">
      <text>
        <r>
          <rPr>
            <b/>
            <sz val="14"/>
            <rFont val="宋体"/>
            <charset val="134"/>
          </rPr>
          <t>Administrator:</t>
        </r>
        <r>
          <rPr>
            <sz val="14"/>
            <rFont val="宋体"/>
            <charset val="134"/>
          </rPr>
          <t xml:space="preserve">
11/21上 客供RFID贴纸 2940 pcs</t>
        </r>
      </text>
    </comment>
    <comment ref="AB242" authorId="0">
      <text>
        <r>
          <rPr>
            <b/>
            <sz val="16"/>
            <rFont val="宋体"/>
            <charset val="134"/>
          </rPr>
          <t>Administrator:</t>
        </r>
        <r>
          <rPr>
            <sz val="16"/>
            <rFont val="宋体"/>
            <charset val="134"/>
          </rPr>
          <t xml:space="preserve">
1200584 12/2 2808 pcs 华兴三楼A18</t>
        </r>
      </text>
    </comment>
    <comment ref="AD242" authorId="0">
      <text>
        <r>
          <rPr>
            <b/>
            <sz val="14"/>
            <rFont val="宋体"/>
            <charset val="134"/>
          </rPr>
          <t>Administrator:</t>
        </r>
        <r>
          <rPr>
            <sz val="14"/>
            <rFont val="宋体"/>
            <charset val="134"/>
          </rPr>
          <t xml:space="preserve">
11/21上 客供RFID贴纸 3570 pcs</t>
        </r>
      </text>
    </comment>
    <comment ref="AB243" authorId="0">
      <text>
        <r>
          <rPr>
            <b/>
            <sz val="16"/>
            <rFont val="宋体"/>
            <charset val="134"/>
          </rPr>
          <t>Administrator:</t>
        </r>
        <r>
          <rPr>
            <sz val="16"/>
            <rFont val="宋体"/>
            <charset val="134"/>
          </rPr>
          <t xml:space="preserve">
1200584 12/2 2400 pcs 华兴三楼A19</t>
        </r>
      </text>
    </comment>
    <comment ref="AD243" authorId="0">
      <text>
        <r>
          <rPr>
            <b/>
            <sz val="14"/>
            <rFont val="宋体"/>
            <charset val="134"/>
          </rPr>
          <t>Administrator:</t>
        </r>
        <r>
          <rPr>
            <sz val="14"/>
            <rFont val="宋体"/>
            <charset val="134"/>
          </rPr>
          <t xml:space="preserve">
11/21上 客供RFID贴纸 2520 pcs</t>
        </r>
      </text>
    </comment>
    <comment ref="AB244" authorId="0">
      <text>
        <r>
          <rPr>
            <b/>
            <sz val="16"/>
            <rFont val="宋体"/>
            <charset val="134"/>
          </rPr>
          <t>Administrator:</t>
        </r>
        <r>
          <rPr>
            <sz val="16"/>
            <rFont val="宋体"/>
            <charset val="134"/>
          </rPr>
          <t xml:space="preserve">
1200636 12/5 1290 pcs 华兴三楼A24</t>
        </r>
      </text>
    </comment>
    <comment ref="AD244" authorId="0">
      <text>
        <r>
          <rPr>
            <b/>
            <sz val="16"/>
            <rFont val="宋体"/>
            <charset val="134"/>
          </rPr>
          <t>Administrator:</t>
        </r>
        <r>
          <rPr>
            <sz val="16"/>
            <rFont val="宋体"/>
            <charset val="134"/>
          </rPr>
          <t xml:space="preserve">
10/13上 粉色MOD艾利贴纸 645 pcs
o10/22上 客供RFID贴纸 1290 pcs</t>
        </r>
      </text>
    </comment>
    <comment ref="AB245" authorId="0">
      <text>
        <r>
          <rPr>
            <b/>
            <sz val="16"/>
            <rFont val="宋体"/>
            <charset val="134"/>
          </rPr>
          <t>Administrator:</t>
        </r>
        <r>
          <rPr>
            <sz val="16"/>
            <rFont val="宋体"/>
            <charset val="134"/>
          </rPr>
          <t xml:space="preserve">
1200636 12/5 488 pcs 华兴三楼B13</t>
        </r>
      </text>
    </comment>
    <comment ref="AD245" authorId="0">
      <text>
        <r>
          <rPr>
            <b/>
            <sz val="16"/>
            <rFont val="宋体"/>
            <charset val="134"/>
          </rPr>
          <t>Administrator:</t>
        </r>
        <r>
          <rPr>
            <sz val="16"/>
            <rFont val="宋体"/>
            <charset val="134"/>
          </rPr>
          <t xml:space="preserve">
10/13上 粉色MOD艾利贴纸 244 pcs
o10/22上 客供RFID贴纸 488 pcs
</t>
        </r>
      </text>
    </comment>
    <comment ref="AB246" authorId="0">
      <text>
        <r>
          <rPr>
            <b/>
            <sz val="16"/>
            <rFont val="宋体"/>
            <charset val="134"/>
          </rPr>
          <t>Administrator:</t>
        </r>
        <r>
          <rPr>
            <sz val="16"/>
            <rFont val="宋体"/>
            <charset val="134"/>
          </rPr>
          <t xml:space="preserve">
1200636 12/5 384 pcs 华兴三楼B13</t>
        </r>
      </text>
    </comment>
    <comment ref="AD246" authorId="0">
      <text>
        <r>
          <rPr>
            <b/>
            <sz val="18"/>
            <rFont val="宋体"/>
            <charset val="134"/>
          </rPr>
          <t>Administrator:</t>
        </r>
        <r>
          <rPr>
            <sz val="18"/>
            <rFont val="宋体"/>
            <charset val="134"/>
          </rPr>
          <t xml:space="preserve">
10/22上 客供RFIF贴纸 384 pcs
</t>
        </r>
      </text>
    </comment>
    <comment ref="AB247" authorId="0">
      <text>
        <r>
          <rPr>
            <b/>
            <sz val="16"/>
            <rFont val="宋体"/>
            <charset val="134"/>
          </rPr>
          <t>Administrator:</t>
        </r>
        <r>
          <rPr>
            <sz val="16"/>
            <rFont val="宋体"/>
            <charset val="134"/>
          </rPr>
          <t xml:space="preserve">
1200628 12/5 2250 pcs 华兴三楼A29       
1200636 12/5 224 pcs A29</t>
        </r>
      </text>
    </comment>
    <comment ref="AD247" authorId="0">
      <text>
        <r>
          <rPr>
            <b/>
            <sz val="18"/>
            <rFont val="宋体"/>
            <charset val="134"/>
          </rPr>
          <t>Administrator:</t>
        </r>
        <r>
          <rPr>
            <sz val="18"/>
            <rFont val="宋体"/>
            <charset val="134"/>
          </rPr>
          <t xml:space="preserve">
10/22上 客供RFIF贴纸 2474 pcs
</t>
        </r>
      </text>
    </comment>
    <comment ref="AB248" authorId="0">
      <text>
        <r>
          <rPr>
            <b/>
            <sz val="16"/>
            <rFont val="宋体"/>
            <charset val="134"/>
          </rPr>
          <t>Administrator:</t>
        </r>
        <r>
          <rPr>
            <sz val="16"/>
            <rFont val="宋体"/>
            <charset val="134"/>
          </rPr>
          <t xml:space="preserve">
1200923 12/15 300 pcs 直走</t>
        </r>
      </text>
    </comment>
    <comment ref="AD248" authorId="0">
      <text>
        <r>
          <rPr>
            <b/>
            <sz val="14"/>
            <rFont val="宋体"/>
            <charset val="134"/>
          </rPr>
          <t>Administrator:</t>
        </r>
        <r>
          <rPr>
            <sz val="14"/>
            <rFont val="宋体"/>
            <charset val="134"/>
          </rPr>
          <t xml:space="preserve">
11/21上 zuru.com贴纸 300 pcs
12/11上 带干电池走货北欧六语通用黑白电池说明书 300 pcs</t>
        </r>
      </text>
    </comment>
    <comment ref="AB249" authorId="0">
      <text>
        <r>
          <rPr>
            <b/>
            <sz val="16"/>
            <rFont val="宋体"/>
            <charset val="134"/>
          </rPr>
          <t>Administrator:</t>
        </r>
        <r>
          <rPr>
            <sz val="16"/>
            <rFont val="宋体"/>
            <charset val="134"/>
          </rPr>
          <t xml:space="preserve">
1200923 12/15 300 pcs 直走</t>
        </r>
      </text>
    </comment>
    <comment ref="AD249" authorId="0">
      <text>
        <r>
          <rPr>
            <b/>
            <sz val="14"/>
            <rFont val="宋体"/>
            <charset val="134"/>
          </rPr>
          <t>Administrator:</t>
        </r>
        <r>
          <rPr>
            <sz val="14"/>
            <rFont val="宋体"/>
            <charset val="134"/>
          </rPr>
          <t xml:space="preserve">
11/21上 zuru.com贴纸 300 pcs
12/11上 带干电池走货北欧六语通用黑白电池说明书 300 pcs</t>
        </r>
      </text>
    </comment>
    <comment ref="AB250" authorId="0">
      <text>
        <r>
          <rPr>
            <b/>
            <sz val="16"/>
            <rFont val="宋体"/>
            <charset val="134"/>
          </rPr>
          <t>Administrator:</t>
        </r>
        <r>
          <rPr>
            <sz val="16"/>
            <rFont val="宋体"/>
            <charset val="134"/>
          </rPr>
          <t xml:space="preserve">
1200784 12/13 504 pcs 华兴三楼B14</t>
        </r>
      </text>
    </comment>
    <comment ref="AB251" authorId="0">
      <text>
        <r>
          <rPr>
            <b/>
            <sz val="16"/>
            <rFont val="宋体"/>
            <charset val="134"/>
          </rPr>
          <t>Administrator:</t>
        </r>
        <r>
          <rPr>
            <sz val="16"/>
            <rFont val="宋体"/>
            <charset val="134"/>
          </rPr>
          <t xml:space="preserve">
1200776 12/12 504 pcs 王四楼A2</t>
        </r>
      </text>
    </comment>
    <comment ref="AB252" authorId="0">
      <text>
        <r>
          <rPr>
            <b/>
            <sz val="16"/>
            <rFont val="宋体"/>
            <charset val="134"/>
          </rPr>
          <t>Administrator:</t>
        </r>
        <r>
          <rPr>
            <sz val="16"/>
            <rFont val="宋体"/>
            <charset val="134"/>
          </rPr>
          <t xml:space="preserve">
1200221 12/9 3218 pcs 华兴三楼A21</t>
        </r>
      </text>
    </comment>
    <comment ref="AD252" authorId="0">
      <text>
        <r>
          <rPr>
            <b/>
            <sz val="18"/>
            <rFont val="宋体"/>
            <charset val="134"/>
          </rPr>
          <t>Administrator:</t>
        </r>
        <r>
          <rPr>
            <sz val="18"/>
            <rFont val="宋体"/>
            <charset val="134"/>
          </rPr>
          <t xml:space="preserve">
10/22上 客供RFIF贴纸 3218 pcs
</t>
        </r>
      </text>
    </comment>
    <comment ref="AB253" authorId="0">
      <text>
        <r>
          <rPr>
            <b/>
            <sz val="16"/>
            <rFont val="宋体"/>
            <charset val="134"/>
          </rPr>
          <t>Administrator:</t>
        </r>
        <r>
          <rPr>
            <sz val="16"/>
            <rFont val="宋体"/>
            <charset val="134"/>
          </rPr>
          <t xml:space="preserve">
1200220 12/9 1818 pcs 华兴三楼B8</t>
        </r>
      </text>
    </comment>
    <comment ref="AD253" authorId="0">
      <text>
        <r>
          <rPr>
            <b/>
            <sz val="18"/>
            <rFont val="宋体"/>
            <charset val="134"/>
          </rPr>
          <t>Administrator:</t>
        </r>
        <r>
          <rPr>
            <sz val="18"/>
            <rFont val="宋体"/>
            <charset val="134"/>
          </rPr>
          <t xml:space="preserve">
10/22上 客供RFIF贴纸 1818 pcs
</t>
        </r>
      </text>
    </comment>
    <comment ref="AB254" authorId="0">
      <text>
        <r>
          <rPr>
            <b/>
            <sz val="16"/>
            <rFont val="宋体"/>
            <charset val="134"/>
          </rPr>
          <t>Administrator:</t>
        </r>
        <r>
          <rPr>
            <sz val="16"/>
            <rFont val="宋体"/>
            <charset val="134"/>
          </rPr>
          <t xml:space="preserve">
1200221 12/9 3600 pcs 华兴三楼A10     
1200226 12/9 1008 pcs A10</t>
        </r>
      </text>
    </comment>
    <comment ref="AD254" authorId="0">
      <text>
        <r>
          <rPr>
            <b/>
            <sz val="18"/>
            <rFont val="宋体"/>
            <charset val="134"/>
          </rPr>
          <t>Administrator:</t>
        </r>
        <r>
          <rPr>
            <sz val="18"/>
            <rFont val="宋体"/>
            <charset val="134"/>
          </rPr>
          <t xml:space="preserve">
10/22上 客供RFIF贴纸 4608 pcs
</t>
        </r>
      </text>
    </comment>
    <comment ref="AB255" authorId="0">
      <text>
        <r>
          <rPr>
            <b/>
            <sz val="16"/>
            <rFont val="宋体"/>
            <charset val="134"/>
          </rPr>
          <t>Administrator:</t>
        </r>
        <r>
          <rPr>
            <sz val="16"/>
            <rFont val="宋体"/>
            <charset val="134"/>
          </rPr>
          <t xml:space="preserve">
1200221 12/9 3674 pcs 华兴三楼A20</t>
        </r>
      </text>
    </comment>
    <comment ref="AD255" authorId="0">
      <text>
        <r>
          <rPr>
            <b/>
            <sz val="18"/>
            <rFont val="宋体"/>
            <charset val="134"/>
          </rPr>
          <t>Administrator:</t>
        </r>
        <r>
          <rPr>
            <sz val="18"/>
            <rFont val="宋体"/>
            <charset val="134"/>
          </rPr>
          <t xml:space="preserve">
10/22上 客供RFIF贴纸 3674 pcs
</t>
        </r>
      </text>
    </comment>
    <comment ref="AB256" authorId="0">
      <text>
        <r>
          <rPr>
            <b/>
            <sz val="16"/>
            <rFont val="宋体"/>
            <charset val="134"/>
          </rPr>
          <t>Administrator:</t>
        </r>
        <r>
          <rPr>
            <sz val="16"/>
            <rFont val="宋体"/>
            <charset val="134"/>
          </rPr>
          <t xml:space="preserve">
1200220 12/9 1950 pcs 华兴三楼B8        
1200221 12/9 1934 pcs B8</t>
        </r>
      </text>
    </comment>
    <comment ref="AD256" authorId="0">
      <text>
        <r>
          <rPr>
            <b/>
            <sz val="18"/>
            <rFont val="宋体"/>
            <charset val="134"/>
          </rPr>
          <t>Administrator:</t>
        </r>
        <r>
          <rPr>
            <sz val="18"/>
            <rFont val="宋体"/>
            <charset val="134"/>
          </rPr>
          <t xml:space="preserve">
10/22上 客供RFIF贴纸 3884 pcs
</t>
        </r>
      </text>
    </comment>
    <comment ref="AB257" authorId="0">
      <text>
        <r>
          <rPr>
            <b/>
            <sz val="16"/>
            <rFont val="宋体"/>
            <charset val="134"/>
          </rPr>
          <t>Administrator:</t>
        </r>
        <r>
          <rPr>
            <sz val="16"/>
            <rFont val="宋体"/>
            <charset val="134"/>
          </rPr>
          <t xml:space="preserve">
1200926 12/17 1800 pcs 华兴三楼B15</t>
        </r>
      </text>
    </comment>
    <comment ref="AB258" authorId="0">
      <text>
        <r>
          <rPr>
            <b/>
            <sz val="16"/>
            <rFont val="宋体"/>
            <charset val="134"/>
          </rPr>
          <t>Administrator:</t>
        </r>
        <r>
          <rPr>
            <sz val="16"/>
            <rFont val="宋体"/>
            <charset val="134"/>
          </rPr>
          <t xml:space="preserve">
1200926 12/17 900 pcs  华兴三楼A28
1200934 12/17 600 pcs 华兴三楼B15
</t>
        </r>
      </text>
    </comment>
    <comment ref="AB259" authorId="0">
      <text>
        <r>
          <rPr>
            <b/>
            <sz val="16"/>
            <rFont val="宋体"/>
            <charset val="134"/>
          </rPr>
          <t>Administrator:</t>
        </r>
        <r>
          <rPr>
            <sz val="16"/>
            <rFont val="宋体"/>
            <charset val="134"/>
          </rPr>
          <t xml:space="preserve">
1200934 12/17 1500 pcs 华兴三楼B15
</t>
        </r>
      </text>
    </comment>
    <comment ref="AB260" authorId="0">
      <text>
        <r>
          <rPr>
            <b/>
            <sz val="16"/>
            <rFont val="宋体"/>
            <charset val="134"/>
          </rPr>
          <t>Administrator:</t>
        </r>
        <r>
          <rPr>
            <sz val="16"/>
            <rFont val="宋体"/>
            <charset val="134"/>
          </rPr>
          <t xml:space="preserve">
1200934 12/17 2000 pcs 华兴三楼A28
</t>
        </r>
      </text>
    </comment>
    <comment ref="AB261" authorId="0">
      <text>
        <r>
          <rPr>
            <b/>
            <sz val="16"/>
            <rFont val="宋体"/>
            <charset val="134"/>
          </rPr>
          <t>Administrator:</t>
        </r>
        <r>
          <rPr>
            <sz val="16"/>
            <rFont val="宋体"/>
            <charset val="134"/>
          </rPr>
          <t xml:space="preserve">
1200934 12/17 1200 pcs 华兴三楼A30
</t>
        </r>
      </text>
    </comment>
    <comment ref="AB262" authorId="0">
      <text>
        <r>
          <rPr>
            <b/>
            <sz val="16"/>
            <rFont val="宋体"/>
            <charset val="134"/>
          </rPr>
          <t>Administrator:</t>
        </r>
        <r>
          <rPr>
            <sz val="16"/>
            <rFont val="宋体"/>
            <charset val="134"/>
          </rPr>
          <t xml:space="preserve">
1200934 12/17 1000 pcs 华兴三楼A30
</t>
        </r>
      </text>
    </comment>
    <comment ref="AB263" authorId="0">
      <text>
        <r>
          <rPr>
            <b/>
            <sz val="16"/>
            <rFont val="宋体"/>
            <charset val="134"/>
          </rPr>
          <t>Administrator:</t>
        </r>
        <r>
          <rPr>
            <sz val="16"/>
            <rFont val="宋体"/>
            <charset val="134"/>
          </rPr>
          <t xml:space="preserve">
1200934 12/17 1500 pcs 华兴三楼A30
</t>
        </r>
      </text>
    </comment>
    <comment ref="AB264" authorId="0">
      <text>
        <r>
          <rPr>
            <b/>
            <sz val="16"/>
            <rFont val="宋体"/>
            <charset val="134"/>
          </rPr>
          <t>Administrator:</t>
        </r>
        <r>
          <rPr>
            <sz val="16"/>
            <rFont val="宋体"/>
            <charset val="134"/>
          </rPr>
          <t xml:space="preserve">
1200934 12/17 2400 pcs</t>
        </r>
      </text>
    </comment>
    <comment ref="AB265" authorId="0">
      <text>
        <r>
          <rPr>
            <b/>
            <sz val="16"/>
            <rFont val="宋体"/>
            <charset val="134"/>
          </rPr>
          <t>Administrator:</t>
        </r>
        <r>
          <rPr>
            <sz val="16"/>
            <rFont val="宋体"/>
            <charset val="134"/>
          </rPr>
          <t xml:space="preserve">
1200934 12/17 1300 pcs 华兴三楼A30
</t>
        </r>
      </text>
    </comment>
    <comment ref="AB266" authorId="0">
      <text>
        <r>
          <rPr>
            <b/>
            <sz val="16"/>
            <rFont val="宋体"/>
            <charset val="134"/>
          </rPr>
          <t>Administrator:</t>
        </r>
        <r>
          <rPr>
            <sz val="16"/>
            <rFont val="宋体"/>
            <charset val="134"/>
          </rPr>
          <t xml:space="preserve">
1200934 12/17 450 pcs 华兴三楼A30      
1200964 12/17 1350 pcs B15</t>
        </r>
      </text>
    </comment>
    <comment ref="AB267" authorId="0">
      <text>
        <r>
          <rPr>
            <b/>
            <sz val="16"/>
            <rFont val="宋体"/>
            <charset val="134"/>
          </rPr>
          <t>Administrator:</t>
        </r>
        <r>
          <rPr>
            <sz val="16"/>
            <rFont val="宋体"/>
            <charset val="134"/>
          </rPr>
          <t xml:space="preserve">
1200964 12/17 3000 pcs 华兴三楼B15
</t>
        </r>
        <r>
          <rPr>
            <sz val="9"/>
            <rFont val="宋体"/>
            <charset val="134"/>
          </rPr>
          <t xml:space="preserve">
</t>
        </r>
      </text>
    </comment>
    <comment ref="AB268" authorId="0">
      <text>
        <r>
          <rPr>
            <b/>
            <sz val="18"/>
            <rFont val="宋体"/>
            <charset val="134"/>
          </rPr>
          <t>Administrator:</t>
        </r>
        <r>
          <rPr>
            <sz val="18"/>
            <rFont val="宋体"/>
            <charset val="134"/>
          </rPr>
          <t xml:space="preserve">
1200964 12/17 1452 pcs 华兴三楼A30</t>
        </r>
        <r>
          <rPr>
            <sz val="10"/>
            <rFont val="宋体"/>
            <charset val="134"/>
          </rPr>
          <t xml:space="preserve">
</t>
        </r>
        <r>
          <rPr>
            <sz val="18"/>
            <rFont val="宋体"/>
            <charset val="134"/>
          </rPr>
          <t>3000573 12/18 148 pcs 四楼B6</t>
        </r>
      </text>
    </comment>
    <comment ref="AB269" authorId="0">
      <text>
        <r>
          <rPr>
            <b/>
            <sz val="16"/>
            <rFont val="宋体"/>
            <charset val="134"/>
          </rPr>
          <t>Administrator:</t>
        </r>
        <r>
          <rPr>
            <sz val="16"/>
            <rFont val="宋体"/>
            <charset val="134"/>
          </rPr>
          <t xml:space="preserve">
3000573 12/18 1500 pcs 四楼B6</t>
        </r>
      </text>
    </comment>
    <comment ref="AB270" authorId="0">
      <text>
        <r>
          <rPr>
            <b/>
            <sz val="16"/>
            <rFont val="宋体"/>
            <charset val="134"/>
          </rPr>
          <t>Administrator:</t>
        </r>
        <r>
          <rPr>
            <sz val="16"/>
            <rFont val="宋体"/>
            <charset val="134"/>
          </rPr>
          <t xml:space="preserve">
3000573 12/18 152 pcs      
1200993 12/18 2048 pcs 华兴三楼B9</t>
        </r>
      </text>
    </comment>
    <comment ref="AB271" authorId="0">
      <text>
        <r>
          <rPr>
            <b/>
            <sz val="16"/>
            <rFont val="宋体"/>
            <charset val="134"/>
          </rPr>
          <t>Administrator:</t>
        </r>
        <r>
          <rPr>
            <sz val="16"/>
            <rFont val="宋体"/>
            <charset val="134"/>
          </rPr>
          <t xml:space="preserve">
1200993 12/18 2000 pcs 华兴三楼B9</t>
        </r>
      </text>
    </comment>
    <comment ref="AB272" authorId="0">
      <text>
        <r>
          <rPr>
            <b/>
            <sz val="16"/>
            <rFont val="宋体"/>
            <charset val="134"/>
          </rPr>
          <t>Administrator:</t>
        </r>
        <r>
          <rPr>
            <sz val="16"/>
            <rFont val="宋体"/>
            <charset val="134"/>
          </rPr>
          <t xml:space="preserve">
1200161 12/19 1788 pcs 四楼B3</t>
        </r>
      </text>
    </comment>
    <comment ref="AD272" authorId="0">
      <text>
        <r>
          <rPr>
            <b/>
            <sz val="16"/>
            <rFont val="宋体"/>
            <charset val="134"/>
          </rPr>
          <t>Administrator:</t>
        </r>
        <r>
          <rPr>
            <sz val="16"/>
            <rFont val="宋体"/>
            <charset val="134"/>
          </rPr>
          <t xml:space="preserve">
12/3上 UCC外箱贴纸 150 pcs</t>
        </r>
      </text>
    </comment>
    <comment ref="AB273" authorId="0">
      <text>
        <r>
          <rPr>
            <b/>
            <sz val="16"/>
            <rFont val="宋体"/>
            <charset val="134"/>
          </rPr>
          <t>Administrator:</t>
        </r>
        <r>
          <rPr>
            <sz val="16"/>
            <rFont val="宋体"/>
            <charset val="134"/>
          </rPr>
          <t xml:space="preserve">
1201005 12/19 1800 pcs 四楼A8
1600016 12/22 12 pcs B3</t>
        </r>
      </text>
    </comment>
    <comment ref="AD273" authorId="0">
      <text>
        <r>
          <rPr>
            <b/>
            <sz val="16"/>
            <rFont val="宋体"/>
            <charset val="134"/>
          </rPr>
          <t>Administrator:</t>
        </r>
        <r>
          <rPr>
            <sz val="16"/>
            <rFont val="宋体"/>
            <charset val="134"/>
          </rPr>
          <t xml:space="preserve">
12/3上 UCC外箱贴纸 150 pcs</t>
        </r>
      </text>
    </comment>
    <comment ref="AB274" authorId="0">
      <text>
        <r>
          <rPr>
            <b/>
            <sz val="16"/>
            <rFont val="宋体"/>
            <charset val="134"/>
          </rPr>
          <t>Administrator:</t>
        </r>
        <r>
          <rPr>
            <sz val="16"/>
            <rFont val="宋体"/>
            <charset val="134"/>
          </rPr>
          <t xml:space="preserve">
1201005 12/19 1080 pcs 四楼B6    
12001006 12/19 720 pcs  B6</t>
        </r>
      </text>
    </comment>
    <comment ref="AD274" authorId="0">
      <text>
        <r>
          <rPr>
            <b/>
            <sz val="16"/>
            <rFont val="宋体"/>
            <charset val="134"/>
          </rPr>
          <t>Administrator:</t>
        </r>
        <r>
          <rPr>
            <sz val="16"/>
            <rFont val="宋体"/>
            <charset val="134"/>
          </rPr>
          <t xml:space="preserve">
12/3上 UCC外箱贴纸 150 pcs</t>
        </r>
      </text>
    </comment>
    <comment ref="AB275" authorId="0">
      <text>
        <r>
          <rPr>
            <b/>
            <sz val="16"/>
            <rFont val="宋体"/>
            <charset val="134"/>
          </rPr>
          <t>Administrator:</t>
        </r>
        <r>
          <rPr>
            <sz val="16"/>
            <rFont val="宋体"/>
            <charset val="134"/>
          </rPr>
          <t xml:space="preserve">
1201005 12/19 1800 pcs 四楼A5</t>
        </r>
      </text>
    </comment>
    <comment ref="AD275" authorId="0">
      <text>
        <r>
          <rPr>
            <b/>
            <sz val="16"/>
            <rFont val="宋体"/>
            <charset val="134"/>
          </rPr>
          <t>Administrator:</t>
        </r>
        <r>
          <rPr>
            <sz val="16"/>
            <rFont val="宋体"/>
            <charset val="134"/>
          </rPr>
          <t xml:space="preserve">
12/3上 UCC外箱贴纸 150 pcs</t>
        </r>
      </text>
    </comment>
    <comment ref="AB276" authorId="0">
      <text>
        <r>
          <rPr>
            <b/>
            <sz val="18"/>
            <rFont val="宋体"/>
            <charset val="134"/>
          </rPr>
          <t>Administrator:</t>
        </r>
        <r>
          <rPr>
            <sz val="18"/>
            <rFont val="宋体"/>
            <charset val="134"/>
          </rPr>
          <t xml:space="preserve">
1201036 12/22 2508 pcs 四楼C4</t>
        </r>
      </text>
    </comment>
    <comment ref="AD276" authorId="0">
      <text>
        <r>
          <rPr>
            <b/>
            <sz val="16"/>
            <rFont val="宋体"/>
            <charset val="134"/>
          </rPr>
          <t>Administrator:</t>
        </r>
        <r>
          <rPr>
            <sz val="16"/>
            <rFont val="宋体"/>
            <charset val="134"/>
          </rPr>
          <t xml:space="preserve">
12/3上 德语/法语callout/法国sorting label贴纸 2508 pcs</t>
        </r>
      </text>
    </comment>
    <comment ref="AB277" authorId="0">
      <text>
        <r>
          <rPr>
            <b/>
            <sz val="16"/>
            <rFont val="宋体"/>
            <charset val="134"/>
          </rPr>
          <t>Administrator:</t>
        </r>
        <r>
          <rPr>
            <sz val="16"/>
            <rFont val="宋体"/>
            <charset val="134"/>
          </rPr>
          <t xml:space="preserve">
1600154 12/30 7260 pcs 四楼A5</t>
        </r>
      </text>
    </comment>
    <comment ref="AD277" authorId="0">
      <text>
        <r>
          <rPr>
            <b/>
            <sz val="16"/>
            <rFont val="宋体"/>
            <charset val="134"/>
          </rPr>
          <t>Administrator:</t>
        </r>
        <r>
          <rPr>
            <sz val="16"/>
            <rFont val="宋体"/>
            <charset val="134"/>
          </rPr>
          <t xml:space="preserve">
12/12上 进口商贴纸 7260 pcs
 客户EAN条码贴纸 7260 pcs
12/15上 QR+SSCC 贴纸  605 pcs</t>
        </r>
      </text>
    </comment>
    <comment ref="AB278" authorId="0">
      <text>
        <r>
          <rPr>
            <b/>
            <sz val="16"/>
            <rFont val="宋体"/>
            <charset val="134"/>
          </rPr>
          <t>Administrator:</t>
        </r>
        <r>
          <rPr>
            <sz val="16"/>
            <rFont val="宋体"/>
            <charset val="134"/>
          </rPr>
          <t xml:space="preserve">
1600153 12/30 4860 pcs 四楼B10
1600154 12/30 2400 pcs 四楼</t>
        </r>
      </text>
    </comment>
    <comment ref="AD278" authorId="0">
      <text>
        <r>
          <rPr>
            <b/>
            <sz val="16"/>
            <rFont val="宋体"/>
            <charset val="134"/>
          </rPr>
          <t>Administrator:</t>
        </r>
        <r>
          <rPr>
            <sz val="16"/>
            <rFont val="宋体"/>
            <charset val="134"/>
          </rPr>
          <t xml:space="preserve">
12/12上 进口商贴纸 7260 pcs
 客户EAN条码贴纸 7260 pcs
12/15上 QR+SSCC 贴纸  605 pcs</t>
        </r>
      </text>
    </comment>
    <comment ref="AB279" authorId="0">
      <text>
        <r>
          <rPr>
            <b/>
            <sz val="16"/>
            <rFont val="宋体"/>
            <charset val="134"/>
          </rPr>
          <t>Administrator:</t>
        </r>
        <r>
          <rPr>
            <sz val="16"/>
            <rFont val="宋体"/>
            <charset val="134"/>
          </rPr>
          <t xml:space="preserve">
1600154 12/30 2748 pcs 四楼B4</t>
        </r>
      </text>
    </comment>
    <comment ref="AD279" authorId="0">
      <text>
        <r>
          <rPr>
            <b/>
            <sz val="16"/>
            <rFont val="宋体"/>
            <charset val="134"/>
          </rPr>
          <t>Administrator:</t>
        </r>
        <r>
          <rPr>
            <sz val="16"/>
            <rFont val="宋体"/>
            <charset val="134"/>
          </rPr>
          <t xml:space="preserve">
12/12上 进口商贴纸 2748 pcs
 客户EAN条码贴纸 2748 pcs
12/15上 QR+SSCC 贴纸  229 pcs</t>
        </r>
      </text>
    </comment>
    <comment ref="AB280" authorId="0">
      <text>
        <r>
          <rPr>
            <b/>
            <sz val="16"/>
            <rFont val="宋体"/>
            <charset val="134"/>
          </rPr>
          <t>Administrator:</t>
        </r>
        <r>
          <rPr>
            <sz val="16"/>
            <rFont val="宋体"/>
            <charset val="134"/>
          </rPr>
          <t xml:space="preserve">
1600154 12/30 2748 pcs 四楼A3</t>
        </r>
      </text>
    </comment>
    <comment ref="AD280" authorId="0">
      <text>
        <r>
          <rPr>
            <b/>
            <sz val="16"/>
            <rFont val="宋体"/>
            <charset val="134"/>
          </rPr>
          <t>Administrator:</t>
        </r>
        <r>
          <rPr>
            <sz val="16"/>
            <rFont val="宋体"/>
            <charset val="134"/>
          </rPr>
          <t xml:space="preserve">
12/12上 进口商贴纸 2748 pcs
 客户EAN条码贴纸 2748 pcs
12/15上 QR+SSCC 贴纸  229 pcs</t>
        </r>
      </text>
    </comment>
    <comment ref="AB281" authorId="0">
      <text>
        <r>
          <rPr>
            <b/>
            <sz val="16"/>
            <rFont val="宋体"/>
            <charset val="134"/>
          </rPr>
          <t>Administrator:</t>
        </r>
        <r>
          <rPr>
            <sz val="16"/>
            <rFont val="宋体"/>
            <charset val="134"/>
          </rPr>
          <t xml:space="preserve">
1600145 12/29 512 pcs 华兴三楼B13</t>
        </r>
      </text>
    </comment>
    <comment ref="AD281" authorId="0">
      <text>
        <r>
          <rPr>
            <b/>
            <sz val="18"/>
            <rFont val="宋体"/>
            <charset val="134"/>
          </rPr>
          <t>Administrator:</t>
        </r>
        <r>
          <rPr>
            <sz val="18"/>
            <rFont val="宋体"/>
            <charset val="134"/>
          </rPr>
          <t xml:space="preserve">
10/22上 客供RFIF贴纸 512 pcs
</t>
        </r>
      </text>
    </comment>
    <comment ref="AB282" authorId="0">
      <text>
        <r>
          <rPr>
            <b/>
            <sz val="16"/>
            <rFont val="宋体"/>
            <charset val="134"/>
          </rPr>
          <t>Administrator:</t>
        </r>
        <r>
          <rPr>
            <sz val="16"/>
            <rFont val="宋体"/>
            <charset val="134"/>
          </rPr>
          <t xml:space="preserve">
1600136 12/29 2710 pcs 华兴三楼A30
1600164 12/31 588 pcs A30</t>
        </r>
      </text>
    </comment>
    <comment ref="AD282" authorId="0">
      <text>
        <r>
          <rPr>
            <b/>
            <sz val="18"/>
            <rFont val="宋体"/>
            <charset val="134"/>
          </rPr>
          <t>Administrator:</t>
        </r>
        <r>
          <rPr>
            <sz val="18"/>
            <rFont val="宋体"/>
            <charset val="134"/>
          </rPr>
          <t xml:space="preserve">
10/22上 客供RFIF贴纸 3298 pcs
</t>
        </r>
      </text>
    </comment>
    <comment ref="AB283" authorId="0">
      <text>
        <r>
          <rPr>
            <b/>
            <sz val="16"/>
            <rFont val="宋体"/>
            <charset val="134"/>
          </rPr>
          <t>Administrator:</t>
        </r>
        <r>
          <rPr>
            <sz val="16"/>
            <rFont val="宋体"/>
            <charset val="134"/>
          </rPr>
          <t xml:space="preserve">
1600983 1/3 504 pcs 华兴三楼B14</t>
        </r>
      </text>
    </comment>
    <comment ref="AD283" authorId="0">
      <text>
        <r>
          <rPr>
            <b/>
            <sz val="14"/>
            <rFont val="宋体"/>
            <charset val="134"/>
          </rPr>
          <t>Administrator:</t>
        </r>
        <r>
          <rPr>
            <sz val="14"/>
            <rFont val="宋体"/>
            <charset val="134"/>
          </rPr>
          <t xml:space="preserve">
12/5上 黑白说明书 504 pcs
12/9上 进口商贴纸 504 pcs
 UPC贴纸 504 pcs</t>
        </r>
      </text>
    </comment>
    <comment ref="AB284" authorId="0">
      <text>
        <r>
          <rPr>
            <b/>
            <sz val="16"/>
            <rFont val="宋体"/>
            <charset val="134"/>
          </rPr>
          <t>Administrator:</t>
        </r>
        <r>
          <rPr>
            <sz val="16"/>
            <rFont val="宋体"/>
            <charset val="134"/>
          </rPr>
          <t xml:space="preserve">
1600972 1/3 504 pcs 四楼B5</t>
        </r>
      </text>
    </comment>
    <comment ref="AD284" authorId="0">
      <text>
        <r>
          <rPr>
            <b/>
            <sz val="14"/>
            <rFont val="宋体"/>
            <charset val="134"/>
          </rPr>
          <t>Administrator:</t>
        </r>
        <r>
          <rPr>
            <sz val="14"/>
            <rFont val="宋体"/>
            <charset val="134"/>
          </rPr>
          <t xml:space="preserve">
12/5上 黑白说明书 504 pcs
12/9上 进口商贴纸 504 pcs
 UPC贴纸 504 pcs</t>
        </r>
      </text>
    </comment>
    <comment ref="AB285" authorId="0">
      <text>
        <r>
          <rPr>
            <b/>
            <sz val="16"/>
            <rFont val="宋体"/>
            <charset val="134"/>
          </rPr>
          <t>Administrator:</t>
        </r>
        <r>
          <rPr>
            <sz val="16"/>
            <rFont val="宋体"/>
            <charset val="134"/>
          </rPr>
          <t xml:space="preserve">
1601072 1/10 804 pcs 华兴三楼A14</t>
        </r>
      </text>
    </comment>
    <comment ref="AD285" authorId="0">
      <text>
        <r>
          <rPr>
            <b/>
            <sz val="18"/>
            <rFont val="宋体"/>
            <charset val="134"/>
          </rPr>
          <t>Administrator:</t>
        </r>
        <r>
          <rPr>
            <sz val="18"/>
            <rFont val="宋体"/>
            <charset val="134"/>
          </rPr>
          <t xml:space="preserve">
12/24上 客供价格贴纸 885 pcs</t>
        </r>
      </text>
    </comment>
    <comment ref="AB286" authorId="0">
      <text>
        <r>
          <rPr>
            <b/>
            <sz val="16"/>
            <rFont val="宋体"/>
            <charset val="134"/>
          </rPr>
          <t>Administrator:</t>
        </r>
        <r>
          <rPr>
            <sz val="16"/>
            <rFont val="宋体"/>
            <charset val="134"/>
          </rPr>
          <t xml:space="preserve">
1601072 1/10 804 pcs 华兴三楼A14</t>
        </r>
      </text>
    </comment>
    <comment ref="AD286" authorId="0">
      <text>
        <r>
          <rPr>
            <b/>
            <sz val="18"/>
            <rFont val="宋体"/>
            <charset val="134"/>
          </rPr>
          <t>Administrator:</t>
        </r>
        <r>
          <rPr>
            <sz val="18"/>
            <rFont val="宋体"/>
            <charset val="134"/>
          </rPr>
          <t xml:space="preserve">
12/24上 客供价格贴纸 885 pcs</t>
        </r>
      </text>
    </comment>
    <comment ref="AB287" authorId="0">
      <text>
        <r>
          <rPr>
            <b/>
            <sz val="16"/>
            <rFont val="宋体"/>
            <charset val="134"/>
          </rPr>
          <t>Administrator:</t>
        </r>
        <r>
          <rPr>
            <sz val="16"/>
            <rFont val="宋体"/>
            <charset val="134"/>
          </rPr>
          <t xml:space="preserve">
1601072 1/10 144 pcs 华兴三楼B8</t>
        </r>
      </text>
    </comment>
    <comment ref="AD287" authorId="0">
      <text>
        <r>
          <rPr>
            <b/>
            <sz val="18"/>
            <rFont val="宋体"/>
            <charset val="134"/>
          </rPr>
          <t>Administrator:</t>
        </r>
        <r>
          <rPr>
            <sz val="18"/>
            <rFont val="宋体"/>
            <charset val="134"/>
          </rPr>
          <t xml:space="preserve">
12/24上 客供价格贴纸 159 pcs
上面的贴纸不见，补订
1/5上 客供价格贴纸 159 pcs</t>
        </r>
      </text>
    </comment>
    <comment ref="AB288" authorId="0">
      <text>
        <r>
          <rPr>
            <b/>
            <sz val="16"/>
            <rFont val="宋体"/>
            <charset val="134"/>
          </rPr>
          <t>Administrator:</t>
        </r>
        <r>
          <rPr>
            <sz val="16"/>
            <rFont val="宋体"/>
            <charset val="134"/>
          </rPr>
          <t xml:space="preserve">
1601072 1/10 144 pcs 华兴三楼B8</t>
        </r>
      </text>
    </comment>
    <comment ref="AD288" authorId="0">
      <text>
        <r>
          <rPr>
            <b/>
            <sz val="18"/>
            <rFont val="宋体"/>
            <charset val="134"/>
          </rPr>
          <t>Administrator:</t>
        </r>
        <r>
          <rPr>
            <sz val="18"/>
            <rFont val="宋体"/>
            <charset val="134"/>
          </rPr>
          <t xml:space="preserve">
12/24上 客供价格贴纸 159 pcs</t>
        </r>
      </text>
    </comment>
    <comment ref="AB289" authorId="0">
      <text>
        <r>
          <rPr>
            <b/>
            <sz val="16"/>
            <rFont val="宋体"/>
            <charset val="134"/>
          </rPr>
          <t>Administrator:</t>
        </r>
        <r>
          <rPr>
            <sz val="16"/>
            <rFont val="宋体"/>
            <charset val="134"/>
          </rPr>
          <t xml:space="preserve">
1601072 1/10 144 pcs 华兴三楼B8</t>
        </r>
      </text>
    </comment>
    <comment ref="AD289" authorId="0">
      <text>
        <r>
          <rPr>
            <b/>
            <sz val="18"/>
            <rFont val="宋体"/>
            <charset val="134"/>
          </rPr>
          <t>Administrator:</t>
        </r>
        <r>
          <rPr>
            <sz val="18"/>
            <rFont val="宋体"/>
            <charset val="134"/>
          </rPr>
          <t xml:space="preserve">
12/24上 客供价格贴纸 159 pcs
上面的贴纸不见，补订
1/5上 客供价格贴纸 159 pcs</t>
        </r>
      </text>
    </comment>
    <comment ref="AB290" authorId="0">
      <text>
        <r>
          <rPr>
            <b/>
            <sz val="16"/>
            <rFont val="宋体"/>
            <charset val="134"/>
          </rPr>
          <t>Administrator:</t>
        </r>
        <r>
          <rPr>
            <sz val="16"/>
            <rFont val="宋体"/>
            <charset val="134"/>
          </rPr>
          <t xml:space="preserve">
1601072 1/10 144 pcs 华兴三楼B8</t>
        </r>
      </text>
    </comment>
    <comment ref="AD290" authorId="0">
      <text>
        <r>
          <rPr>
            <b/>
            <sz val="18"/>
            <rFont val="宋体"/>
            <charset val="134"/>
          </rPr>
          <t>Administrator:</t>
        </r>
        <r>
          <rPr>
            <sz val="18"/>
            <rFont val="宋体"/>
            <charset val="134"/>
          </rPr>
          <t xml:space="preserve">
12/24上 客供价格贴纸 159 pcs</t>
        </r>
      </text>
    </comment>
    <comment ref="AB291" authorId="0">
      <text>
        <r>
          <rPr>
            <b/>
            <sz val="16"/>
            <rFont val="宋体"/>
            <charset val="134"/>
          </rPr>
          <t>Administrator:</t>
        </r>
        <r>
          <rPr>
            <sz val="16"/>
            <rFont val="宋体"/>
            <charset val="134"/>
          </rPr>
          <t xml:space="preserve">
1601084 1/10 204 pcs 四楼B1</t>
        </r>
      </text>
    </comment>
    <comment ref="AD291" authorId="0">
      <text>
        <r>
          <rPr>
            <b/>
            <sz val="18"/>
            <rFont val="宋体"/>
            <charset val="134"/>
          </rPr>
          <t>Administrator:</t>
        </r>
        <r>
          <rPr>
            <sz val="18"/>
            <rFont val="宋体"/>
            <charset val="134"/>
          </rPr>
          <t xml:space="preserve">
12/24上 客供价格贴纸 225pcs</t>
        </r>
      </text>
    </comment>
    <comment ref="AB292" authorId="0">
      <text>
        <r>
          <rPr>
            <b/>
            <sz val="16"/>
            <rFont val="宋体"/>
            <charset val="134"/>
          </rPr>
          <t>Administrator:</t>
        </r>
        <r>
          <rPr>
            <sz val="16"/>
            <rFont val="宋体"/>
            <charset val="134"/>
          </rPr>
          <t xml:space="preserve">
1601072 1/10 204 pcs 华兴三楼B13</t>
        </r>
      </text>
    </comment>
    <comment ref="AD292" authorId="0">
      <text>
        <r>
          <rPr>
            <b/>
            <sz val="18"/>
            <rFont val="宋体"/>
            <charset val="134"/>
          </rPr>
          <t>Administrator:</t>
        </r>
        <r>
          <rPr>
            <sz val="18"/>
            <rFont val="宋体"/>
            <charset val="134"/>
          </rPr>
          <t xml:space="preserve">
12/24上 客供价格贴纸 225pcs</t>
        </r>
      </text>
    </comment>
    <comment ref="AB293" authorId="0">
      <text>
        <r>
          <rPr>
            <b/>
            <sz val="16"/>
            <rFont val="宋体"/>
            <charset val="134"/>
          </rPr>
          <t>Administrator:</t>
        </r>
        <r>
          <rPr>
            <sz val="16"/>
            <rFont val="宋体"/>
            <charset val="134"/>
          </rPr>
          <t xml:space="preserve">
1601067 1/10 804 pcs 华兴三楼B16</t>
        </r>
      </text>
    </comment>
    <comment ref="AD293" authorId="0">
      <text>
        <r>
          <rPr>
            <b/>
            <sz val="18"/>
            <rFont val="宋体"/>
            <charset val="134"/>
          </rPr>
          <t>Administrator:</t>
        </r>
        <r>
          <rPr>
            <sz val="18"/>
            <rFont val="宋体"/>
            <charset val="134"/>
          </rPr>
          <t xml:space="preserve">
12/24上 客供价格贴纸 885 pcs</t>
        </r>
      </text>
    </comment>
    <comment ref="AB294" authorId="0">
      <text>
        <r>
          <rPr>
            <b/>
            <sz val="16"/>
            <rFont val="宋体"/>
            <charset val="134"/>
          </rPr>
          <t>Administrator:</t>
        </r>
        <r>
          <rPr>
            <sz val="16"/>
            <rFont val="宋体"/>
            <charset val="134"/>
          </rPr>
          <t xml:space="preserve">
1601072 1/10 804 pcs 华兴三楼B10</t>
        </r>
      </text>
    </comment>
    <comment ref="AD294" authorId="0">
      <text>
        <r>
          <rPr>
            <b/>
            <sz val="18"/>
            <rFont val="宋体"/>
            <charset val="134"/>
          </rPr>
          <t>Administrator:</t>
        </r>
        <r>
          <rPr>
            <sz val="18"/>
            <rFont val="宋体"/>
            <charset val="134"/>
          </rPr>
          <t xml:space="preserve">
12/24上 客供价格贴纸 885 pcs</t>
        </r>
      </text>
    </comment>
    <comment ref="AB295" authorId="0">
      <text>
        <r>
          <rPr>
            <b/>
            <sz val="18"/>
            <rFont val="宋体"/>
            <charset val="134"/>
          </rPr>
          <t>Administrator:</t>
        </r>
        <r>
          <rPr>
            <sz val="18"/>
            <rFont val="宋体"/>
            <charset val="134"/>
          </rPr>
          <t xml:space="preserve">
1601118 1/13 204 pcs 四楼A9
</t>
        </r>
      </text>
    </comment>
    <comment ref="AD295" authorId="0">
      <text>
        <r>
          <rPr>
            <b/>
            <sz val="18"/>
            <rFont val="宋体"/>
            <charset val="134"/>
          </rPr>
          <t>Administrator:</t>
        </r>
        <r>
          <rPr>
            <sz val="18"/>
            <rFont val="宋体"/>
            <charset val="134"/>
          </rPr>
          <t xml:space="preserve">
12/24上 客供价格贴纸 225pcs</t>
        </r>
      </text>
    </comment>
    <comment ref="AB296" authorId="0">
      <text>
        <r>
          <rPr>
            <b/>
            <sz val="16"/>
            <rFont val="宋体"/>
            <charset val="134"/>
          </rPr>
          <t>Administrator:</t>
        </r>
        <r>
          <rPr>
            <sz val="16"/>
            <rFont val="宋体"/>
            <charset val="134"/>
          </rPr>
          <t xml:space="preserve">
1601072 1/10 204 pcs 华兴三楼B12</t>
        </r>
      </text>
    </comment>
    <comment ref="AD296" authorId="0">
      <text>
        <r>
          <rPr>
            <b/>
            <sz val="18"/>
            <rFont val="宋体"/>
            <charset val="134"/>
          </rPr>
          <t>Administrator:</t>
        </r>
        <r>
          <rPr>
            <sz val="18"/>
            <rFont val="宋体"/>
            <charset val="134"/>
          </rPr>
          <t xml:space="preserve">
12/24上 客供价格贴纸 225pcs</t>
        </r>
      </text>
    </comment>
    <comment ref="AB297" authorId="0">
      <text>
        <r>
          <rPr>
            <b/>
            <sz val="16"/>
            <rFont val="宋体"/>
            <charset val="134"/>
          </rPr>
          <t>Administrator:</t>
        </r>
        <r>
          <rPr>
            <sz val="16"/>
            <rFont val="宋体"/>
            <charset val="134"/>
          </rPr>
          <t xml:space="preserve">
1601033 1/6 2160 pcs 四楼A6    
1601036 1/6 2040 pcs  A6</t>
        </r>
      </text>
    </comment>
    <comment ref="AD297" authorId="0">
      <text>
        <r>
          <rPr>
            <b/>
            <sz val="16"/>
            <rFont val="宋体"/>
            <charset val="134"/>
          </rPr>
          <t>Administrator:</t>
        </r>
        <r>
          <rPr>
            <sz val="16"/>
            <rFont val="宋体"/>
            <charset val="134"/>
          </rPr>
          <t xml:space="preserve">
12/26上 德语/法语callout/法国sorting label贴纸 4200 pcs</t>
        </r>
      </text>
    </comment>
    <comment ref="AB298" authorId="0">
      <text>
        <r>
          <rPr>
            <b/>
            <sz val="16"/>
            <rFont val="宋体"/>
            <charset val="134"/>
          </rPr>
          <t>Administrator:</t>
        </r>
        <r>
          <rPr>
            <sz val="16"/>
            <rFont val="宋体"/>
            <charset val="134"/>
          </rPr>
          <t xml:space="preserve">
1601036 1/6 600 pcs 四楼A6</t>
        </r>
      </text>
    </comment>
    <comment ref="AD298" authorId="0">
      <text>
        <r>
          <rPr>
            <b/>
            <sz val="16"/>
            <rFont val="宋体"/>
            <charset val="134"/>
          </rPr>
          <t>Administrator:</t>
        </r>
        <r>
          <rPr>
            <sz val="16"/>
            <rFont val="宋体"/>
            <charset val="134"/>
          </rPr>
          <t xml:space="preserve">
12/15上 客供价格贴纸 630 pcs</t>
        </r>
      </text>
    </comment>
    <comment ref="AB299" authorId="0">
      <text>
        <r>
          <rPr>
            <b/>
            <sz val="16"/>
            <rFont val="宋体"/>
            <charset val="134"/>
          </rPr>
          <t>Administrator:</t>
        </r>
        <r>
          <rPr>
            <sz val="16"/>
            <rFont val="宋体"/>
            <charset val="134"/>
          </rPr>
          <t xml:space="preserve">
1601098 1/12 878 pcs 华兴三楼A14</t>
        </r>
      </text>
    </comment>
    <comment ref="AD299" authorId="0">
      <text>
        <r>
          <rPr>
            <b/>
            <sz val="18"/>
            <rFont val="宋体"/>
            <charset val="134"/>
          </rPr>
          <t>Administrator:</t>
        </r>
        <r>
          <rPr>
            <sz val="18"/>
            <rFont val="宋体"/>
            <charset val="134"/>
          </rPr>
          <t xml:space="preserve">
12/16上 客供RFIF贴纸 878 pcs
12/23上 粉色MOD艾利贴纸 439 pcs</t>
        </r>
      </text>
    </comment>
    <comment ref="AB300" authorId="0">
      <text>
        <r>
          <rPr>
            <b/>
            <sz val="16"/>
            <rFont val="宋体"/>
            <charset val="134"/>
          </rPr>
          <t>Administrator:</t>
        </r>
        <r>
          <rPr>
            <sz val="16"/>
            <rFont val="宋体"/>
            <charset val="134"/>
          </rPr>
          <t xml:space="preserve">
1601098 1/12 806 pcs 华兴三楼A14
</t>
        </r>
      </text>
    </comment>
    <comment ref="AD300" authorId="0">
      <text>
        <r>
          <rPr>
            <b/>
            <sz val="18"/>
            <rFont val="宋体"/>
            <charset val="134"/>
          </rPr>
          <t>Administrator:</t>
        </r>
        <r>
          <rPr>
            <sz val="18"/>
            <rFont val="宋体"/>
            <charset val="134"/>
          </rPr>
          <t xml:space="preserve">
12/16上 客供RFIF贴纸 806 pcs
12/23上 粉色MOD艾利贴纸 403 pcs
</t>
        </r>
      </text>
    </comment>
    <comment ref="AB301" authorId="0">
      <text>
        <r>
          <rPr>
            <b/>
            <sz val="16"/>
            <rFont val="宋体"/>
            <charset val="134"/>
          </rPr>
          <t>Administrator:</t>
        </r>
        <r>
          <rPr>
            <sz val="16"/>
            <rFont val="宋体"/>
            <charset val="134"/>
          </rPr>
          <t xml:space="preserve">
1601098 1/12 512 pcs 华兴三楼B7</t>
        </r>
      </text>
    </comment>
    <comment ref="AD301" authorId="0">
      <text>
        <r>
          <rPr>
            <b/>
            <sz val="18"/>
            <rFont val="宋体"/>
            <charset val="134"/>
          </rPr>
          <t>Administrator:</t>
        </r>
        <r>
          <rPr>
            <sz val="18"/>
            <rFont val="宋体"/>
            <charset val="134"/>
          </rPr>
          <t xml:space="preserve">
12/16上 客供RFIF贴纸 512 pcs
12/23上 粉色MOD艾利贴纸 256 pcs
</t>
        </r>
      </text>
    </comment>
    <comment ref="AB302" authorId="0">
      <text>
        <r>
          <rPr>
            <b/>
            <sz val="16"/>
            <rFont val="宋体"/>
            <charset val="134"/>
          </rPr>
          <t>Administrator:</t>
        </r>
        <r>
          <rPr>
            <sz val="16"/>
            <rFont val="宋体"/>
            <charset val="134"/>
          </rPr>
          <t xml:space="preserve">
1601098 1/12 1014 pcs 华兴三楼A14
</t>
        </r>
      </text>
    </comment>
    <comment ref="AD302" authorId="0">
      <text>
        <r>
          <rPr>
            <b/>
            <sz val="18"/>
            <rFont val="宋体"/>
            <charset val="134"/>
          </rPr>
          <t>Administrator:</t>
        </r>
        <r>
          <rPr>
            <sz val="18"/>
            <rFont val="宋体"/>
            <charset val="134"/>
          </rPr>
          <t xml:space="preserve">
12/16上 客供RFIF贴纸 1014 pcs
12/23上 粉色MOD艾利贴纸 507 pcs
</t>
        </r>
      </text>
    </comment>
    <comment ref="AB303" authorId="0">
      <text>
        <r>
          <rPr>
            <b/>
            <sz val="16"/>
            <rFont val="宋体"/>
            <charset val="134"/>
          </rPr>
          <t>Administrator:</t>
        </r>
        <r>
          <rPr>
            <sz val="16"/>
            <rFont val="宋体"/>
            <charset val="134"/>
          </rPr>
          <t xml:space="preserve">
1601098 1/12 1262 pcs 华兴三楼A14
</t>
        </r>
      </text>
    </comment>
    <comment ref="AD303" authorId="0">
      <text>
        <r>
          <rPr>
            <b/>
            <sz val="18"/>
            <rFont val="宋体"/>
            <charset val="134"/>
          </rPr>
          <t>Administrator:</t>
        </r>
        <r>
          <rPr>
            <sz val="18"/>
            <rFont val="宋体"/>
            <charset val="134"/>
          </rPr>
          <t xml:space="preserve">
12/16上 客供RFIF贴纸 1262 pcs
12/23上 粉色MOD艾利贴纸 631 pcs
</t>
        </r>
      </text>
    </comment>
    <comment ref="AB304" authorId="0">
      <text>
        <r>
          <rPr>
            <b/>
            <sz val="16"/>
            <rFont val="宋体"/>
            <charset val="134"/>
          </rPr>
          <t>Administrator:</t>
        </r>
        <r>
          <rPr>
            <sz val="16"/>
            <rFont val="宋体"/>
            <charset val="134"/>
          </rPr>
          <t xml:space="preserve">
1601098 1/12 268 pcs 华兴三楼A23
</t>
        </r>
      </text>
    </comment>
    <comment ref="AD304" authorId="0">
      <text>
        <r>
          <rPr>
            <b/>
            <sz val="18"/>
            <rFont val="宋体"/>
            <charset val="134"/>
          </rPr>
          <t>Administrator:</t>
        </r>
        <r>
          <rPr>
            <sz val="18"/>
            <rFont val="宋体"/>
            <charset val="134"/>
          </rPr>
          <t xml:space="preserve">
12/16上 客供RFIF贴纸 2628 pcs
</t>
        </r>
      </text>
    </comment>
    <comment ref="AB305" authorId="0">
      <text>
        <r>
          <rPr>
            <b/>
            <sz val="16"/>
            <rFont val="宋体"/>
            <charset val="134"/>
          </rPr>
          <t>Administrator:</t>
        </r>
        <r>
          <rPr>
            <sz val="16"/>
            <rFont val="宋体"/>
            <charset val="134"/>
          </rPr>
          <t xml:space="preserve">
1601098 1/12 3470 pcs 华兴三楼B8
</t>
        </r>
      </text>
    </comment>
    <comment ref="AD305" authorId="0">
      <text>
        <r>
          <rPr>
            <b/>
            <sz val="18"/>
            <rFont val="宋体"/>
            <charset val="134"/>
          </rPr>
          <t>Administrator:</t>
        </r>
        <r>
          <rPr>
            <sz val="18"/>
            <rFont val="宋体"/>
            <charset val="134"/>
          </rPr>
          <t xml:space="preserve">
12/16上 客供RFIF贴纸 3470 pcs
</t>
        </r>
      </text>
    </comment>
    <comment ref="AB306" authorId="0">
      <text>
        <r>
          <rPr>
            <b/>
            <sz val="16"/>
            <rFont val="宋体"/>
            <charset val="134"/>
          </rPr>
          <t>Administrator:</t>
        </r>
        <r>
          <rPr>
            <sz val="16"/>
            <rFont val="宋体"/>
            <charset val="134"/>
          </rPr>
          <t xml:space="preserve">
1601100 1/12 2700 pcs 四楼B6
1601113 1/13 640 pcs B6</t>
        </r>
      </text>
    </comment>
    <comment ref="AD306" authorId="0">
      <text>
        <r>
          <rPr>
            <b/>
            <sz val="18"/>
            <rFont val="宋体"/>
            <charset val="134"/>
          </rPr>
          <t>Administrator:</t>
        </r>
        <r>
          <rPr>
            <sz val="18"/>
            <rFont val="宋体"/>
            <charset val="134"/>
          </rPr>
          <t xml:space="preserve">
12/16上 客供RFIF贴纸 3340 pcs
</t>
        </r>
      </text>
    </comment>
    <comment ref="AB307" authorId="0">
      <text>
        <r>
          <rPr>
            <b/>
            <sz val="16"/>
            <rFont val="宋体"/>
            <charset val="134"/>
          </rPr>
          <t>Administrator:</t>
        </r>
        <r>
          <rPr>
            <sz val="16"/>
            <rFont val="宋体"/>
            <charset val="134"/>
          </rPr>
          <t xml:space="preserve">
1601098 1/12 2514 pcs 华兴三楼A23
</t>
        </r>
      </text>
    </comment>
    <comment ref="AD307" authorId="0">
      <text>
        <r>
          <rPr>
            <b/>
            <sz val="18"/>
            <rFont val="宋体"/>
            <charset val="134"/>
          </rPr>
          <t>Administrator:</t>
        </r>
        <r>
          <rPr>
            <sz val="18"/>
            <rFont val="宋体"/>
            <charset val="134"/>
          </rPr>
          <t xml:space="preserve">
12/16上 客供RFIF贴纸 2514 pcs
</t>
        </r>
      </text>
    </comment>
    <comment ref="AB308" authorId="0">
      <text>
        <r>
          <rPr>
            <b/>
            <sz val="16"/>
            <rFont val="宋体"/>
            <charset val="134"/>
          </rPr>
          <t>Administrator:</t>
        </r>
        <r>
          <rPr>
            <sz val="16"/>
            <rFont val="宋体"/>
            <charset val="134"/>
          </rPr>
          <t xml:space="preserve">
1601251 1/23 916 pcs 华兴三楼B11</t>
        </r>
      </text>
    </comment>
    <comment ref="AD308" authorId="0">
      <text>
        <r>
          <rPr>
            <b/>
            <sz val="18"/>
            <rFont val="宋体"/>
            <charset val="134"/>
          </rPr>
          <t>Administrator:</t>
        </r>
        <r>
          <rPr>
            <sz val="18"/>
            <rFont val="宋体"/>
            <charset val="134"/>
          </rPr>
          <t xml:space="preserve">
12/16上 客供RFIF贴纸 916 pcs
12/23上 粉色MOD艾利贴纸 458 pcs
</t>
        </r>
      </text>
    </comment>
    <comment ref="AB309" authorId="0">
      <text>
        <r>
          <rPr>
            <b/>
            <sz val="16"/>
            <rFont val="宋体"/>
            <charset val="134"/>
          </rPr>
          <t>Administrator:</t>
        </r>
        <r>
          <rPr>
            <sz val="16"/>
            <rFont val="宋体"/>
            <charset val="134"/>
          </rPr>
          <t xml:space="preserve">
1601251 1/23 798 pcs 华兴三楼B11
</t>
        </r>
      </text>
    </comment>
    <comment ref="AD309" authorId="0">
      <text>
        <r>
          <rPr>
            <b/>
            <sz val="18"/>
            <rFont val="宋体"/>
            <charset val="134"/>
          </rPr>
          <t>Administrator:</t>
        </r>
        <r>
          <rPr>
            <sz val="18"/>
            <rFont val="宋体"/>
            <charset val="134"/>
          </rPr>
          <t xml:space="preserve">
12/16上 客供RFIF贴纸 798 pcs
12/23上 粉色MOD艾利贴纸 399 pcs
</t>
        </r>
      </text>
    </comment>
    <comment ref="AB310" authorId="0">
      <text>
        <r>
          <rPr>
            <b/>
            <sz val="16"/>
            <rFont val="宋体"/>
            <charset val="134"/>
          </rPr>
          <t>Administrator:</t>
        </r>
        <r>
          <rPr>
            <sz val="16"/>
            <rFont val="宋体"/>
            <charset val="134"/>
          </rPr>
          <t xml:space="preserve">
1601251 1/23 450 pcs 华兴三楼B12
1601282 1/23 850 pcs   B12
1601264 1/23 2988 pcs 备一箱 B12</t>
        </r>
      </text>
    </comment>
    <comment ref="AD310" authorId="0">
      <text>
        <r>
          <rPr>
            <b/>
            <sz val="18"/>
            <rFont val="宋体"/>
            <charset val="134"/>
          </rPr>
          <t>Administrator:</t>
        </r>
        <r>
          <rPr>
            <sz val="18"/>
            <rFont val="宋体"/>
            <charset val="134"/>
          </rPr>
          <t xml:space="preserve">
12/16上 客供RFIF贴纸 4288 pcs
</t>
        </r>
      </text>
    </comment>
    <comment ref="AB311" authorId="0">
      <text>
        <r>
          <rPr>
            <b/>
            <sz val="16"/>
            <rFont val="宋体"/>
            <charset val="134"/>
          </rPr>
          <t>Administrator:</t>
        </r>
        <r>
          <rPr>
            <sz val="16"/>
            <rFont val="宋体"/>
            <charset val="134"/>
          </rPr>
          <t xml:space="preserve">
1601203 1/21 1620 pcs 华兴三楼B15
1601206 1/22 384 pcs B15</t>
        </r>
      </text>
    </comment>
    <comment ref="AD311" authorId="0">
      <text>
        <r>
          <rPr>
            <b/>
            <sz val="16"/>
            <rFont val="宋体"/>
            <charset val="134"/>
          </rPr>
          <t>Administrator:</t>
        </r>
        <r>
          <rPr>
            <sz val="16"/>
            <rFont val="宋体"/>
            <charset val="134"/>
          </rPr>
          <t xml:space="preserve">
1/7上 德语/法语callout/法国sorting label贴纸 4200 pcs</t>
        </r>
      </text>
    </comment>
    <comment ref="AB312" authorId="0">
      <text>
        <r>
          <rPr>
            <b/>
            <sz val="16"/>
            <rFont val="宋体"/>
            <charset val="134"/>
          </rPr>
          <t>Administrator:</t>
        </r>
        <r>
          <rPr>
            <sz val="16"/>
            <rFont val="宋体"/>
            <charset val="134"/>
          </rPr>
          <t xml:space="preserve">
1601203 1/21 1500 pcs 华兴三楼B16</t>
        </r>
      </text>
    </comment>
    <comment ref="AD312" authorId="0">
      <text>
        <r>
          <rPr>
            <b/>
            <sz val="16"/>
            <rFont val="宋体"/>
            <charset val="134"/>
          </rPr>
          <t>Administrator:</t>
        </r>
        <r>
          <rPr>
            <sz val="16"/>
            <rFont val="宋体"/>
            <charset val="134"/>
          </rPr>
          <t xml:space="preserve">
1/7上 德语/法语callout/法国sorting label贴纸 1500 pcs</t>
        </r>
      </text>
    </comment>
    <comment ref="AB313" authorId="0">
      <text>
        <r>
          <rPr>
            <b/>
            <sz val="16"/>
            <rFont val="宋体"/>
            <charset val="134"/>
          </rPr>
          <t>Administrator:</t>
        </r>
        <r>
          <rPr>
            <sz val="16"/>
            <rFont val="宋体"/>
            <charset val="134"/>
          </rPr>
          <t xml:space="preserve">
5000249 1/27 204 pcs 四楼B5</t>
        </r>
      </text>
    </comment>
    <comment ref="AD313" authorId="0">
      <text>
        <r>
          <rPr>
            <b/>
            <sz val="16"/>
            <rFont val="宋体"/>
            <charset val="134"/>
          </rPr>
          <t>Administrator:</t>
        </r>
        <r>
          <rPr>
            <sz val="16"/>
            <rFont val="宋体"/>
            <charset val="134"/>
          </rPr>
          <t xml:space="preserve">
1/15上 进口商贴纸 204 pcs
1/19上 西班牙语说明书 204 pcs</t>
        </r>
      </text>
    </comment>
    <comment ref="AB314" authorId="0">
      <text>
        <r>
          <rPr>
            <b/>
            <sz val="16"/>
            <rFont val="宋体"/>
            <charset val="134"/>
          </rPr>
          <t>Administra tor:</t>
        </r>
        <r>
          <rPr>
            <sz val="16"/>
            <rFont val="宋体"/>
            <charset val="134"/>
          </rPr>
          <t xml:space="preserve">
1405703 1/29 300 pcs 华兴三楼A27</t>
        </r>
      </text>
    </comment>
    <comment ref="AD314" authorId="0">
      <text>
        <r>
          <rPr>
            <b/>
            <sz val="16"/>
            <rFont val="宋体"/>
            <charset val="134"/>
          </rPr>
          <t>Administrator:</t>
        </r>
        <r>
          <rPr>
            <sz val="16"/>
            <rFont val="宋体"/>
            <charset val="134"/>
          </rPr>
          <t xml:space="preserve">
1/15上 进口商贴纸 300 pcs
1/19上 客版西语说明书 300 pcs</t>
        </r>
      </text>
    </comment>
    <comment ref="AB315" authorId="0">
      <text>
        <r>
          <rPr>
            <b/>
            <sz val="18"/>
            <rFont val="宋体"/>
            <charset val="134"/>
          </rPr>
          <t>Administrator:</t>
        </r>
        <r>
          <rPr>
            <sz val="18"/>
            <rFont val="宋体"/>
            <charset val="134"/>
          </rPr>
          <t xml:space="preserve">
1405633 2/3 1756 pcs四楼A8</t>
        </r>
      </text>
    </comment>
    <comment ref="AD315" authorId="0">
      <text>
        <r>
          <rPr>
            <b/>
            <sz val="18"/>
            <rFont val="宋体"/>
            <charset val="134"/>
          </rPr>
          <t>Administrator:</t>
        </r>
        <r>
          <rPr>
            <sz val="18"/>
            <rFont val="宋体"/>
            <charset val="134"/>
          </rPr>
          <t xml:space="preserve">
1/21上 客供RFIF贴纸 1756 pcs
</t>
        </r>
      </text>
    </comment>
    <comment ref="AB316" authorId="0">
      <text>
        <r>
          <rPr>
            <b/>
            <sz val="18"/>
            <rFont val="宋体"/>
            <charset val="134"/>
          </rPr>
          <t>Administrator:</t>
        </r>
        <r>
          <rPr>
            <sz val="18"/>
            <rFont val="宋体"/>
            <charset val="134"/>
          </rPr>
          <t xml:space="preserve">
1405633 2/3 900 pcs 四楼B8    
1405634 2/3 2234 pcs 华兴三楼A28</t>
        </r>
      </text>
    </comment>
    <comment ref="AD316" authorId="0">
      <text>
        <r>
          <rPr>
            <b/>
            <sz val="18"/>
            <rFont val="宋体"/>
            <charset val="134"/>
          </rPr>
          <t>Administrator:</t>
        </r>
        <r>
          <rPr>
            <sz val="18"/>
            <rFont val="宋体"/>
            <charset val="134"/>
          </rPr>
          <t xml:space="preserve">
1/21上 客供RFIF贴纸 3134 pcs
</t>
        </r>
      </text>
    </comment>
    <comment ref="AB317" authorId="0">
      <text>
        <r>
          <rPr>
            <b/>
            <sz val="18"/>
            <rFont val="宋体"/>
            <charset val="134"/>
          </rPr>
          <t>Administrator:</t>
        </r>
        <r>
          <rPr>
            <sz val="18"/>
            <rFont val="宋体"/>
            <charset val="134"/>
          </rPr>
          <t xml:space="preserve">
1405634 2/3 400 pcs 华兴三楼A26 
1405640 2/3 3936 pcs A26</t>
        </r>
      </text>
    </comment>
    <comment ref="AD317" authorId="0">
      <text>
        <r>
          <rPr>
            <b/>
            <sz val="18"/>
            <rFont val="宋体"/>
            <charset val="134"/>
          </rPr>
          <t>Administrator:</t>
        </r>
        <r>
          <rPr>
            <sz val="18"/>
            <rFont val="宋体"/>
            <charset val="134"/>
          </rPr>
          <t xml:space="preserve">
1/21上 客供RFIF贴纸 4336 pcs
</t>
        </r>
      </text>
    </comment>
    <comment ref="AB318" authorId="0">
      <text>
        <r>
          <rPr>
            <b/>
            <sz val="18"/>
            <rFont val="宋体"/>
            <charset val="134"/>
          </rPr>
          <t>Administrator:</t>
        </r>
        <r>
          <rPr>
            <sz val="18"/>
            <rFont val="宋体"/>
            <charset val="134"/>
          </rPr>
          <t xml:space="preserve">
1405634 2/3 3284 pcs 华兴三楼A28</t>
        </r>
      </text>
    </comment>
    <comment ref="AD318" authorId="0">
      <text>
        <r>
          <rPr>
            <b/>
            <sz val="18"/>
            <rFont val="宋体"/>
            <charset val="134"/>
          </rPr>
          <t>Administrator:</t>
        </r>
        <r>
          <rPr>
            <sz val="18"/>
            <rFont val="宋体"/>
            <charset val="134"/>
          </rPr>
          <t xml:space="preserve">
1/21上 客供RFIF贴纸 3284 pcs
</t>
        </r>
      </text>
    </comment>
    <comment ref="AB319" authorId="0">
      <text>
        <r>
          <rPr>
            <b/>
            <sz val="18"/>
            <rFont val="宋体"/>
            <charset val="134"/>
          </rPr>
          <t>Administrator:</t>
        </r>
        <r>
          <rPr>
            <sz val="18"/>
            <rFont val="宋体"/>
            <charset val="134"/>
          </rPr>
          <t xml:space="preserve">
1405634 2/3 3144 pcs 华兴三楼A38</t>
        </r>
      </text>
    </comment>
    <comment ref="AD319" authorId="0">
      <text>
        <r>
          <rPr>
            <b/>
            <sz val="18"/>
            <rFont val="宋体"/>
            <charset val="134"/>
          </rPr>
          <t>Administrator:</t>
        </r>
        <r>
          <rPr>
            <sz val="18"/>
            <rFont val="宋体"/>
            <charset val="134"/>
          </rPr>
          <t xml:space="preserve">
1/21上 客供RFIF贴纸 3144 pcs
</t>
        </r>
      </text>
    </comment>
    <comment ref="AB320" authorId="0">
      <text>
        <r>
          <rPr>
            <b/>
            <sz val="18"/>
            <rFont val="宋体"/>
            <charset val="134"/>
          </rPr>
          <t>Administrator:</t>
        </r>
        <r>
          <rPr>
            <sz val="18"/>
            <rFont val="宋体"/>
            <charset val="134"/>
          </rPr>
          <t xml:space="preserve">
1405640 2/3 3810 pcs 华兴三楼A25             
1405638 2/4 364 pcs A25</t>
        </r>
      </text>
    </comment>
    <comment ref="AD320" authorId="0">
      <text>
        <r>
          <rPr>
            <b/>
            <sz val="18"/>
            <rFont val="宋体"/>
            <charset val="134"/>
          </rPr>
          <t>Administrator:</t>
        </r>
        <r>
          <rPr>
            <sz val="18"/>
            <rFont val="宋体"/>
            <charset val="134"/>
          </rPr>
          <t xml:space="preserve">
1/21上 客供RFIF贴纸 4174 pcs
</t>
        </r>
      </text>
    </comment>
    <comment ref="AB321" authorId="0">
      <text>
        <r>
          <rPr>
            <b/>
            <sz val="18"/>
            <rFont val="宋体"/>
            <charset val="134"/>
          </rPr>
          <t>Administrator:</t>
        </r>
        <r>
          <rPr>
            <sz val="18"/>
            <rFont val="宋体"/>
            <charset val="134"/>
          </rPr>
          <t xml:space="preserve">
1405634 2/3 600 pcs 华兴一楼F一3</t>
        </r>
      </text>
    </comment>
    <comment ref="AD321" authorId="0">
      <text>
        <r>
          <rPr>
            <b/>
            <sz val="16"/>
            <rFont val="宋体"/>
            <charset val="134"/>
          </rPr>
          <t>Administrator:</t>
        </r>
        <r>
          <rPr>
            <sz val="16"/>
            <rFont val="宋体"/>
            <charset val="134"/>
          </rPr>
          <t xml:space="preserve">
1/5上 客供价格贴纸 630 pcs</t>
        </r>
      </text>
    </comment>
    <comment ref="AB322" authorId="0">
      <text>
        <r>
          <rPr>
            <b/>
            <sz val="16"/>
            <rFont val="宋体"/>
            <charset val="134"/>
          </rPr>
          <t>Administrator:</t>
        </r>
        <r>
          <rPr>
            <sz val="16"/>
            <rFont val="宋体"/>
            <charset val="134"/>
          </rPr>
          <t xml:space="preserve">
1405609 2/4 2808 pcs 四楼B7</t>
        </r>
      </text>
    </comment>
    <comment ref="AD322" authorId="0">
      <text>
        <r>
          <rPr>
            <b/>
            <sz val="16"/>
            <rFont val="宋体"/>
            <charset val="134"/>
          </rPr>
          <t>Administrator:</t>
        </r>
        <r>
          <rPr>
            <sz val="16"/>
            <rFont val="宋体"/>
            <charset val="134"/>
          </rPr>
          <t xml:space="preserve">
1/13上 客供价格贴纸 2949 pcs</t>
        </r>
      </text>
    </comment>
    <comment ref="AB323" authorId="0">
      <text>
        <r>
          <rPr>
            <b/>
            <sz val="16"/>
            <rFont val="宋体"/>
            <charset val="134"/>
          </rPr>
          <t>Administrator:</t>
        </r>
        <r>
          <rPr>
            <sz val="16"/>
            <rFont val="宋体"/>
            <charset val="134"/>
          </rPr>
          <t xml:space="preserve">
1405591 2/4 216 pcs 四楼A8
1405593 2/5 3192 pcs</t>
        </r>
      </text>
    </comment>
    <comment ref="AD323" authorId="0">
      <text>
        <r>
          <rPr>
            <b/>
            <sz val="16"/>
            <rFont val="宋体"/>
            <charset val="134"/>
          </rPr>
          <t>Administrator:</t>
        </r>
        <r>
          <rPr>
            <sz val="16"/>
            <rFont val="宋体"/>
            <charset val="134"/>
          </rPr>
          <t xml:space="preserve">
1/13上 客供价格贴纸 3579 pcs</t>
        </r>
      </text>
    </comment>
    <comment ref="AB324" authorId="0">
      <text>
        <r>
          <rPr>
            <b/>
            <sz val="16"/>
            <rFont val="宋体"/>
            <charset val="134"/>
          </rPr>
          <t>Administrator:</t>
        </r>
        <r>
          <rPr>
            <sz val="16"/>
            <rFont val="宋体"/>
            <charset val="134"/>
          </rPr>
          <t xml:space="preserve">
1405593 2/5 576 pcs       
1405603 2/5 2232 pcs</t>
        </r>
      </text>
    </comment>
    <comment ref="AD324" authorId="0">
      <text>
        <r>
          <rPr>
            <b/>
            <sz val="16"/>
            <rFont val="宋体"/>
            <charset val="134"/>
          </rPr>
          <t>Administrator:</t>
        </r>
        <r>
          <rPr>
            <sz val="16"/>
            <rFont val="宋体"/>
            <charset val="134"/>
          </rPr>
          <t xml:space="preserve">
1/13上 客供价格贴纸 2949 pcs</t>
        </r>
      </text>
    </comment>
    <comment ref="AB325" authorId="0">
      <text>
        <r>
          <rPr>
            <b/>
            <sz val="16"/>
            <rFont val="宋体"/>
            <charset val="134"/>
          </rPr>
          <t>Administrator:</t>
        </r>
        <r>
          <rPr>
            <sz val="16"/>
            <rFont val="宋体"/>
            <charset val="134"/>
          </rPr>
          <t xml:space="preserve">
1405609 2/4 2400 pcs 四楼A7</t>
        </r>
      </text>
    </comment>
    <comment ref="AD325" authorId="0">
      <text>
        <r>
          <rPr>
            <b/>
            <sz val="16"/>
            <rFont val="宋体"/>
            <charset val="134"/>
          </rPr>
          <t>Administrator:</t>
        </r>
        <r>
          <rPr>
            <sz val="16"/>
            <rFont val="宋体"/>
            <charset val="134"/>
          </rPr>
          <t xml:space="preserve">
1/13上 客供价格贴纸 2520 pcs</t>
        </r>
      </text>
    </comment>
    <comment ref="AB326" authorId="0">
      <text>
        <r>
          <rPr>
            <b/>
            <sz val="16"/>
            <rFont val="宋体"/>
            <charset val="134"/>
          </rPr>
          <t>Administrator:</t>
        </r>
        <r>
          <rPr>
            <sz val="16"/>
            <rFont val="宋体"/>
            <charset val="134"/>
          </rPr>
          <t xml:space="preserve">
1405544 2/9 5360 pcs 华兴三楼A25</t>
        </r>
      </text>
    </comment>
    <comment ref="AD326" authorId="0">
      <text>
        <r>
          <rPr>
            <b/>
            <sz val="18"/>
            <rFont val="宋体"/>
            <charset val="134"/>
          </rPr>
          <t>Administrator:</t>
        </r>
        <r>
          <rPr>
            <sz val="18"/>
            <rFont val="宋体"/>
            <charset val="134"/>
          </rPr>
          <t xml:space="preserve">
1/21上 客供RFIF贴纸 5360 pcs
</t>
        </r>
      </text>
    </comment>
    <comment ref="AB327" authorId="0">
      <text>
        <r>
          <rPr>
            <b/>
            <sz val="16"/>
            <rFont val="宋体"/>
            <charset val="134"/>
          </rPr>
          <t>Administrator:</t>
        </r>
        <r>
          <rPr>
            <sz val="16"/>
            <rFont val="宋体"/>
            <charset val="134"/>
          </rPr>
          <t xml:space="preserve">
1405547 2/24 2130 pcs 华兴三楼A21</t>
        </r>
      </text>
    </comment>
    <comment ref="AD327" authorId="0">
      <text>
        <r>
          <rPr>
            <b/>
            <sz val="18"/>
            <rFont val="宋体"/>
            <charset val="134"/>
          </rPr>
          <t>Administrator:</t>
        </r>
        <r>
          <rPr>
            <sz val="18"/>
            <rFont val="宋体"/>
            <charset val="134"/>
          </rPr>
          <t xml:space="preserve">
1/21上 客供RFIF贴纸 2194 pcs
</t>
        </r>
      </text>
    </comment>
    <comment ref="AB328" authorId="0">
      <text>
        <r>
          <rPr>
            <b/>
            <sz val="16"/>
            <rFont val="宋体"/>
            <charset val="134"/>
          </rPr>
          <t>Administrator:</t>
        </r>
        <r>
          <rPr>
            <sz val="16"/>
            <rFont val="宋体"/>
            <charset val="134"/>
          </rPr>
          <t xml:space="preserve">
1405544 2/9 1200 pcs 华兴三楼A21
1405547 2/24 2718 pcs A21</t>
        </r>
      </text>
    </comment>
    <comment ref="AD328" authorId="0">
      <text>
        <r>
          <rPr>
            <b/>
            <sz val="18"/>
            <rFont val="宋体"/>
            <charset val="134"/>
          </rPr>
          <t>Administrator:</t>
        </r>
        <r>
          <rPr>
            <sz val="18"/>
            <rFont val="宋体"/>
            <charset val="134"/>
          </rPr>
          <t xml:space="preserve">
1/21上 客供RFIF贴纸 3918 pcs
</t>
        </r>
      </text>
    </comment>
    <comment ref="AB329" authorId="0">
      <text>
        <r>
          <rPr>
            <b/>
            <sz val="16"/>
            <rFont val="宋体"/>
            <charset val="134"/>
          </rPr>
          <t>Administrator:</t>
        </r>
        <r>
          <rPr>
            <sz val="16"/>
            <rFont val="宋体"/>
            <charset val="134"/>
          </rPr>
          <t xml:space="preserve">
1405544 2/9 868 pcs 华兴三楼A24
</t>
        </r>
      </text>
    </comment>
    <comment ref="AD329" authorId="0">
      <text>
        <r>
          <rPr>
            <b/>
            <sz val="18"/>
            <rFont val="宋体"/>
            <charset val="134"/>
          </rPr>
          <t>Administrator:</t>
        </r>
        <r>
          <rPr>
            <sz val="18"/>
            <rFont val="宋体"/>
            <charset val="134"/>
          </rPr>
          <t xml:space="preserve">
1/21上 客供RFIF贴纸 868 pcs
</t>
        </r>
      </text>
    </comment>
    <comment ref="AB330" authorId="0">
      <text>
        <r>
          <rPr>
            <b/>
            <sz val="16"/>
            <rFont val="宋体"/>
            <charset val="134"/>
          </rPr>
          <t>Administrator:</t>
        </r>
        <r>
          <rPr>
            <sz val="16"/>
            <rFont val="宋体"/>
            <charset val="134"/>
          </rPr>
          <t xml:space="preserve">
1405544 2/9 656 pcs 华兴三楼A14
</t>
        </r>
      </text>
    </comment>
    <comment ref="AD330" authorId="0">
      <text>
        <r>
          <rPr>
            <b/>
            <sz val="18"/>
            <rFont val="宋体"/>
            <charset val="134"/>
          </rPr>
          <t>Administrator:</t>
        </r>
        <r>
          <rPr>
            <sz val="18"/>
            <rFont val="宋体"/>
            <charset val="134"/>
          </rPr>
          <t xml:space="preserve">
1/21上 客供RFIF贴纸 656 pcs
</t>
        </r>
      </text>
    </comment>
    <comment ref="AB331" authorId="0">
      <text>
        <r>
          <rPr>
            <b/>
            <sz val="16"/>
            <rFont val="宋体"/>
            <charset val="134"/>
          </rPr>
          <t>Administrator:</t>
        </r>
        <r>
          <rPr>
            <sz val="16"/>
            <rFont val="宋体"/>
            <charset val="134"/>
          </rPr>
          <t xml:space="preserve">
1405544 2/9 628 pcs 华兴三楼A24
</t>
        </r>
      </text>
    </comment>
    <comment ref="AD331" authorId="0">
      <text>
        <r>
          <rPr>
            <b/>
            <sz val="18"/>
            <rFont val="宋体"/>
            <charset val="134"/>
          </rPr>
          <t>Administrator:</t>
        </r>
        <r>
          <rPr>
            <sz val="18"/>
            <rFont val="宋体"/>
            <charset val="134"/>
          </rPr>
          <t xml:space="preserve">
1/21上 客供RFIF贴纸 628 pcs
</t>
        </r>
      </text>
    </comment>
    <comment ref="AB332" authorId="0">
      <text>
        <r>
          <rPr>
            <b/>
            <sz val="16"/>
            <rFont val="宋体"/>
            <charset val="134"/>
          </rPr>
          <t>Administrator:</t>
        </r>
        <r>
          <rPr>
            <sz val="16"/>
            <rFont val="宋体"/>
            <charset val="134"/>
          </rPr>
          <t xml:space="preserve">
1405544 2/9 1072 pcs 华兴三楼A14
</t>
        </r>
      </text>
    </comment>
    <comment ref="AD332" authorId="0">
      <text>
        <r>
          <rPr>
            <b/>
            <sz val="18"/>
            <rFont val="宋体"/>
            <charset val="134"/>
          </rPr>
          <t>Administrator:</t>
        </r>
        <r>
          <rPr>
            <sz val="18"/>
            <rFont val="宋体"/>
            <charset val="134"/>
          </rPr>
          <t xml:space="preserve">
1/21上 客供RFIF贴纸 1072 pcs
</t>
        </r>
      </text>
    </comment>
    <comment ref="AB333" authorId="0">
      <text>
        <r>
          <rPr>
            <b/>
            <sz val="16"/>
            <rFont val="宋体"/>
            <charset val="134"/>
          </rPr>
          <t>Administrator:</t>
        </r>
        <r>
          <rPr>
            <sz val="16"/>
            <rFont val="宋体"/>
            <charset val="134"/>
          </rPr>
          <t xml:space="preserve">
1405544 2/9 834 pcs 华兴三楼A14
</t>
        </r>
      </text>
    </comment>
    <comment ref="AD333" authorId="0">
      <text>
        <r>
          <rPr>
            <b/>
            <sz val="18"/>
            <rFont val="宋体"/>
            <charset val="134"/>
          </rPr>
          <t>Administrator:</t>
        </r>
        <r>
          <rPr>
            <sz val="18"/>
            <rFont val="宋体"/>
            <charset val="134"/>
          </rPr>
          <t xml:space="preserve">
1/21上 客供RFIF贴纸 834 pcs
</t>
        </r>
      </text>
    </comment>
    <comment ref="AD336" authorId="0">
      <text>
        <r>
          <rPr>
            <b/>
            <sz val="18"/>
            <rFont val="宋体"/>
            <charset val="134"/>
          </rPr>
          <t>Administrator:</t>
        </r>
        <r>
          <rPr>
            <sz val="18"/>
            <rFont val="宋体"/>
            <charset val="134"/>
          </rPr>
          <t xml:space="preserve">
1/21上 客供RFIF贴纸 438 pcs
</t>
        </r>
      </text>
    </comment>
    <comment ref="AD337" authorId="0">
      <text>
        <r>
          <rPr>
            <b/>
            <sz val="18"/>
            <rFont val="宋体"/>
            <charset val="134"/>
          </rPr>
          <t>Administrator:</t>
        </r>
        <r>
          <rPr>
            <sz val="18"/>
            <rFont val="宋体"/>
            <charset val="134"/>
          </rPr>
          <t xml:space="preserve">
1/21上 客供RFIF贴纸 784 pcs
</t>
        </r>
      </text>
    </comment>
    <comment ref="AD338" authorId="0">
      <text>
        <r>
          <rPr>
            <b/>
            <sz val="16"/>
            <rFont val="宋体"/>
            <charset val="134"/>
          </rPr>
          <t>Administrator:</t>
        </r>
        <r>
          <rPr>
            <sz val="16"/>
            <rFont val="宋体"/>
            <charset val="134"/>
          </rPr>
          <t xml:space="preserve">
10/16上 客版说明书 504 pcs
  EAN贴纸 504 pcs
</t>
        </r>
      </text>
    </comment>
  </commentList>
</comments>
</file>

<file path=xl/comments2.xml><?xml version="1.0" encoding="utf-8"?>
<comments xmlns="http://schemas.openxmlformats.org/spreadsheetml/2006/main">
  <authors>
    <author>Administrator</author>
  </authors>
  <commentList>
    <comment ref="AB4" authorId="0">
      <text>
        <r>
          <rPr>
            <b/>
            <sz val="14"/>
            <rFont val="宋体"/>
            <charset val="134"/>
          </rPr>
          <t>Administrator:</t>
        </r>
        <r>
          <rPr>
            <sz val="14"/>
            <rFont val="宋体"/>
            <charset val="134"/>
          </rPr>
          <t xml:space="preserve">
0000585 12/25 240 pcs 华兴一楼A5</t>
        </r>
      </text>
    </comment>
    <comment ref="AD4" authorId="0">
      <text>
        <r>
          <rPr>
            <b/>
            <sz val="14"/>
            <rFont val="宋体"/>
            <charset val="134"/>
          </rPr>
          <t>Administrator:</t>
        </r>
        <r>
          <rPr>
            <sz val="14"/>
            <rFont val="宋体"/>
            <charset val="134"/>
          </rPr>
          <t xml:space="preserve">
11/22上 UPC贴纸 240 pcs
  进口商贴纸 240 pcs</t>
        </r>
      </text>
    </comment>
    <comment ref="AB5" authorId="0">
      <text>
        <r>
          <rPr>
            <b/>
            <sz val="14"/>
            <rFont val="宋体"/>
            <charset val="134"/>
          </rPr>
          <t>Administrator:</t>
        </r>
        <r>
          <rPr>
            <sz val="14"/>
            <rFont val="宋体"/>
            <charset val="134"/>
          </rPr>
          <t xml:space="preserve">
0000554 12/28 18 pcs 华兴一楼A5</t>
        </r>
      </text>
    </comment>
    <comment ref="AD5" authorId="0">
      <text>
        <r>
          <rPr>
            <b/>
            <sz val="14"/>
            <rFont val="宋体"/>
            <charset val="134"/>
          </rPr>
          <t>Administrator:</t>
        </r>
        <r>
          <rPr>
            <sz val="14"/>
            <rFont val="宋体"/>
            <charset val="134"/>
          </rPr>
          <t xml:space="preserve">
11/25上 客供防伪贴纸 18 pcs</t>
        </r>
        <r>
          <rPr>
            <sz val="9"/>
            <rFont val="宋体"/>
            <charset val="134"/>
          </rPr>
          <t xml:space="preserve">
</t>
        </r>
        <r>
          <rPr>
            <sz val="16"/>
            <rFont val="宋体"/>
            <charset val="134"/>
          </rPr>
          <t xml:space="preserve">12/3上 亚马逊外箱贴纸 1 pcs
12/17上 UPC贴纸 18 pcs
</t>
        </r>
      </text>
    </comment>
    <comment ref="AB6" authorId="0">
      <text>
        <r>
          <rPr>
            <b/>
            <sz val="14"/>
            <rFont val="宋体"/>
            <charset val="134"/>
          </rPr>
          <t>Administrator:</t>
        </r>
        <r>
          <rPr>
            <sz val="14"/>
            <rFont val="宋体"/>
            <charset val="134"/>
          </rPr>
          <t xml:space="preserve">
0001030 1/10 216 pcs 华兴一楼A5</t>
        </r>
      </text>
    </comment>
    <comment ref="AD6" authorId="0">
      <text>
        <r>
          <rPr>
            <b/>
            <sz val="14"/>
            <rFont val="宋体"/>
            <charset val="134"/>
          </rPr>
          <t>Administrator:</t>
        </r>
        <r>
          <rPr>
            <sz val="14"/>
            <rFont val="宋体"/>
            <charset val="134"/>
          </rPr>
          <t xml:space="preserve">
12/17上 UPC贴纸 216 pcs</t>
        </r>
        <r>
          <rPr>
            <sz val="9"/>
            <rFont val="宋体"/>
            <charset val="134"/>
          </rPr>
          <t xml:space="preserve">
</t>
        </r>
        <r>
          <rPr>
            <sz val="14"/>
            <rFont val="宋体"/>
            <charset val="134"/>
          </rPr>
          <t>12/23上 亚马逊外箱贴纸 12 pcs
2/26上 客供防伪贴纸 12 pcs</t>
        </r>
      </text>
    </comment>
    <comment ref="AB7" authorId="0">
      <text>
        <r>
          <rPr>
            <b/>
            <sz val="14"/>
            <rFont val="宋体"/>
            <charset val="134"/>
          </rPr>
          <t>Administrator:</t>
        </r>
        <r>
          <rPr>
            <sz val="14"/>
            <rFont val="宋体"/>
            <charset val="134"/>
          </rPr>
          <t xml:space="preserve">
0001030 1/10 180 pcs 华兴一楼A5</t>
        </r>
      </text>
    </comment>
    <comment ref="AD7" authorId="0">
      <text>
        <r>
          <rPr>
            <b/>
            <sz val="14"/>
            <rFont val="宋体"/>
            <charset val="134"/>
          </rPr>
          <t>Administrator:</t>
        </r>
        <r>
          <rPr>
            <sz val="14"/>
            <rFont val="宋体"/>
            <charset val="134"/>
          </rPr>
          <t xml:space="preserve">
12/17上 UPC贴纸 180 pcs</t>
        </r>
        <r>
          <rPr>
            <sz val="9"/>
            <rFont val="宋体"/>
            <charset val="134"/>
          </rPr>
          <t xml:space="preserve">
</t>
        </r>
        <r>
          <rPr>
            <sz val="14"/>
            <rFont val="宋体"/>
            <charset val="134"/>
          </rPr>
          <t>12/23上 亚马逊外箱贴纸 10 pcs</t>
        </r>
        <r>
          <rPr>
            <sz val="9"/>
            <rFont val="宋体"/>
            <charset val="134"/>
          </rPr>
          <t xml:space="preserve">
</t>
        </r>
        <r>
          <rPr>
            <sz val="16"/>
            <rFont val="宋体"/>
            <charset val="134"/>
          </rPr>
          <t>2/26上 客供防伪贴纸 10 pcs</t>
        </r>
        <r>
          <rPr>
            <sz val="9"/>
            <rFont val="宋体"/>
            <charset val="134"/>
          </rPr>
          <t xml:space="preserve">
</t>
        </r>
      </text>
    </comment>
    <comment ref="AB8" authorId="0">
      <text>
        <r>
          <rPr>
            <b/>
            <sz val="14"/>
            <rFont val="宋体"/>
            <charset val="134"/>
          </rPr>
          <t>Administrator:</t>
        </r>
        <r>
          <rPr>
            <sz val="14"/>
            <rFont val="宋体"/>
            <charset val="134"/>
          </rPr>
          <t xml:space="preserve">
0001030 1/10 792 pcs 华兴一楼A5</t>
        </r>
      </text>
    </comment>
    <comment ref="AD8" authorId="0">
      <text>
        <r>
          <rPr>
            <b/>
            <sz val="14"/>
            <rFont val="宋体"/>
            <charset val="134"/>
          </rPr>
          <t>Administrator:</t>
        </r>
        <r>
          <rPr>
            <sz val="14"/>
            <rFont val="宋体"/>
            <charset val="134"/>
          </rPr>
          <t xml:space="preserve">
12/17上 UPC贴纸 792 pcs</t>
        </r>
        <r>
          <rPr>
            <sz val="9"/>
            <rFont val="宋体"/>
            <charset val="134"/>
          </rPr>
          <t xml:space="preserve">
</t>
        </r>
        <r>
          <rPr>
            <sz val="14"/>
            <rFont val="宋体"/>
            <charset val="134"/>
          </rPr>
          <t xml:space="preserve">12/23上 亚马逊外箱贴纸 44 pcs
2/26上 客供防伪贴纸 44 pcs
</t>
        </r>
      </text>
    </comment>
    <comment ref="AB9" authorId="0">
      <text>
        <r>
          <rPr>
            <b/>
            <sz val="14"/>
            <rFont val="宋体"/>
            <charset val="134"/>
          </rPr>
          <t>Administrator:</t>
        </r>
        <r>
          <rPr>
            <sz val="14"/>
            <rFont val="宋体"/>
            <charset val="134"/>
          </rPr>
          <t xml:space="preserve">
0001030 1/10 18 pcs 华兴一楼A5</t>
        </r>
      </text>
    </comment>
    <comment ref="AD9" authorId="0">
      <text>
        <r>
          <rPr>
            <b/>
            <sz val="14"/>
            <rFont val="宋体"/>
            <charset val="134"/>
          </rPr>
          <t>Administrator:</t>
        </r>
        <r>
          <rPr>
            <sz val="14"/>
            <rFont val="宋体"/>
            <charset val="134"/>
          </rPr>
          <t xml:space="preserve">
12/17上 UPC贴纸 18 pcs</t>
        </r>
        <r>
          <rPr>
            <sz val="9"/>
            <rFont val="宋体"/>
            <charset val="134"/>
          </rPr>
          <t xml:space="preserve">
</t>
        </r>
        <r>
          <rPr>
            <sz val="14"/>
            <rFont val="宋体"/>
            <charset val="134"/>
          </rPr>
          <t xml:space="preserve">12/23上 亚马逊外箱贴纸 1 pcs
2/26上 客供防伪贴纸 18 pcs
</t>
        </r>
      </text>
    </comment>
    <comment ref="AB10" authorId="0">
      <text>
        <r>
          <rPr>
            <b/>
            <sz val="14"/>
            <rFont val="宋体"/>
            <charset val="134"/>
          </rPr>
          <t>Administrator:</t>
        </r>
        <r>
          <rPr>
            <sz val="14"/>
            <rFont val="宋体"/>
            <charset val="134"/>
          </rPr>
          <t xml:space="preserve">
0001030 1/10 18 pcs 华兴一楼A5</t>
        </r>
      </text>
    </comment>
    <comment ref="AD10" authorId="0">
      <text>
        <r>
          <rPr>
            <b/>
            <sz val="14"/>
            <rFont val="宋体"/>
            <charset val="134"/>
          </rPr>
          <t>Administrator:</t>
        </r>
        <r>
          <rPr>
            <sz val="14"/>
            <rFont val="宋体"/>
            <charset val="134"/>
          </rPr>
          <t xml:space="preserve">
12/17上 UPC贴纸 18 pcs</t>
        </r>
        <r>
          <rPr>
            <sz val="9"/>
            <rFont val="宋体"/>
            <charset val="134"/>
          </rPr>
          <t xml:space="preserve">
</t>
        </r>
        <r>
          <rPr>
            <sz val="14"/>
            <rFont val="宋体"/>
            <charset val="134"/>
          </rPr>
          <t xml:space="preserve">12/23上 亚马逊外箱贴纸 1 pcs
2/26上 客供防伪贴纸 18 pcs
</t>
        </r>
      </text>
    </comment>
    <comment ref="AB11" authorId="0">
      <text>
        <r>
          <rPr>
            <b/>
            <sz val="14"/>
            <rFont val="宋体"/>
            <charset val="134"/>
          </rPr>
          <t>Administrator:</t>
        </r>
        <r>
          <rPr>
            <sz val="14"/>
            <rFont val="宋体"/>
            <charset val="134"/>
          </rPr>
          <t xml:space="preserve">
0001133 1/17 510 pcs 华兴一楼A5</t>
        </r>
      </text>
    </comment>
    <comment ref="AD11" authorId="0">
      <text>
        <r>
          <rPr>
            <b/>
            <sz val="16"/>
            <rFont val="宋体"/>
            <charset val="134"/>
          </rPr>
          <t>Administrator:</t>
        </r>
        <r>
          <rPr>
            <sz val="16"/>
            <rFont val="宋体"/>
            <charset val="134"/>
          </rPr>
          <t xml:space="preserve">
12/27上 UCC外箱贴纸 85 pcs</t>
        </r>
      </text>
    </comment>
    <comment ref="AB12" authorId="0">
      <text>
        <r>
          <rPr>
            <b/>
            <sz val="14"/>
            <rFont val="宋体"/>
            <charset val="134"/>
          </rPr>
          <t>Administrator:</t>
        </r>
        <r>
          <rPr>
            <sz val="14"/>
            <rFont val="宋体"/>
            <charset val="134"/>
          </rPr>
          <t xml:space="preserve">
0001133 1/17 570 pcs 华兴一楼A5</t>
        </r>
      </text>
    </comment>
    <comment ref="AD12" authorId="0">
      <text>
        <r>
          <rPr>
            <b/>
            <sz val="16"/>
            <rFont val="宋体"/>
            <charset val="134"/>
          </rPr>
          <t>Administrator:</t>
        </r>
        <r>
          <rPr>
            <sz val="16"/>
            <rFont val="宋体"/>
            <charset val="134"/>
          </rPr>
          <t xml:space="preserve">
12/27上 UCC外箱贴纸 95 pcs</t>
        </r>
      </text>
    </comment>
    <comment ref="AB13" authorId="0">
      <text>
        <r>
          <rPr>
            <b/>
            <sz val="14"/>
            <rFont val="宋体"/>
            <charset val="134"/>
          </rPr>
          <t>Administrator:</t>
        </r>
        <r>
          <rPr>
            <sz val="14"/>
            <rFont val="宋体"/>
            <charset val="134"/>
          </rPr>
          <t xml:space="preserve">
0001133 1/17 1134 pcs 华兴一楼A5</t>
        </r>
      </text>
    </comment>
    <comment ref="AD13" authorId="0">
      <text>
        <r>
          <rPr>
            <b/>
            <sz val="16"/>
            <rFont val="宋体"/>
            <charset val="134"/>
          </rPr>
          <t>Administrator:</t>
        </r>
        <r>
          <rPr>
            <sz val="16"/>
            <rFont val="宋体"/>
            <charset val="134"/>
          </rPr>
          <t xml:space="preserve">
12/27上 UCC外箱贴纸 189 pcs</t>
        </r>
      </text>
    </comment>
    <comment ref="AB14" authorId="0">
      <text>
        <r>
          <rPr>
            <b/>
            <sz val="14"/>
            <rFont val="宋体"/>
            <charset val="134"/>
          </rPr>
          <t>Administrator:</t>
        </r>
        <r>
          <rPr>
            <sz val="14"/>
            <rFont val="宋体"/>
            <charset val="134"/>
          </rPr>
          <t xml:space="preserve">
0001235 2/19 5016 pcs 华兴一楼A5</t>
        </r>
      </text>
    </comment>
    <comment ref="AB15" authorId="0">
      <text>
        <r>
          <rPr>
            <b/>
            <sz val="14"/>
            <rFont val="宋体"/>
            <charset val="134"/>
          </rPr>
          <t>Administrator:</t>
        </r>
        <r>
          <rPr>
            <sz val="14"/>
            <rFont val="宋体"/>
            <charset val="134"/>
          </rPr>
          <t xml:space="preserve">
0001278 2/20 516 pcs 华兴一楼A5</t>
        </r>
      </text>
    </comment>
    <comment ref="AD15" authorId="0">
      <text>
        <r>
          <rPr>
            <b/>
            <sz val="16"/>
            <rFont val="宋体"/>
            <charset val="134"/>
          </rPr>
          <t>Administrator:</t>
        </r>
        <r>
          <rPr>
            <sz val="16"/>
            <rFont val="宋体"/>
            <charset val="134"/>
          </rPr>
          <t xml:space="preserve">
12/27上 UCC外箱贴纸 86 pcs</t>
        </r>
      </text>
    </comment>
    <comment ref="AB16" authorId="0">
      <text>
        <r>
          <rPr>
            <b/>
            <sz val="14"/>
            <rFont val="宋体"/>
            <charset val="134"/>
          </rPr>
          <t>Administrator:</t>
        </r>
        <r>
          <rPr>
            <sz val="14"/>
            <rFont val="宋体"/>
            <charset val="134"/>
          </rPr>
          <t xml:space="preserve">
0001278 2/20 564 pcs 华兴一楼A5
</t>
        </r>
      </text>
    </comment>
    <comment ref="AD16" authorId="0">
      <text>
        <r>
          <rPr>
            <b/>
            <sz val="16"/>
            <rFont val="宋体"/>
            <charset val="134"/>
          </rPr>
          <t>Administrator:</t>
        </r>
        <r>
          <rPr>
            <sz val="16"/>
            <rFont val="宋体"/>
            <charset val="134"/>
          </rPr>
          <t xml:space="preserve">
12/27上 UCC外箱贴纸 94 pcs</t>
        </r>
      </text>
    </comment>
    <comment ref="AB17" authorId="0">
      <text>
        <r>
          <rPr>
            <b/>
            <sz val="14"/>
            <rFont val="宋体"/>
            <charset val="134"/>
          </rPr>
          <t>Administrator:</t>
        </r>
        <r>
          <rPr>
            <sz val="14"/>
            <rFont val="宋体"/>
            <charset val="134"/>
          </rPr>
          <t xml:space="preserve">
0001278 2/20 1002 pcs 华兴一楼A5
</t>
        </r>
      </text>
    </comment>
    <comment ref="AD17" authorId="0">
      <text>
        <r>
          <rPr>
            <b/>
            <sz val="14"/>
            <rFont val="宋体"/>
            <charset val="134"/>
          </rPr>
          <t>Administrator:</t>
        </r>
        <r>
          <rPr>
            <sz val="14"/>
            <rFont val="宋体"/>
            <charset val="134"/>
          </rPr>
          <t xml:space="preserve">
2/13上 UPC贴纸 1002 pcs</t>
        </r>
      </text>
    </comment>
    <comment ref="AB18" authorId="0">
      <text>
        <r>
          <rPr>
            <b/>
            <sz val="14"/>
            <rFont val="宋体"/>
            <charset val="134"/>
          </rPr>
          <t>Administrator:</t>
        </r>
        <r>
          <rPr>
            <sz val="14"/>
            <rFont val="宋体"/>
            <charset val="134"/>
          </rPr>
          <t xml:space="preserve">
0001330 2/27 36 pcs 华兴一楼A5</t>
        </r>
      </text>
    </comment>
    <comment ref="AD18" authorId="0">
      <text>
        <r>
          <rPr>
            <b/>
            <sz val="14"/>
            <rFont val="宋体"/>
            <charset val="134"/>
          </rPr>
          <t>Administrator:</t>
        </r>
        <r>
          <rPr>
            <sz val="14"/>
            <rFont val="宋体"/>
            <charset val="134"/>
          </rPr>
          <t xml:space="preserve">
1/13上 客供防伪贴纸 36 pcs
UPC贴纸湖南还有库存
2/10上 客供亚马逊外箱贴纸 2 pcs</t>
        </r>
      </text>
    </comment>
    <comment ref="AB19" authorId="0">
      <text>
        <r>
          <rPr>
            <b/>
            <sz val="14"/>
            <rFont val="宋体"/>
            <charset val="134"/>
          </rPr>
          <t>Administrator:</t>
        </r>
        <r>
          <rPr>
            <sz val="14"/>
            <rFont val="宋体"/>
            <charset val="134"/>
          </rPr>
          <t xml:space="preserve">
0001330 2/27 342 pcs 华兴一楼A5</t>
        </r>
      </text>
    </comment>
    <comment ref="AD19" authorId="0">
      <text>
        <r>
          <rPr>
            <b/>
            <sz val="14"/>
            <rFont val="宋体"/>
            <charset val="134"/>
          </rPr>
          <t>Administrator:</t>
        </r>
        <r>
          <rPr>
            <sz val="14"/>
            <rFont val="宋体"/>
            <charset val="134"/>
          </rPr>
          <t xml:space="preserve">
1/13上 客供防伪贴纸 342 pcs
UPC贴纸湖南还有库存
2/10上 客供亚马逊外箱贴纸 19 pcs
</t>
        </r>
      </text>
    </comment>
    <comment ref="AB20" authorId="0">
      <text>
        <r>
          <rPr>
            <b/>
            <sz val="14"/>
            <rFont val="宋体"/>
            <charset val="134"/>
          </rPr>
          <t>Administrator:</t>
        </r>
        <r>
          <rPr>
            <sz val="14"/>
            <rFont val="宋体"/>
            <charset val="134"/>
          </rPr>
          <t xml:space="preserve">
0001362 3/4 1092 pcs 华兴一楼A5</t>
        </r>
      </text>
    </comment>
    <comment ref="AD20" authorId="0">
      <text>
        <r>
          <rPr>
            <b/>
            <sz val="16"/>
            <rFont val="宋体"/>
            <charset val="134"/>
          </rPr>
          <t>Administrator:</t>
        </r>
        <r>
          <rPr>
            <sz val="16"/>
            <rFont val="宋体"/>
            <charset val="134"/>
          </rPr>
          <t xml:space="preserve">
12/27上 UCC外箱贴纸 182 pcs</t>
        </r>
      </text>
    </comment>
    <comment ref="AB21" authorId="0">
      <text>
        <r>
          <rPr>
            <b/>
            <sz val="14"/>
            <rFont val="宋体"/>
            <charset val="134"/>
          </rPr>
          <t>Administrator:</t>
        </r>
        <r>
          <rPr>
            <sz val="14"/>
            <rFont val="宋体"/>
            <charset val="134"/>
          </rPr>
          <t xml:space="preserve">
2000882 5/21 1824 pcs</t>
        </r>
      </text>
    </comment>
    <comment ref="AD21" authorId="0">
      <text>
        <r>
          <rPr>
            <b/>
            <sz val="16"/>
            <rFont val="宋体"/>
            <charset val="134"/>
          </rPr>
          <t>Administrator:</t>
        </r>
        <r>
          <rPr>
            <sz val="16"/>
            <rFont val="宋体"/>
            <charset val="134"/>
          </rPr>
          <t xml:space="preserve">
5/12上 外箱贴纸 76 pcs
 UPC 条码贴纸 1824 pcs</t>
        </r>
      </text>
    </comment>
    <comment ref="AB22" authorId="0">
      <text>
        <r>
          <rPr>
            <b/>
            <sz val="14"/>
            <rFont val="宋体"/>
            <charset val="134"/>
          </rPr>
          <t>Administrator:</t>
        </r>
        <r>
          <rPr>
            <sz val="14"/>
            <rFont val="宋体"/>
            <charset val="134"/>
          </rPr>
          <t xml:space="preserve">
2000882 5/21 1536 pcs</t>
        </r>
      </text>
    </comment>
    <comment ref="AD22" authorId="0">
      <text>
        <r>
          <rPr>
            <b/>
            <sz val="16"/>
            <rFont val="宋体"/>
            <charset val="134"/>
          </rPr>
          <t>Administrator:</t>
        </r>
        <r>
          <rPr>
            <sz val="16"/>
            <rFont val="宋体"/>
            <charset val="134"/>
          </rPr>
          <t xml:space="preserve">
5/12上 外箱贴纸 64 pcs
 UPC 条码贴纸 1536 pcs</t>
        </r>
      </text>
    </comment>
    <comment ref="AB23" authorId="0">
      <text>
        <r>
          <rPr>
            <b/>
            <sz val="14"/>
            <rFont val="宋体"/>
            <charset val="134"/>
          </rPr>
          <t>Administrator:</t>
        </r>
        <r>
          <rPr>
            <sz val="14"/>
            <rFont val="宋体"/>
            <charset val="134"/>
          </rPr>
          <t xml:space="preserve">
2000876 5/20 3402 pcs 华兴一楼A1</t>
        </r>
      </text>
    </comment>
    <comment ref="AD23" authorId="0">
      <text>
        <r>
          <rPr>
            <b/>
            <sz val="14"/>
            <rFont val="宋体"/>
            <charset val="134"/>
          </rPr>
          <t>Administrator:</t>
        </r>
        <r>
          <rPr>
            <sz val="14"/>
            <rFont val="宋体"/>
            <charset val="134"/>
          </rPr>
          <t xml:space="preserve">
4/21上 UPC贴纸 3402 pcs</t>
        </r>
      </text>
    </comment>
    <comment ref="AB24" authorId="0">
      <text>
        <r>
          <rPr>
            <b/>
            <sz val="14"/>
            <rFont val="宋体"/>
            <charset val="134"/>
          </rPr>
          <t>Administrator:</t>
        </r>
        <r>
          <rPr>
            <sz val="14"/>
            <rFont val="宋体"/>
            <charset val="134"/>
          </rPr>
          <t xml:space="preserve">
2000683 5/28 120 pcs 华兴一楼A1</t>
        </r>
      </text>
    </comment>
    <comment ref="AD24" authorId="0">
      <text>
        <r>
          <rPr>
            <b/>
            <sz val="16"/>
            <rFont val="宋体"/>
            <charset val="134"/>
          </rPr>
          <t>Administrator:</t>
        </r>
        <r>
          <rPr>
            <sz val="16"/>
            <rFont val="宋体"/>
            <charset val="134"/>
          </rPr>
          <t xml:space="preserve">
5/9上 通用贴纸 120 pcs</t>
        </r>
      </text>
    </comment>
    <comment ref="AB25" authorId="0">
      <text>
        <r>
          <rPr>
            <b/>
            <sz val="14"/>
            <rFont val="宋体"/>
            <charset val="134"/>
          </rPr>
          <t>Administrator:</t>
        </r>
        <r>
          <rPr>
            <sz val="14"/>
            <rFont val="宋体"/>
            <charset val="134"/>
          </rPr>
          <t xml:space="preserve">
2002371 6/5 108 pcs 新仓库一楼B10</t>
        </r>
      </text>
    </comment>
    <comment ref="AD25" authorId="0">
      <text>
        <r>
          <rPr>
            <b/>
            <sz val="16"/>
            <rFont val="宋体"/>
            <charset val="134"/>
          </rPr>
          <t>Administrator:</t>
        </r>
        <r>
          <rPr>
            <sz val="16"/>
            <rFont val="宋体"/>
            <charset val="134"/>
          </rPr>
          <t xml:space="preserve">
5/9上 通用贴纸 108 pcs</t>
        </r>
      </text>
    </comment>
    <comment ref="AB26" authorId="0">
      <text>
        <r>
          <rPr>
            <b/>
            <sz val="14"/>
            <rFont val="宋体"/>
            <charset val="134"/>
          </rPr>
          <t>Administrator:</t>
        </r>
        <r>
          <rPr>
            <sz val="14"/>
            <rFont val="宋体"/>
            <charset val="134"/>
          </rPr>
          <t xml:space="preserve">
2002342 6/6 288 pcs 新仓库一楼A8
2002327 6/7 18 pcs 新仓库</t>
        </r>
      </text>
    </comment>
    <comment ref="AD26" authorId="0">
      <text>
        <r>
          <rPr>
            <b/>
            <sz val="14"/>
            <rFont val="宋体"/>
            <charset val="134"/>
          </rPr>
          <t>Administrator:</t>
        </r>
        <r>
          <rPr>
            <sz val="14"/>
            <rFont val="宋体"/>
            <charset val="134"/>
          </rPr>
          <t xml:space="preserve">
5/17上 客供防伪贴纸 306 pcs
5/21上 UPC贴纸 306 pcs
5/27上 客供亚马逊外箱贴纸 17 pcs
5/30上 UPC贴纸 306 pcs</t>
        </r>
      </text>
    </comment>
    <comment ref="AB27" authorId="0">
      <text>
        <r>
          <rPr>
            <b/>
            <sz val="14"/>
            <rFont val="宋体"/>
            <charset val="134"/>
          </rPr>
          <t>Administrator:</t>
        </r>
        <r>
          <rPr>
            <sz val="14"/>
            <rFont val="宋体"/>
            <charset val="134"/>
          </rPr>
          <t xml:space="preserve">
2002327 6/7 54 pcs 华兴A5</t>
        </r>
      </text>
    </comment>
    <comment ref="AD27" authorId="0">
      <text>
        <r>
          <rPr>
            <b/>
            <sz val="12"/>
            <rFont val="宋体"/>
            <charset val="134"/>
          </rPr>
          <t>Administrator:</t>
        </r>
        <r>
          <rPr>
            <sz val="12"/>
            <rFont val="宋体"/>
            <charset val="134"/>
          </rPr>
          <t xml:space="preserve">
5/21上 带干电池走货北欧六语通用黑白电池说明书 54 pcs
5/30上 警告语/邮箱地址贴纸 54 pcs
 黑白说明书 54 pcs</t>
        </r>
      </text>
    </comment>
    <comment ref="AB28" authorId="0">
      <text>
        <r>
          <rPr>
            <b/>
            <sz val="14"/>
            <rFont val="宋体"/>
            <charset val="134"/>
          </rPr>
          <t>Administrator:</t>
        </r>
        <r>
          <rPr>
            <sz val="14"/>
            <rFont val="宋体"/>
            <charset val="134"/>
          </rPr>
          <t xml:space="preserve">
3001798 6/25 18 pcs 华兴一楼A5</t>
        </r>
      </text>
    </comment>
    <comment ref="AD28" authorId="0">
      <text>
        <r>
          <rPr>
            <b/>
            <sz val="14"/>
            <rFont val="宋体"/>
            <charset val="134"/>
          </rPr>
          <t>Administrator:</t>
        </r>
        <r>
          <rPr>
            <sz val="14"/>
            <rFont val="宋体"/>
            <charset val="134"/>
          </rPr>
          <t xml:space="preserve">
6/6上 UPC贴纸 18 pcs
6/11上 客供亚马逊外箱 1 pcs
6/18上 客供防伪贴纸 18 pcs</t>
        </r>
      </text>
    </comment>
    <comment ref="AB29" authorId="0">
      <text>
        <r>
          <rPr>
            <b/>
            <sz val="14"/>
            <rFont val="宋体"/>
            <charset val="134"/>
          </rPr>
          <t>Administrator:</t>
        </r>
        <r>
          <rPr>
            <sz val="14"/>
            <rFont val="宋体"/>
            <charset val="134"/>
          </rPr>
          <t xml:space="preserve">
3001798 6/25 18 pcs 华兴一楼A5</t>
        </r>
      </text>
    </comment>
    <comment ref="AD29" authorId="0">
      <text>
        <r>
          <rPr>
            <b/>
            <sz val="14"/>
            <rFont val="宋体"/>
            <charset val="134"/>
          </rPr>
          <t>Administrator:</t>
        </r>
        <r>
          <rPr>
            <sz val="14"/>
            <rFont val="宋体"/>
            <charset val="134"/>
          </rPr>
          <t xml:space="preserve">
6/6上 UPC贴纸 18 pcs
6/11上 客供亚马逊外箱 1 pcs
6/18上 客供防伪贴纸 18 pcs</t>
        </r>
      </text>
    </comment>
    <comment ref="AB30" authorId="0">
      <text>
        <r>
          <rPr>
            <b/>
            <sz val="14"/>
            <rFont val="宋体"/>
            <charset val="134"/>
          </rPr>
          <t>Administrator:</t>
        </r>
        <r>
          <rPr>
            <sz val="14"/>
            <rFont val="宋体"/>
            <charset val="134"/>
          </rPr>
          <t xml:space="preserve">
3001798 6/25 18 pcs 华兴一楼A5</t>
        </r>
      </text>
    </comment>
    <comment ref="AD30" authorId="0">
      <text>
        <r>
          <rPr>
            <b/>
            <sz val="14"/>
            <rFont val="宋体"/>
            <charset val="134"/>
          </rPr>
          <t>Administrator:</t>
        </r>
        <r>
          <rPr>
            <sz val="14"/>
            <rFont val="宋体"/>
            <charset val="134"/>
          </rPr>
          <t xml:space="preserve">
6/6上 UPC贴纸 18 pcs
6/11上 客供亚马逊外箱 1 pcs
6/18上 客供防伪贴纸 18 pcs</t>
        </r>
      </text>
    </comment>
    <comment ref="AB31" authorId="0">
      <text>
        <r>
          <rPr>
            <b/>
            <sz val="16"/>
            <rFont val="宋体"/>
            <charset val="134"/>
          </rPr>
          <t>Administrator:</t>
        </r>
        <r>
          <rPr>
            <sz val="16"/>
            <rFont val="宋体"/>
            <charset val="134"/>
          </rPr>
          <t xml:space="preserve">
3001761 6/27 600 pcs 莫B四楼A7</t>
        </r>
      </text>
    </comment>
    <comment ref="AD32" authorId="0">
      <text>
        <r>
          <rPr>
            <b/>
            <sz val="14"/>
            <rFont val="宋体"/>
            <charset val="134"/>
          </rPr>
          <t>Administrator:</t>
        </r>
        <r>
          <rPr>
            <sz val="14"/>
            <rFont val="宋体"/>
            <charset val="134"/>
          </rPr>
          <t xml:space="preserve">
6/10上 A款胶袋贴纸 328 pcs
6/11上 WEEE 带电池走货 通用30L 说明书 328 pcs</t>
        </r>
      </text>
    </comment>
    <comment ref="AD33" authorId="0">
      <text>
        <r>
          <rPr>
            <b/>
            <sz val="14"/>
            <rFont val="宋体"/>
            <charset val="134"/>
          </rPr>
          <t>Administrator:</t>
        </r>
        <r>
          <rPr>
            <sz val="14"/>
            <rFont val="宋体"/>
            <charset val="134"/>
          </rPr>
          <t xml:space="preserve">
6/10上 B款胶袋贴纸 488 pcs
6/11上 WEEE 带电池走货 通用30L 说明书 488 pcs
</t>
        </r>
      </text>
    </comment>
    <comment ref="AD34" authorId="0">
      <text>
        <r>
          <rPr>
            <b/>
            <sz val="14"/>
            <rFont val="宋体"/>
            <charset val="134"/>
          </rPr>
          <t>Administrator:</t>
        </r>
        <r>
          <rPr>
            <sz val="14"/>
            <rFont val="宋体"/>
            <charset val="134"/>
          </rPr>
          <t xml:space="preserve">
6/10上 D款胶袋贴纸 488 pc
6/11上 WEEE 带电池走货 通用30L 说明书 488 pcs</t>
        </r>
      </text>
    </comment>
    <comment ref="AD35" authorId="0">
      <text>
        <r>
          <rPr>
            <b/>
            <sz val="14"/>
            <rFont val="宋体"/>
            <charset val="134"/>
          </rPr>
          <t>Administrator:</t>
        </r>
        <r>
          <rPr>
            <sz val="14"/>
            <rFont val="宋体"/>
            <charset val="134"/>
          </rPr>
          <t xml:space="preserve">
6/10上 A款胶袋贴纸 64 pcs
6/11上 WEEE 带电池走货 通用30L 说明书 64 pcs</t>
        </r>
      </text>
    </comment>
    <comment ref="AD36" authorId="0">
      <text>
        <r>
          <rPr>
            <b/>
            <sz val="14"/>
            <rFont val="宋体"/>
            <charset val="134"/>
          </rPr>
          <t>Administrator:</t>
        </r>
        <r>
          <rPr>
            <sz val="14"/>
            <rFont val="宋体"/>
            <charset val="134"/>
          </rPr>
          <t xml:space="preserve">
6/10上 B款胶袋贴纸 96 pcs
6/11上 WEEE 带电池走货 通用30L 说明书 96 pcs</t>
        </r>
      </text>
    </comment>
    <comment ref="AD37" authorId="0">
      <text>
        <r>
          <rPr>
            <b/>
            <sz val="14"/>
            <rFont val="宋体"/>
            <charset val="134"/>
          </rPr>
          <t>Administrator:</t>
        </r>
        <r>
          <rPr>
            <sz val="14"/>
            <rFont val="宋体"/>
            <charset val="134"/>
          </rPr>
          <t xml:space="preserve">
6/10上 D款胶袋贴纸 96 pcs
6/11上 WEEE 带电池走货 通用30L 说明书 96 pcs</t>
        </r>
      </text>
    </comment>
    <comment ref="AD38" authorId="0">
      <text>
        <r>
          <rPr>
            <b/>
            <sz val="12"/>
            <rFont val="宋体"/>
            <charset val="134"/>
          </rPr>
          <t>Administrator:</t>
        </r>
        <r>
          <rPr>
            <sz val="12"/>
            <rFont val="宋体"/>
            <charset val="134"/>
          </rPr>
          <t xml:space="preserve">
6/11上 WEEE 带电池走货 通用30L 说明书 19960 pcs</t>
        </r>
      </text>
    </comment>
    <comment ref="AB39" authorId="0">
      <text>
        <r>
          <rPr>
            <b/>
            <sz val="16"/>
            <rFont val="宋体"/>
            <charset val="134"/>
          </rPr>
          <t>Administrator:</t>
        </r>
        <r>
          <rPr>
            <sz val="16"/>
            <rFont val="宋体"/>
            <charset val="134"/>
          </rPr>
          <t xml:space="preserve">
3001642 7/9 504 pcs 新仓库三楼B12</t>
        </r>
      </text>
    </comment>
    <comment ref="AD39" authorId="0">
      <text>
        <r>
          <rPr>
            <b/>
            <sz val="16"/>
            <rFont val="宋体"/>
            <charset val="134"/>
          </rPr>
          <t>Administrator:</t>
        </r>
        <r>
          <rPr>
            <sz val="16"/>
            <rFont val="宋体"/>
            <charset val="134"/>
          </rPr>
          <t xml:space="preserve">
6/24上 客供Hu贴纸（条码贴）21 pcs
 客供ASN贴纸 21 pcs</t>
        </r>
        <r>
          <rPr>
            <sz val="9"/>
            <rFont val="宋体"/>
            <charset val="134"/>
          </rPr>
          <t xml:space="preserve">
</t>
        </r>
        <r>
          <rPr>
            <sz val="16"/>
            <rFont val="宋体"/>
            <charset val="134"/>
          </rPr>
          <t>6/27上 价标贴纸 504 pcs</t>
        </r>
        <r>
          <rPr>
            <sz val="9"/>
            <rFont val="宋体"/>
            <charset val="134"/>
          </rPr>
          <t xml:space="preserve">
</t>
        </r>
        <r>
          <rPr>
            <sz val="16"/>
            <rFont val="宋体"/>
            <charset val="134"/>
          </rPr>
          <t>6/28上 进口商贴纸 504 pcs
 说明书贴纸 504 pcs</t>
        </r>
      </text>
    </comment>
    <comment ref="AB40" authorId="0">
      <text>
        <r>
          <rPr>
            <b/>
            <sz val="16"/>
            <rFont val="宋体"/>
            <charset val="134"/>
          </rPr>
          <t>Administrator:</t>
        </r>
        <r>
          <rPr>
            <sz val="16"/>
            <rFont val="宋体"/>
            <charset val="134"/>
          </rPr>
          <t xml:space="preserve">
3001591 6/30 54 pcs 华兴一楼A5</t>
        </r>
      </text>
    </comment>
    <comment ref="AD40" authorId="0">
      <text>
        <r>
          <rPr>
            <b/>
            <sz val="12"/>
            <rFont val="宋体"/>
            <charset val="134"/>
          </rPr>
          <t>Administrator:</t>
        </r>
        <r>
          <rPr>
            <sz val="12"/>
            <rFont val="宋体"/>
            <charset val="134"/>
          </rPr>
          <t xml:space="preserve">
6/13上 UPC贴纸 54 pcs
6/21上 客供亚马逊外箱贴纸 3 pcs
6/18上 客供防伪贴纸 54 pcs</t>
        </r>
      </text>
    </comment>
    <comment ref="AB41" authorId="0">
      <text>
        <r>
          <rPr>
            <b/>
            <sz val="16"/>
            <rFont val="宋体"/>
            <charset val="134"/>
          </rPr>
          <t>Administrator:</t>
        </r>
        <r>
          <rPr>
            <sz val="16"/>
            <rFont val="宋体"/>
            <charset val="134"/>
          </rPr>
          <t xml:space="preserve">
3002596 7/21 1998 pcs 华兴一楼A5</t>
        </r>
      </text>
    </comment>
    <comment ref="AD41" authorId="0">
      <text>
        <r>
          <rPr>
            <b/>
            <sz val="16"/>
            <rFont val="宋体"/>
            <charset val="134"/>
          </rPr>
          <t>Administrator:</t>
        </r>
        <r>
          <rPr>
            <sz val="16"/>
            <rFont val="宋体"/>
            <charset val="134"/>
          </rPr>
          <t xml:space="preserve">
6/28上 UPC贴纸 1998 pcs
7/10上 客供防伪贴纸 1998 pcs</t>
        </r>
        <r>
          <rPr>
            <sz val="14"/>
            <rFont val="宋体"/>
            <charset val="134"/>
          </rPr>
          <t xml:space="preserve">
</t>
        </r>
      </text>
    </comment>
    <comment ref="AB42" authorId="0">
      <text>
        <r>
          <rPr>
            <b/>
            <sz val="14"/>
            <rFont val="宋体"/>
            <charset val="134"/>
          </rPr>
          <t>Administrator:</t>
        </r>
        <r>
          <rPr>
            <sz val="14"/>
            <rFont val="宋体"/>
            <charset val="134"/>
          </rPr>
          <t xml:space="preserve">
3002643 7/18 48 pcs 莫B四楼A6</t>
        </r>
      </text>
    </comment>
    <comment ref="AD42" authorId="0">
      <text>
        <r>
          <rPr>
            <b/>
            <sz val="14"/>
            <rFont val="宋体"/>
            <charset val="134"/>
          </rPr>
          <t>Administrator:</t>
        </r>
        <r>
          <rPr>
            <sz val="14"/>
            <rFont val="宋体"/>
            <charset val="134"/>
          </rPr>
          <t xml:space="preserve">
4/9上 UPC贴纸 48 pcs</t>
        </r>
      </text>
    </comment>
    <comment ref="AB43" authorId="0">
      <text>
        <r>
          <rPr>
            <b/>
            <sz val="14"/>
            <rFont val="宋体"/>
            <charset val="134"/>
          </rPr>
          <t>Administrator:</t>
        </r>
        <r>
          <rPr>
            <sz val="14"/>
            <rFont val="宋体"/>
            <charset val="134"/>
          </rPr>
          <t xml:space="preserve">
3002624 7/19 54 pcs 华兴一楼A5</t>
        </r>
      </text>
    </comment>
    <comment ref="AD43" authorId="0">
      <text>
        <r>
          <rPr>
            <b/>
            <sz val="14"/>
            <rFont val="宋体"/>
            <charset val="134"/>
          </rPr>
          <t>Administrator:</t>
        </r>
        <r>
          <rPr>
            <sz val="14"/>
            <rFont val="宋体"/>
            <charset val="134"/>
          </rPr>
          <t xml:space="preserve">
6/28上 UPC贴纸 54 pcs
7/10上 客供防伪贴纸 54 pcs
7/12上 客供亚马逊外箱贴纸 3 pcs</t>
        </r>
      </text>
    </comment>
    <comment ref="AB44" authorId="0">
      <text>
        <r>
          <rPr>
            <b/>
            <sz val="14"/>
            <rFont val="宋体"/>
            <charset val="134"/>
          </rPr>
          <t>Administrator:</t>
        </r>
        <r>
          <rPr>
            <sz val="14"/>
            <rFont val="宋体"/>
            <charset val="134"/>
          </rPr>
          <t xml:space="preserve">
3002624 7/19 36 pcs 华兴一楼A5
</t>
        </r>
      </text>
    </comment>
    <comment ref="AD44" authorId="0">
      <text>
        <r>
          <rPr>
            <b/>
            <sz val="14"/>
            <rFont val="宋体"/>
            <charset val="134"/>
          </rPr>
          <t>Administrator:</t>
        </r>
        <r>
          <rPr>
            <sz val="14"/>
            <rFont val="宋体"/>
            <charset val="134"/>
          </rPr>
          <t xml:space="preserve">
6/28上 UPC贴纸 36 pcs
7/10上 客供防伪贴纸 36 pcs
7/12上 客供亚马逊外箱贴纸 2 pcs
</t>
        </r>
      </text>
    </comment>
    <comment ref="AB45" authorId="0">
      <text>
        <r>
          <rPr>
            <b/>
            <sz val="14"/>
            <rFont val="宋体"/>
            <charset val="134"/>
          </rPr>
          <t>Administrator:</t>
        </r>
        <r>
          <rPr>
            <sz val="14"/>
            <rFont val="宋体"/>
            <charset val="134"/>
          </rPr>
          <t xml:space="preserve">
3002624 7/19 108 pcs 华兴一楼A5
</t>
        </r>
      </text>
    </comment>
    <comment ref="AD45" authorId="0">
      <text>
        <r>
          <rPr>
            <b/>
            <sz val="14"/>
            <rFont val="宋体"/>
            <charset val="134"/>
          </rPr>
          <t>Administrator:</t>
        </r>
        <r>
          <rPr>
            <sz val="14"/>
            <rFont val="宋体"/>
            <charset val="134"/>
          </rPr>
          <t xml:space="preserve">
6/28上 UPC贴纸 108 pcs
7/10上 客供防伪贴纸 108 pcs
7/12上 客供亚马逊外箱贴纸 3 pcs
</t>
        </r>
      </text>
    </comment>
    <comment ref="AB46" authorId="0">
      <text>
        <r>
          <rPr>
            <b/>
            <sz val="14"/>
            <rFont val="宋体"/>
            <charset val="134"/>
          </rPr>
          <t>Administrator:</t>
        </r>
        <r>
          <rPr>
            <sz val="14"/>
            <rFont val="宋体"/>
            <charset val="134"/>
          </rPr>
          <t xml:space="preserve">
3002624 7/19 54 pcs 华兴一楼A5
</t>
        </r>
      </text>
    </comment>
    <comment ref="AD46" authorId="0">
      <text>
        <r>
          <rPr>
            <b/>
            <sz val="14"/>
            <rFont val="宋体"/>
            <charset val="134"/>
          </rPr>
          <t>Administrator:</t>
        </r>
        <r>
          <rPr>
            <sz val="14"/>
            <rFont val="宋体"/>
            <charset val="134"/>
          </rPr>
          <t xml:space="preserve">
6/28上 UPC贴纸 54 pcs
7/10上 客供防伪贴纸 54 pcs
7/12上 客供亚马逊外箱贴纸 3 pcs
</t>
        </r>
      </text>
    </comment>
    <comment ref="AB47" authorId="0">
      <text>
        <r>
          <rPr>
            <b/>
            <sz val="14"/>
            <rFont val="宋体"/>
            <charset val="134"/>
          </rPr>
          <t>Administrator:</t>
        </r>
        <r>
          <rPr>
            <sz val="14"/>
            <rFont val="宋体"/>
            <charset val="134"/>
          </rPr>
          <t xml:space="preserve">
3002624 7/19 36 pcs 华兴一楼A5
</t>
        </r>
      </text>
    </comment>
    <comment ref="AD47" authorId="0">
      <text>
        <r>
          <rPr>
            <b/>
            <sz val="14"/>
            <rFont val="宋体"/>
            <charset val="134"/>
          </rPr>
          <t>Administrator:</t>
        </r>
        <r>
          <rPr>
            <sz val="14"/>
            <rFont val="宋体"/>
            <charset val="134"/>
          </rPr>
          <t xml:space="preserve">
6/28上 UPC贴纸 36 pcs
7/10上 客供防伪贴纸 36 pcs
7/12上 客供亚马逊外箱贴纸 2 pcs
</t>
        </r>
      </text>
    </comment>
    <comment ref="AB48" authorId="0">
      <text>
        <r>
          <rPr>
            <b/>
            <sz val="14"/>
            <rFont val="宋体"/>
            <charset val="134"/>
          </rPr>
          <t>Administrator:</t>
        </r>
        <r>
          <rPr>
            <sz val="14"/>
            <rFont val="宋体"/>
            <charset val="134"/>
          </rPr>
          <t xml:space="preserve">
3002624 7/19 72 pcs 华兴一楼A5
</t>
        </r>
      </text>
    </comment>
    <comment ref="AD48" authorId="0">
      <text>
        <r>
          <rPr>
            <b/>
            <sz val="14"/>
            <rFont val="宋体"/>
            <charset val="134"/>
          </rPr>
          <t>Administrator:</t>
        </r>
        <r>
          <rPr>
            <sz val="14"/>
            <rFont val="宋体"/>
            <charset val="134"/>
          </rPr>
          <t xml:space="preserve">
6/28上 UPC贴纸 72 pcs
7/10上 客供防伪贴纸 72 pcs
7/12上 客供亚马逊外箱贴纸 4 pcs
</t>
        </r>
      </text>
    </comment>
    <comment ref="AB49" authorId="0">
      <text>
        <r>
          <rPr>
            <b/>
            <sz val="16"/>
            <rFont val="宋体"/>
            <charset val="134"/>
          </rPr>
          <t>Administrator:</t>
        </r>
        <r>
          <rPr>
            <sz val="16"/>
            <rFont val="宋体"/>
            <charset val="134"/>
          </rPr>
          <t xml:space="preserve">
3002610 7/19 36 pcs 华兴一楼A5</t>
        </r>
      </text>
    </comment>
    <comment ref="AD49" authorId="0">
      <text>
        <r>
          <rPr>
            <b/>
            <sz val="14"/>
            <rFont val="宋体"/>
            <charset val="134"/>
          </rPr>
          <t>Administrator:</t>
        </r>
        <r>
          <rPr>
            <sz val="14"/>
            <rFont val="宋体"/>
            <charset val="134"/>
          </rPr>
          <t xml:space="preserve">
6/28上 UPC贴纸 36 pcs
7/10上 客供防伪贴纸 36 pcs
7/12上 客供亚马逊外箱贴纸 2 pcs
</t>
        </r>
      </text>
    </comment>
    <comment ref="AB50" authorId="0">
      <text>
        <r>
          <rPr>
            <b/>
            <sz val="16"/>
            <rFont val="宋体"/>
            <charset val="134"/>
          </rPr>
          <t>Administrator:</t>
        </r>
        <r>
          <rPr>
            <sz val="16"/>
            <rFont val="宋体"/>
            <charset val="134"/>
          </rPr>
          <t xml:space="preserve">
3002610 7/19 18 pcs 华兴一楼A5
</t>
        </r>
      </text>
    </comment>
    <comment ref="AD50" authorId="0">
      <text>
        <r>
          <rPr>
            <b/>
            <sz val="14"/>
            <rFont val="宋体"/>
            <charset val="134"/>
          </rPr>
          <t>Administrator:</t>
        </r>
        <r>
          <rPr>
            <sz val="14"/>
            <rFont val="宋体"/>
            <charset val="134"/>
          </rPr>
          <t xml:space="preserve">
6/28上 UPC贴纸 18 pcs
7/10上 客供防伪贴纸 18 pcs
7/12上 客供亚马逊外箱贴纸 1 pcs
</t>
        </r>
      </text>
    </comment>
    <comment ref="AB51" authorId="0">
      <text>
        <r>
          <rPr>
            <b/>
            <sz val="16"/>
            <rFont val="宋体"/>
            <charset val="134"/>
          </rPr>
          <t>Administrator:</t>
        </r>
        <r>
          <rPr>
            <sz val="16"/>
            <rFont val="宋体"/>
            <charset val="134"/>
          </rPr>
          <t xml:space="preserve">
3002610 7/19 18 pcs 华兴一楼A5
</t>
        </r>
      </text>
    </comment>
    <comment ref="AD51" authorId="0">
      <text>
        <r>
          <rPr>
            <b/>
            <sz val="14"/>
            <rFont val="宋体"/>
            <charset val="134"/>
          </rPr>
          <t>Administrator:</t>
        </r>
        <r>
          <rPr>
            <sz val="14"/>
            <rFont val="宋体"/>
            <charset val="134"/>
          </rPr>
          <t xml:space="preserve">
6/28上 UPC贴纸 18 pcs
7/10上 客供防伪贴纸 18 pcs
7/12上 客供亚马逊外箱贴纸 1 pcs
</t>
        </r>
      </text>
    </comment>
    <comment ref="AB52" authorId="0">
      <text>
        <r>
          <rPr>
            <b/>
            <sz val="16"/>
            <rFont val="宋体"/>
            <charset val="134"/>
          </rPr>
          <t>Administrator:</t>
        </r>
        <r>
          <rPr>
            <sz val="16"/>
            <rFont val="宋体"/>
            <charset val="134"/>
          </rPr>
          <t xml:space="preserve">
3002610 7/19 18 pcs 华兴一楼A5
</t>
        </r>
      </text>
    </comment>
    <comment ref="AD52" authorId="0">
      <text>
        <r>
          <rPr>
            <b/>
            <sz val="14"/>
            <rFont val="宋体"/>
            <charset val="134"/>
          </rPr>
          <t>Administrator:</t>
        </r>
        <r>
          <rPr>
            <sz val="14"/>
            <rFont val="宋体"/>
            <charset val="134"/>
          </rPr>
          <t xml:space="preserve">
6/28上 UPC贴纸 18 pcs
7/10上 客供防伪贴纸 18 pcs
7/12上 客供亚马逊外箱贴纸 1 pcs
</t>
        </r>
      </text>
    </comment>
    <comment ref="AB53" authorId="0">
      <text>
        <r>
          <rPr>
            <b/>
            <sz val="16"/>
            <rFont val="宋体"/>
            <charset val="134"/>
          </rPr>
          <t>Administrator:</t>
        </r>
        <r>
          <rPr>
            <sz val="16"/>
            <rFont val="宋体"/>
            <charset val="134"/>
          </rPr>
          <t xml:space="preserve">
3002610 7/19 18 pcs</t>
        </r>
      </text>
    </comment>
    <comment ref="AD53" authorId="0">
      <text>
        <r>
          <rPr>
            <b/>
            <sz val="14"/>
            <rFont val="宋体"/>
            <charset val="134"/>
          </rPr>
          <t>Administrator:</t>
        </r>
        <r>
          <rPr>
            <sz val="14"/>
            <rFont val="宋体"/>
            <charset val="134"/>
          </rPr>
          <t xml:space="preserve">
6/28上 UPC贴纸 18 pcs
7/10上 客供防伪贴纸 18 pcs
7/12上 客供亚马逊外箱贴纸 1 pcs
</t>
        </r>
      </text>
    </comment>
    <comment ref="AB54" authorId="0">
      <text>
        <r>
          <rPr>
            <b/>
            <sz val="16"/>
            <rFont val="宋体"/>
            <charset val="134"/>
          </rPr>
          <t>Administrator:</t>
        </r>
        <r>
          <rPr>
            <sz val="16"/>
            <rFont val="宋体"/>
            <charset val="134"/>
          </rPr>
          <t xml:space="preserve">
3002610 7/19 504 pcs 华兴一楼A5
3002596 7/21 18 pcs A5</t>
        </r>
      </text>
    </comment>
    <comment ref="AD54" authorId="0">
      <text>
        <r>
          <rPr>
            <b/>
            <sz val="14"/>
            <rFont val="宋体"/>
            <charset val="134"/>
          </rPr>
          <t>Administrator:</t>
        </r>
        <r>
          <rPr>
            <sz val="14"/>
            <rFont val="宋体"/>
            <charset val="134"/>
          </rPr>
          <t xml:space="preserve">
6/26上 UPC贴纸 522 pcs
7/10上 客供防伪贴纸 552 pcs
7/12上 客供亚马逊外箱贴纸 29 pcs
</t>
        </r>
      </text>
    </comment>
    <comment ref="AB55" authorId="0">
      <text>
        <r>
          <rPr>
            <b/>
            <sz val="16"/>
            <rFont val="宋体"/>
            <charset val="134"/>
          </rPr>
          <t>Administrator:</t>
        </r>
        <r>
          <rPr>
            <sz val="16"/>
            <rFont val="宋体"/>
            <charset val="134"/>
          </rPr>
          <t xml:space="preserve">
3002479 7/26 36 pcs 华兴一楼A5</t>
        </r>
      </text>
    </comment>
    <comment ref="AD55" authorId="0">
      <text>
        <r>
          <rPr>
            <b/>
            <sz val="14"/>
            <rFont val="宋体"/>
            <charset val="134"/>
          </rPr>
          <t>Administrator:</t>
        </r>
        <r>
          <rPr>
            <sz val="14"/>
            <rFont val="宋体"/>
            <charset val="134"/>
          </rPr>
          <t xml:space="preserve">
6/26上 UPC贴纸 36 pcs
7/10上 客供防伪贴纸 36 pcs
7/12上 客供亚马逊外箱贴纸 2 pcs</t>
        </r>
      </text>
    </comment>
    <comment ref="AB56" authorId="0">
      <text>
        <r>
          <rPr>
            <b/>
            <sz val="16"/>
            <rFont val="宋体"/>
            <charset val="134"/>
          </rPr>
          <t>Administrator:</t>
        </r>
        <r>
          <rPr>
            <sz val="16"/>
            <rFont val="宋体"/>
            <charset val="134"/>
          </rPr>
          <t xml:space="preserve">
3002479 7/26 648 pcs 华兴一楼A5
</t>
        </r>
      </text>
    </comment>
    <comment ref="AD56" authorId="0">
      <text>
        <r>
          <rPr>
            <b/>
            <sz val="14"/>
            <rFont val="宋体"/>
            <charset val="134"/>
          </rPr>
          <t>Administrator:</t>
        </r>
        <r>
          <rPr>
            <sz val="14"/>
            <rFont val="宋体"/>
            <charset val="134"/>
          </rPr>
          <t xml:space="preserve">
6/26上 UPC贴纸 648 pcs
7/10上 客供防伪贴纸 648 pcs
7/12上 客供亚马逊外箱贴纸 36 pcs</t>
        </r>
        <r>
          <rPr>
            <sz val="16"/>
            <rFont val="宋体"/>
            <charset val="134"/>
          </rPr>
          <t xml:space="preserve">
</t>
        </r>
      </text>
    </comment>
    <comment ref="AB57" authorId="0">
      <text>
        <r>
          <rPr>
            <b/>
            <sz val="16"/>
            <rFont val="宋体"/>
            <charset val="134"/>
          </rPr>
          <t>Administrator:</t>
        </r>
        <r>
          <rPr>
            <sz val="16"/>
            <rFont val="宋体"/>
            <charset val="134"/>
          </rPr>
          <t xml:space="preserve">
3002479 7/26 630 pcs 华兴一楼A5
</t>
        </r>
      </text>
    </comment>
    <comment ref="AD57" authorId="0">
      <text>
        <r>
          <rPr>
            <b/>
            <sz val="12"/>
            <rFont val="宋体"/>
            <charset val="134"/>
          </rPr>
          <t>Administrator:</t>
        </r>
        <r>
          <rPr>
            <sz val="12"/>
            <rFont val="宋体"/>
            <charset val="134"/>
          </rPr>
          <t xml:space="preserve">
6/26上 UPC贴纸 630 pcs
7/10上 客供防伪贴纸 630 pcs
7/12上 客供亚马逊外箱贴纸 35 pcs</t>
        </r>
      </text>
    </comment>
    <comment ref="AB58" authorId="0">
      <text>
        <r>
          <rPr>
            <b/>
            <sz val="16"/>
            <rFont val="宋体"/>
            <charset val="134"/>
          </rPr>
          <t>Administrator:</t>
        </r>
        <r>
          <rPr>
            <sz val="16"/>
            <rFont val="宋体"/>
            <charset val="134"/>
          </rPr>
          <t xml:space="preserve">
3002136 8/2 504 pcs 华兴一楼A5</t>
        </r>
      </text>
    </comment>
    <comment ref="AD58" authorId="0">
      <text>
        <r>
          <rPr>
            <b/>
            <sz val="16"/>
            <rFont val="宋体"/>
            <charset val="134"/>
          </rPr>
          <t>Administrator:</t>
        </r>
        <r>
          <rPr>
            <sz val="16"/>
            <rFont val="宋体"/>
            <charset val="134"/>
          </rPr>
          <t xml:space="preserve">
7/8上 进口商贴纸 504pcs</t>
        </r>
      </text>
    </comment>
    <comment ref="AB59" authorId="0">
      <text>
        <r>
          <rPr>
            <b/>
            <sz val="16"/>
            <rFont val="宋体"/>
            <charset val="134"/>
          </rPr>
          <t>Administrator:</t>
        </r>
        <r>
          <rPr>
            <sz val="16"/>
            <rFont val="宋体"/>
            <charset val="134"/>
          </rPr>
          <t xml:space="preserve">
3002326 8/6 816 pcs 华兴一楼A5</t>
        </r>
      </text>
    </comment>
    <comment ref="AD59" authorId="0">
      <text>
        <r>
          <rPr>
            <b/>
            <sz val="16"/>
            <rFont val="宋体"/>
            <charset val="134"/>
          </rPr>
          <t>Administrator:</t>
        </r>
        <r>
          <rPr>
            <sz val="16"/>
            <rFont val="宋体"/>
            <charset val="134"/>
          </rPr>
          <t xml:space="preserve">
7/10上 客供价格贴纸  816 pcs
7/29上 UPC贴纸 816 pcs</t>
        </r>
      </text>
    </comment>
    <comment ref="AB60" authorId="0">
      <text>
        <r>
          <rPr>
            <b/>
            <sz val="16"/>
            <rFont val="宋体"/>
            <charset val="134"/>
          </rPr>
          <t>Administrator:</t>
        </r>
        <r>
          <rPr>
            <sz val="16"/>
            <rFont val="宋体"/>
            <charset val="134"/>
          </rPr>
          <t xml:space="preserve">
4000633 8/21 1008 pcs 新仓库一楼A8</t>
        </r>
      </text>
    </comment>
    <comment ref="AD60" authorId="0">
      <text>
        <r>
          <rPr>
            <b/>
            <sz val="14"/>
            <rFont val="宋体"/>
            <charset val="134"/>
          </rPr>
          <t>Administrator:</t>
        </r>
        <r>
          <rPr>
            <sz val="14"/>
            <rFont val="宋体"/>
            <charset val="134"/>
          </rPr>
          <t xml:space="preserve">
8/5上 30语带电池出货版本WEEE说明书 1008 opcs
8/11上 警告语贴纸  1008 pcs</t>
        </r>
      </text>
    </comment>
    <comment ref="AB61" authorId="0">
      <text>
        <r>
          <rPr>
            <b/>
            <sz val="16"/>
            <rFont val="宋体"/>
            <charset val="134"/>
          </rPr>
          <t>Administrator:</t>
        </r>
        <r>
          <rPr>
            <sz val="16"/>
            <rFont val="宋体"/>
            <charset val="134"/>
          </rPr>
          <t xml:space="preserve">
4000633 8/21 1008 pcs 新仓库一楼A8</t>
        </r>
      </text>
    </comment>
    <comment ref="AD61" authorId="0">
      <text>
        <r>
          <rPr>
            <b/>
            <sz val="14"/>
            <rFont val="宋体"/>
            <charset val="134"/>
          </rPr>
          <t>Administrator:</t>
        </r>
        <r>
          <rPr>
            <sz val="14"/>
            <rFont val="宋体"/>
            <charset val="134"/>
          </rPr>
          <t xml:space="preserve">
8/4上 30语带电池出货版本WEEE说明书 1008 pcs</t>
        </r>
      </text>
    </comment>
    <comment ref="AB62" authorId="0">
      <text>
        <r>
          <rPr>
            <b/>
            <sz val="16"/>
            <rFont val="宋体"/>
            <charset val="134"/>
          </rPr>
          <t>Administrator:</t>
        </r>
        <r>
          <rPr>
            <sz val="16"/>
            <rFont val="宋体"/>
            <charset val="134"/>
          </rPr>
          <t xml:space="preserve">
4000163 8/26 408 pcs</t>
        </r>
      </text>
    </comment>
    <comment ref="AD62" authorId="0">
      <text>
        <r>
          <rPr>
            <b/>
            <sz val="16"/>
            <rFont val="宋体"/>
            <charset val="134"/>
          </rPr>
          <t>Administrator:</t>
        </r>
        <r>
          <rPr>
            <sz val="16"/>
            <rFont val="宋体"/>
            <charset val="134"/>
          </rPr>
          <t xml:space="preserve">
7/29上 UPC贴纸 408 pcs
8/14上 客供价格贴纸 430 pcs</t>
        </r>
      </text>
    </comment>
    <comment ref="AB63" authorId="0">
      <text>
        <r>
          <rPr>
            <b/>
            <sz val="14"/>
            <rFont val="宋体"/>
            <charset val="134"/>
          </rPr>
          <t>Administrator:</t>
        </r>
        <r>
          <rPr>
            <sz val="14"/>
            <rFont val="宋体"/>
            <charset val="134"/>
          </rPr>
          <t xml:space="preserve">
4000490 9/9 180 pcs 华兴一楼A5</t>
        </r>
      </text>
    </comment>
    <comment ref="AD63" authorId="0">
      <text>
        <r>
          <rPr>
            <b/>
            <sz val="14"/>
            <rFont val="宋体"/>
            <charset val="134"/>
          </rPr>
          <t>Administrator:</t>
        </r>
        <r>
          <rPr>
            <sz val="14"/>
            <rFont val="宋体"/>
            <charset val="134"/>
          </rPr>
          <t xml:space="preserve">
8/4上 进口商贴纸 180 pcs
贴纸有更新，需返工
9/3上 正确的进口商贴纸 180 pcs</t>
        </r>
      </text>
    </comment>
    <comment ref="AB64" authorId="0">
      <text>
        <r>
          <rPr>
            <b/>
            <sz val="14"/>
            <rFont val="宋体"/>
            <charset val="134"/>
          </rPr>
          <t>Administrator:</t>
        </r>
        <r>
          <rPr>
            <sz val="14"/>
            <rFont val="宋体"/>
            <charset val="134"/>
          </rPr>
          <t xml:space="preserve">
4000002 9/4 168 pcs 前面一楼</t>
        </r>
      </text>
    </comment>
    <comment ref="AB65" authorId="0">
      <text>
        <r>
          <rPr>
            <b/>
            <sz val="12"/>
            <rFont val="宋体"/>
            <charset val="134"/>
          </rPr>
          <t>Administrator:</t>
        </r>
        <r>
          <rPr>
            <sz val="12"/>
            <rFont val="宋体"/>
            <charset val="134"/>
          </rPr>
          <t xml:space="preserve">
4000109 9/1 828 pcs 已走货</t>
        </r>
      </text>
    </comment>
    <comment ref="AD65" authorId="0">
      <text>
        <r>
          <rPr>
            <b/>
            <sz val="14"/>
            <rFont val="宋体"/>
            <charset val="134"/>
          </rPr>
          <t>Administrator:</t>
        </r>
        <r>
          <rPr>
            <sz val="14"/>
            <rFont val="宋体"/>
            <charset val="134"/>
          </rPr>
          <t xml:space="preserve">
8/8上 UPC贴纸 828 pcs
8/18上 客供外箱贴纸 46 pcs
8/21上 客供防伪贴纸 828 pcs</t>
        </r>
      </text>
    </comment>
    <comment ref="AB66" authorId="0">
      <text>
        <r>
          <rPr>
            <b/>
            <sz val="14"/>
            <rFont val="宋体"/>
            <charset val="134"/>
          </rPr>
          <t>Administrator:</t>
        </r>
        <r>
          <rPr>
            <sz val="14"/>
            <rFont val="宋体"/>
            <charset val="134"/>
          </rPr>
          <t xml:space="preserve">
4000020 9/3 2448 pcs 华兴一楼A1</t>
        </r>
      </text>
    </comment>
    <comment ref="AD66" authorId="0">
      <text>
        <r>
          <rPr>
            <b/>
            <sz val="14"/>
            <rFont val="宋体"/>
            <charset val="134"/>
          </rPr>
          <t>Administrator:</t>
        </r>
        <r>
          <rPr>
            <sz val="14"/>
            <rFont val="宋体"/>
            <charset val="134"/>
          </rPr>
          <t xml:space="preserve">
8/8上 UPC贴纸 2448 pcs
8/18上 客供亚马逊外箱贴纸 136 pcs
8/21上 客供防伪贴纸 2448 pcs
</t>
        </r>
      </text>
    </comment>
    <comment ref="AB67" authorId="0">
      <text>
        <r>
          <rPr>
            <b/>
            <sz val="14"/>
            <rFont val="宋体"/>
            <charset val="134"/>
          </rPr>
          <t>Administrator:</t>
        </r>
        <r>
          <rPr>
            <sz val="14"/>
            <rFont val="宋体"/>
            <charset val="134"/>
          </rPr>
          <t xml:space="preserve">
4000020 9/3 2376 pcs 华兴一楼A1</t>
        </r>
      </text>
    </comment>
    <comment ref="AD67" authorId="0">
      <text>
        <r>
          <rPr>
            <b/>
            <sz val="14"/>
            <rFont val="宋体"/>
            <charset val="134"/>
          </rPr>
          <t>Administrator:</t>
        </r>
        <r>
          <rPr>
            <sz val="14"/>
            <rFont val="宋体"/>
            <charset val="134"/>
          </rPr>
          <t xml:space="preserve">
8/8上 UPC贴纸 2376 pcs
8/18上 客供亚马逊外箱贴纸 132 pcs
8/21上 客供防伪贴纸 2376 pcs
</t>
        </r>
      </text>
    </comment>
    <comment ref="AB68" authorId="0">
      <text>
        <r>
          <rPr>
            <b/>
            <sz val="14"/>
            <rFont val="宋体"/>
            <charset val="134"/>
          </rPr>
          <t>Administrator:</t>
        </r>
        <r>
          <rPr>
            <sz val="14"/>
            <rFont val="宋体"/>
            <charset val="134"/>
          </rPr>
          <t xml:space="preserve">
5000347 9/24 18216 pcs 莫四楼B1</t>
        </r>
      </text>
    </comment>
    <comment ref="AD68" authorId="0">
      <text>
        <r>
          <rPr>
            <b/>
            <sz val="16"/>
            <rFont val="宋体"/>
            <charset val="134"/>
          </rPr>
          <t>Administrator:</t>
        </r>
        <r>
          <rPr>
            <sz val="16"/>
            <rFont val="宋体"/>
            <charset val="134"/>
          </rPr>
          <t xml:space="preserve">
9/1上 欧洲电子产品WEEE声明B版通用说明书(带电池 18216 pcs</t>
        </r>
      </text>
    </comment>
    <comment ref="AB69" authorId="0">
      <text>
        <r>
          <rPr>
            <b/>
            <sz val="16"/>
            <rFont val="宋体"/>
            <charset val="134"/>
          </rPr>
          <t>Administrator:</t>
        </r>
        <r>
          <rPr>
            <sz val="16"/>
            <rFont val="宋体"/>
            <charset val="134"/>
          </rPr>
          <t xml:space="preserve">
5000391 9/27 1200 pcs 华兴一楼A5</t>
        </r>
      </text>
    </comment>
    <comment ref="AB70" authorId="0">
      <text>
        <r>
          <rPr>
            <b/>
            <sz val="16"/>
            <rFont val="宋体"/>
            <charset val="134"/>
          </rPr>
          <t>Administrator:</t>
        </r>
        <r>
          <rPr>
            <sz val="16"/>
            <rFont val="宋体"/>
            <charset val="134"/>
          </rPr>
          <t xml:space="preserve">
5000473 10/11 54 pcs 华兴一楼A5</t>
        </r>
      </text>
    </comment>
    <comment ref="AD70" authorId="0">
      <text>
        <r>
          <rPr>
            <b/>
            <sz val="14"/>
            <rFont val="宋体"/>
            <charset val="134"/>
          </rPr>
          <t>Administrator:</t>
        </r>
        <r>
          <rPr>
            <sz val="14"/>
            <rFont val="宋体"/>
            <charset val="134"/>
          </rPr>
          <t xml:space="preserve">
9/9上 UPC贴纸 54 pcs
9/15上 客供防伪贴纸 54 pcs
9/18上 客供亚马逊外箱贴纸 3 pcs</t>
        </r>
      </text>
    </comment>
    <comment ref="AB71" authorId="0">
      <text>
        <r>
          <rPr>
            <b/>
            <sz val="16"/>
            <rFont val="宋体"/>
            <charset val="134"/>
          </rPr>
          <t>Administrator:</t>
        </r>
        <r>
          <rPr>
            <sz val="16"/>
            <rFont val="宋体"/>
            <charset val="134"/>
          </rPr>
          <t xml:space="preserve">
5000473 10/11 2340 pcs 华兴一楼A5</t>
        </r>
      </text>
    </comment>
    <comment ref="AD71" authorId="0">
      <text>
        <r>
          <rPr>
            <b/>
            <sz val="14"/>
            <rFont val="宋体"/>
            <charset val="134"/>
          </rPr>
          <t>Administrator:</t>
        </r>
        <r>
          <rPr>
            <sz val="14"/>
            <rFont val="宋体"/>
            <charset val="134"/>
          </rPr>
          <t xml:space="preserve">
9/9上 UPC贴纸 2430 pcs
9/15上 客供防伪贴纸 2430 pcs
9/18上 客供亚马逊外箱贴纸 135 pcs
</t>
        </r>
      </text>
    </comment>
    <comment ref="AB72" authorId="0">
      <text>
        <r>
          <rPr>
            <b/>
            <sz val="16"/>
            <rFont val="宋体"/>
            <charset val="134"/>
          </rPr>
          <t>Administrator:</t>
        </r>
        <r>
          <rPr>
            <sz val="16"/>
            <rFont val="宋体"/>
            <charset val="134"/>
          </rPr>
          <t xml:space="preserve">
5000473 10/11 1422 pcs 华兴一楼A5
5000512 10/11 18 pcs A 5</t>
        </r>
      </text>
    </comment>
    <comment ref="AD72" authorId="0">
      <text>
        <r>
          <rPr>
            <b/>
            <sz val="14"/>
            <rFont val="宋体"/>
            <charset val="134"/>
          </rPr>
          <t>Administrator:</t>
        </r>
        <r>
          <rPr>
            <sz val="14"/>
            <rFont val="宋体"/>
            <charset val="134"/>
          </rPr>
          <t xml:space="preserve">
9/9上 UPC贴纸 1440 pcs
9/15上 客供防伪贴纸 1440 pcs
9/18上 客供亚马逊外箱贴纸 80 pcs
</t>
        </r>
      </text>
    </comment>
    <comment ref="AB73" authorId="0">
      <text>
        <r>
          <rPr>
            <b/>
            <sz val="16"/>
            <rFont val="宋体"/>
            <charset val="134"/>
          </rPr>
          <t>Administrator:</t>
        </r>
        <r>
          <rPr>
            <sz val="16"/>
            <rFont val="宋体"/>
            <charset val="134"/>
          </rPr>
          <t xml:space="preserve">
5000473 10/11 1620 pcs 华兴一楼A5</t>
        </r>
      </text>
    </comment>
    <comment ref="AD73" authorId="0">
      <text>
        <r>
          <rPr>
            <b/>
            <sz val="14"/>
            <rFont val="宋体"/>
            <charset val="134"/>
          </rPr>
          <t>Administrator:</t>
        </r>
        <r>
          <rPr>
            <sz val="14"/>
            <rFont val="宋体"/>
            <charset val="134"/>
          </rPr>
          <t xml:space="preserve">
9/9上 UPC贴纸 1620 pcs
9/15上 客供防伪贴纸 1620 pcs
9/18上 客供亚马逊外箱贴纸 90 pcs
</t>
        </r>
      </text>
    </comment>
    <comment ref="AB74" authorId="0">
      <text>
        <r>
          <rPr>
            <b/>
            <sz val="16"/>
            <rFont val="宋体"/>
            <charset val="134"/>
          </rPr>
          <t>Administrator:</t>
        </r>
        <r>
          <rPr>
            <sz val="16"/>
            <rFont val="宋体"/>
            <charset val="134"/>
          </rPr>
          <t xml:space="preserve">
5000473 10/11 1008 pcs 华兴一楼A5</t>
        </r>
      </text>
    </comment>
    <comment ref="AD74" authorId="0">
      <text>
        <r>
          <rPr>
            <b/>
            <sz val="14"/>
            <rFont val="宋体"/>
            <charset val="134"/>
          </rPr>
          <t>Administrator:</t>
        </r>
        <r>
          <rPr>
            <sz val="14"/>
            <rFont val="宋体"/>
            <charset val="134"/>
          </rPr>
          <t xml:space="preserve">
9/9上 UPC贴纸 1008 pcs
9/15上 客供防伪贴纸 1008 pcs
9/18上 客供亚马逊外箱贴纸 56 pcs
</t>
        </r>
      </text>
    </comment>
    <comment ref="AB75" authorId="0">
      <text>
        <r>
          <rPr>
            <b/>
            <sz val="16"/>
            <rFont val="宋体"/>
            <charset val="134"/>
          </rPr>
          <t>Administrator:</t>
        </r>
        <r>
          <rPr>
            <sz val="16"/>
            <rFont val="宋体"/>
            <charset val="134"/>
          </rPr>
          <t xml:space="preserve">
5000473 10/11 954 pcs 华兴一楼A5</t>
        </r>
      </text>
    </comment>
    <comment ref="AD75" authorId="0">
      <text>
        <r>
          <rPr>
            <b/>
            <sz val="14"/>
            <rFont val="宋体"/>
            <charset val="134"/>
          </rPr>
          <t>Administrator:</t>
        </r>
        <r>
          <rPr>
            <sz val="14"/>
            <rFont val="宋体"/>
            <charset val="134"/>
          </rPr>
          <t xml:space="preserve">
9/9上 UPC贴纸 954 pcs
9/15上 客供防伪贴纸 954 pcs
9/18上 客供亚马逊外箱贴纸 53 pcs</t>
        </r>
      </text>
    </comment>
    <comment ref="AB76" authorId="0">
      <text>
        <r>
          <rPr>
            <b/>
            <sz val="16"/>
            <rFont val="宋体"/>
            <charset val="134"/>
          </rPr>
          <t>Administrator:</t>
        </r>
        <r>
          <rPr>
            <sz val="16"/>
            <rFont val="宋体"/>
            <charset val="134"/>
          </rPr>
          <t xml:space="preserve">
5000512 10/11 18 pcs 华兴一楼A5</t>
        </r>
      </text>
    </comment>
    <comment ref="AD76" authorId="0">
      <text>
        <r>
          <rPr>
            <b/>
            <sz val="14"/>
            <rFont val="宋体"/>
            <charset val="134"/>
          </rPr>
          <t>Administrator:</t>
        </r>
        <r>
          <rPr>
            <sz val="14"/>
            <rFont val="宋体"/>
            <charset val="134"/>
          </rPr>
          <t xml:space="preserve">
9/9上 UPC贴纸 18 pcs
9/15上 客供防伪贴纸 18 pcs
9/18上 客供亚马逊外箱贴纸 1 pcs
</t>
        </r>
      </text>
    </comment>
    <comment ref="AB77" authorId="0">
      <text>
        <r>
          <rPr>
            <b/>
            <sz val="16"/>
            <rFont val="宋体"/>
            <charset val="134"/>
          </rPr>
          <t>Administrator:</t>
        </r>
        <r>
          <rPr>
            <sz val="16"/>
            <rFont val="宋体"/>
            <charset val="134"/>
          </rPr>
          <t xml:space="preserve">
5000643 10/21 222 pcs 华兴一楼A5</t>
        </r>
      </text>
    </comment>
    <comment ref="AD77" authorId="0">
      <text>
        <r>
          <rPr>
            <b/>
            <sz val="16"/>
            <rFont val="宋体"/>
            <charset val="134"/>
          </rPr>
          <t>Administrator:</t>
        </r>
        <r>
          <rPr>
            <sz val="16"/>
            <rFont val="宋体"/>
            <charset val="134"/>
          </rPr>
          <t xml:space="preserve">
9/16上 UCC外箱贴纸 37 pcs</t>
        </r>
      </text>
    </comment>
    <comment ref="AB78" authorId="0">
      <text>
        <r>
          <rPr>
            <b/>
            <sz val="16"/>
            <rFont val="宋体"/>
            <charset val="134"/>
          </rPr>
          <t>Administrator:</t>
        </r>
        <r>
          <rPr>
            <sz val="16"/>
            <rFont val="宋体"/>
            <charset val="134"/>
          </rPr>
          <t xml:space="preserve">
5000643 10/21 258 pcs 华兴一楼A5</t>
        </r>
      </text>
    </comment>
    <comment ref="AD78" authorId="0">
      <text>
        <r>
          <rPr>
            <b/>
            <sz val="16"/>
            <rFont val="宋体"/>
            <charset val="134"/>
          </rPr>
          <t>Administrator:</t>
        </r>
        <r>
          <rPr>
            <sz val="16"/>
            <rFont val="宋体"/>
            <charset val="134"/>
          </rPr>
          <t xml:space="preserve">
9/16上 UCC外箱贴纸 258 pcs</t>
        </r>
      </text>
    </comment>
    <comment ref="AB79" authorId="0">
      <text>
        <r>
          <rPr>
            <b/>
            <sz val="16"/>
            <rFont val="宋体"/>
            <charset val="134"/>
          </rPr>
          <t>Administrator:</t>
        </r>
        <r>
          <rPr>
            <sz val="16"/>
            <rFont val="宋体"/>
            <charset val="134"/>
          </rPr>
          <t xml:space="preserve">
1200276 11/4 1512 pcs 华兴三楼A17</t>
        </r>
      </text>
    </comment>
    <comment ref="AB80" authorId="0">
      <text>
        <r>
          <rPr>
            <b/>
            <sz val="16"/>
            <rFont val="宋体"/>
            <charset val="134"/>
          </rPr>
          <t>Administrator:</t>
        </r>
        <r>
          <rPr>
            <sz val="16"/>
            <rFont val="宋体"/>
            <charset val="134"/>
          </rPr>
          <t xml:space="preserve">
120062 12/2 174 pcs 华兴一楼B3</t>
        </r>
      </text>
    </comment>
    <comment ref="AD80" authorId="0">
      <text>
        <r>
          <rPr>
            <b/>
            <sz val="14"/>
            <rFont val="宋体"/>
            <charset val="134"/>
          </rPr>
          <t>Administrator:</t>
        </r>
        <r>
          <rPr>
            <sz val="14"/>
            <rFont val="宋体"/>
            <charset val="134"/>
          </rPr>
          <t xml:space="preserve">
10/28上 UCC外箱贴纸 29 pcs</t>
        </r>
      </text>
    </comment>
    <comment ref="AB81" authorId="0">
      <text>
        <r>
          <rPr>
            <b/>
            <sz val="16"/>
            <rFont val="宋体"/>
            <charset val="134"/>
          </rPr>
          <t>Administrator:</t>
        </r>
        <r>
          <rPr>
            <sz val="16"/>
            <rFont val="宋体"/>
            <charset val="134"/>
          </rPr>
          <t xml:space="preserve">
120062 12/2 330 pcs 华兴一楼B3
</t>
        </r>
      </text>
    </comment>
    <comment ref="AD81" authorId="0">
      <text>
        <r>
          <rPr>
            <b/>
            <sz val="14"/>
            <rFont val="宋体"/>
            <charset val="134"/>
          </rPr>
          <t>Administrator:</t>
        </r>
        <r>
          <rPr>
            <sz val="14"/>
            <rFont val="宋体"/>
            <charset val="134"/>
          </rPr>
          <t xml:space="preserve">
10/28上 UCC外箱贴纸 55 pcs</t>
        </r>
      </text>
    </comment>
    <comment ref="AB82" authorId="0">
      <text>
        <r>
          <rPr>
            <b/>
            <sz val="16"/>
            <rFont val="宋体"/>
            <charset val="134"/>
          </rPr>
          <t>Administrator:</t>
        </r>
        <r>
          <rPr>
            <sz val="16"/>
            <rFont val="宋体"/>
            <charset val="134"/>
          </rPr>
          <t xml:space="preserve">
120062 12/2 144 pcs 华兴一楼B3
</t>
        </r>
      </text>
    </comment>
    <comment ref="AD82" authorId="0">
      <text>
        <r>
          <rPr>
            <b/>
            <sz val="14"/>
            <rFont val="宋体"/>
            <charset val="134"/>
          </rPr>
          <t>Administrator:</t>
        </r>
        <r>
          <rPr>
            <sz val="14"/>
            <rFont val="宋体"/>
            <charset val="134"/>
          </rPr>
          <t xml:space="preserve">
10/28上 UCC外箱贴纸 24 pcs</t>
        </r>
      </text>
    </comment>
    <comment ref="AB83" authorId="0">
      <text>
        <r>
          <rPr>
            <b/>
            <sz val="16"/>
            <rFont val="宋体"/>
            <charset val="134"/>
          </rPr>
          <t>Administrator:</t>
        </r>
        <r>
          <rPr>
            <sz val="16"/>
            <rFont val="宋体"/>
            <charset val="134"/>
          </rPr>
          <t xml:space="preserve">
1200783 12/13 54 pcs 华兴一楼B2</t>
        </r>
      </text>
    </comment>
    <comment ref="AD83" authorId="0">
      <text>
        <r>
          <rPr>
            <b/>
            <sz val="16"/>
            <rFont val="宋体"/>
            <charset val="134"/>
          </rPr>
          <t>Administrator:</t>
        </r>
        <r>
          <rPr>
            <sz val="16"/>
            <rFont val="宋体"/>
            <charset val="134"/>
          </rPr>
          <t xml:space="preserve">
11/27上 客供亚马逊外箱贴纸 3 pcs
 客供防伪贴纸 54 pc</t>
        </r>
        <r>
          <rPr>
            <sz val="9"/>
            <rFont val="宋体"/>
            <charset val="134"/>
          </rPr>
          <t xml:space="preserve">s
</t>
        </r>
        <r>
          <rPr>
            <sz val="16"/>
            <rFont val="宋体"/>
            <charset val="134"/>
          </rPr>
          <t>12/3上 UPC贴纸 54 pcs</t>
        </r>
      </text>
    </comment>
    <comment ref="AB84" authorId="0">
      <text>
        <r>
          <rPr>
            <b/>
            <sz val="16"/>
            <rFont val="宋体"/>
            <charset val="134"/>
          </rPr>
          <t>Administrator:</t>
        </r>
        <r>
          <rPr>
            <sz val="16"/>
            <rFont val="宋体"/>
            <charset val="134"/>
          </rPr>
          <t xml:space="preserve">
1200783 12/13 18 pcs 华兴一楼B2
</t>
        </r>
      </text>
    </comment>
    <comment ref="AD84" authorId="0">
      <text>
        <r>
          <rPr>
            <b/>
            <sz val="16"/>
            <rFont val="宋体"/>
            <charset val="134"/>
          </rPr>
          <t>Administrator:</t>
        </r>
        <r>
          <rPr>
            <sz val="16"/>
            <rFont val="宋体"/>
            <charset val="134"/>
          </rPr>
          <t xml:space="preserve">
11/27上 客供亚马逊外箱贴纸 1 pcs
 客供防伪贴纸 18 pc</t>
        </r>
        <r>
          <rPr>
            <sz val="9"/>
            <rFont val="宋体"/>
            <charset val="134"/>
          </rPr>
          <t xml:space="preserve">s
</t>
        </r>
        <r>
          <rPr>
            <sz val="16"/>
            <rFont val="宋体"/>
            <charset val="134"/>
          </rPr>
          <t>12/3上 UPC贴纸 54 pcs</t>
        </r>
        <r>
          <rPr>
            <sz val="9"/>
            <rFont val="宋体"/>
            <charset val="134"/>
          </rPr>
          <t xml:space="preserve">
</t>
        </r>
      </text>
    </comment>
    <comment ref="AB85" authorId="0">
      <text>
        <r>
          <rPr>
            <b/>
            <sz val="16"/>
            <rFont val="宋体"/>
            <charset val="134"/>
          </rPr>
          <t>Administrator:</t>
        </r>
        <r>
          <rPr>
            <sz val="16"/>
            <rFont val="宋体"/>
            <charset val="134"/>
          </rPr>
          <t xml:space="preserve">
1200783 12/13 36 pcs 华兴一楼B2
</t>
        </r>
      </text>
    </comment>
    <comment ref="AD85" authorId="0">
      <text>
        <r>
          <rPr>
            <b/>
            <sz val="16"/>
            <rFont val="宋体"/>
            <charset val="134"/>
          </rPr>
          <t>Administrator:</t>
        </r>
        <r>
          <rPr>
            <sz val="16"/>
            <rFont val="宋体"/>
            <charset val="134"/>
          </rPr>
          <t xml:space="preserve">
11/27上 客供亚马逊外箱贴纸 2 pcs
 客供防伪贴纸 36 pc</t>
        </r>
        <r>
          <rPr>
            <sz val="9"/>
            <rFont val="宋体"/>
            <charset val="134"/>
          </rPr>
          <t xml:space="preserve">s
</t>
        </r>
        <r>
          <rPr>
            <sz val="16"/>
            <rFont val="宋体"/>
            <charset val="134"/>
          </rPr>
          <t>12/3上 UPC贴纸 36 pcs</t>
        </r>
      </text>
    </comment>
    <comment ref="AB86" authorId="0">
      <text>
        <r>
          <rPr>
            <b/>
            <sz val="16"/>
            <rFont val="宋体"/>
            <charset val="134"/>
          </rPr>
          <t>Administrator:</t>
        </r>
        <r>
          <rPr>
            <sz val="16"/>
            <rFont val="宋体"/>
            <charset val="134"/>
          </rPr>
          <t xml:space="preserve">
1200783 12/13 18 pcs 华兴一楼B2
</t>
        </r>
      </text>
    </comment>
    <comment ref="AD86" authorId="0">
      <text>
        <r>
          <rPr>
            <b/>
            <sz val="16"/>
            <rFont val="宋体"/>
            <charset val="134"/>
          </rPr>
          <t>Administrator:</t>
        </r>
        <r>
          <rPr>
            <sz val="16"/>
            <rFont val="宋体"/>
            <charset val="134"/>
          </rPr>
          <t xml:space="preserve">
11/27上 客供亚马逊外箱贴纸 1 pcs
 客供防伪贴纸 18 pc</t>
        </r>
        <r>
          <rPr>
            <sz val="9"/>
            <rFont val="宋体"/>
            <charset val="134"/>
          </rPr>
          <t xml:space="preserve">s
</t>
        </r>
        <r>
          <rPr>
            <sz val="16"/>
            <rFont val="宋体"/>
            <charset val="134"/>
          </rPr>
          <t>12/3上 UPC贴纸 18 pcs</t>
        </r>
      </text>
    </comment>
    <comment ref="AB87" authorId="0">
      <text>
        <r>
          <rPr>
            <b/>
            <sz val="16"/>
            <rFont val="宋体"/>
            <charset val="134"/>
          </rPr>
          <t>Administrator:</t>
        </r>
        <r>
          <rPr>
            <sz val="16"/>
            <rFont val="宋体"/>
            <charset val="134"/>
          </rPr>
          <t xml:space="preserve">
1200783 12/13 54 pcs 华兴一楼B2
</t>
        </r>
      </text>
    </comment>
    <comment ref="AD87" authorId="0">
      <text>
        <r>
          <rPr>
            <b/>
            <sz val="16"/>
            <rFont val="宋体"/>
            <charset val="134"/>
          </rPr>
          <t>Administrator:</t>
        </r>
        <r>
          <rPr>
            <sz val="16"/>
            <rFont val="宋体"/>
            <charset val="134"/>
          </rPr>
          <t xml:space="preserve">
11/27上 客供亚马逊外箱贴纸 3 pcs
 客供防伪贴纸 54 pc</t>
        </r>
        <r>
          <rPr>
            <sz val="9"/>
            <rFont val="宋体"/>
            <charset val="134"/>
          </rPr>
          <t xml:space="preserve">s
</t>
        </r>
        <r>
          <rPr>
            <sz val="16"/>
            <rFont val="宋体"/>
            <charset val="134"/>
          </rPr>
          <t>12/3上 UPC贴纸 54 pcs</t>
        </r>
      </text>
    </comment>
    <comment ref="AB88" authorId="0">
      <text>
        <r>
          <rPr>
            <b/>
            <sz val="16"/>
            <rFont val="宋体"/>
            <charset val="134"/>
          </rPr>
          <t>Administrator:</t>
        </r>
        <r>
          <rPr>
            <sz val="16"/>
            <rFont val="宋体"/>
            <charset val="134"/>
          </rPr>
          <t xml:space="preserve">
1600014 12/22 1200 pcs 四楼C5</t>
        </r>
      </text>
    </comment>
    <comment ref="AD88" authorId="0">
      <text>
        <r>
          <rPr>
            <b/>
            <sz val="16"/>
            <rFont val="宋体"/>
            <charset val="134"/>
          </rPr>
          <t>Administrator:</t>
        </r>
        <r>
          <rPr>
            <sz val="16"/>
            <rFont val="宋体"/>
            <charset val="134"/>
          </rPr>
          <t xml:space="preserve">
12/3上 UCC外箱贴纸 50 pcs</t>
        </r>
      </text>
    </comment>
    <comment ref="AB89" authorId="0">
      <text>
        <r>
          <rPr>
            <b/>
            <sz val="16"/>
            <rFont val="宋体"/>
            <charset val="134"/>
          </rPr>
          <t>Administrator:</t>
        </r>
        <r>
          <rPr>
            <sz val="16"/>
            <rFont val="宋体"/>
            <charset val="134"/>
          </rPr>
          <t xml:space="preserve">
1600014 12/22 1200 pcs 四楼C5</t>
        </r>
      </text>
    </comment>
    <comment ref="AD89" authorId="0">
      <text>
        <r>
          <rPr>
            <b/>
            <sz val="16"/>
            <rFont val="宋体"/>
            <charset val="134"/>
          </rPr>
          <t>Administrator:</t>
        </r>
        <r>
          <rPr>
            <sz val="16"/>
            <rFont val="宋体"/>
            <charset val="134"/>
          </rPr>
          <t xml:space="preserve">
12/3上 UCC外箱贴纸 50 pcs</t>
        </r>
      </text>
    </comment>
    <comment ref="AB90" authorId="0">
      <text>
        <r>
          <rPr>
            <b/>
            <sz val="16"/>
            <rFont val="宋体"/>
            <charset val="134"/>
          </rPr>
          <t>Administrator:</t>
        </r>
        <r>
          <rPr>
            <sz val="16"/>
            <rFont val="宋体"/>
            <charset val="134"/>
          </rPr>
          <t xml:space="preserve">
1600150 12/29 378 pcs 华兴一楼A5</t>
        </r>
      </text>
    </comment>
    <comment ref="AD90" authorId="0">
      <text>
        <r>
          <rPr>
            <b/>
            <sz val="14"/>
            <rFont val="宋体"/>
            <charset val="134"/>
          </rPr>
          <t>Administrator:</t>
        </r>
        <r>
          <rPr>
            <sz val="14"/>
            <rFont val="宋体"/>
            <charset val="134"/>
          </rPr>
          <t xml:space="preserve">
11/26上 UCC外箱贴纸 63 pcs</t>
        </r>
      </text>
    </comment>
    <comment ref="AB91" authorId="0">
      <text>
        <r>
          <rPr>
            <b/>
            <sz val="16"/>
            <rFont val="宋体"/>
            <charset val="134"/>
          </rPr>
          <t>Administrator:</t>
        </r>
        <r>
          <rPr>
            <sz val="16"/>
            <rFont val="宋体"/>
            <charset val="134"/>
          </rPr>
          <t xml:space="preserve">
1600150 12/29 690 pcs 华兴一楼A5
</t>
        </r>
      </text>
    </comment>
    <comment ref="AD91" authorId="0">
      <text>
        <r>
          <rPr>
            <b/>
            <sz val="14"/>
            <rFont val="宋体"/>
            <charset val="134"/>
          </rPr>
          <t>Administrator:</t>
        </r>
        <r>
          <rPr>
            <sz val="14"/>
            <rFont val="宋体"/>
            <charset val="134"/>
          </rPr>
          <t xml:space="preserve">
11/26上 UCC外箱贴纸 115 pcs</t>
        </r>
      </text>
    </comment>
    <comment ref="AB92" authorId="0">
      <text>
        <r>
          <rPr>
            <b/>
            <sz val="16"/>
            <rFont val="宋体"/>
            <charset val="134"/>
          </rPr>
          <t>Administrator:</t>
        </r>
        <r>
          <rPr>
            <sz val="16"/>
            <rFont val="宋体"/>
            <charset val="134"/>
          </rPr>
          <t xml:space="preserve">
1600150 12/29 318 pcs 华兴一楼A5
</t>
        </r>
      </text>
    </comment>
    <comment ref="AD92" authorId="0">
      <text>
        <r>
          <rPr>
            <b/>
            <sz val="14"/>
            <rFont val="宋体"/>
            <charset val="134"/>
          </rPr>
          <t>Administrator:</t>
        </r>
        <r>
          <rPr>
            <sz val="14"/>
            <rFont val="宋体"/>
            <charset val="134"/>
          </rPr>
          <t xml:space="preserve">
11/26上 UCC外箱贴纸 53 pcs</t>
        </r>
      </text>
    </comment>
    <comment ref="AB93" authorId="0">
      <text>
        <r>
          <rPr>
            <b/>
            <sz val="16"/>
            <rFont val="宋体"/>
            <charset val="134"/>
          </rPr>
          <t>Administrator:</t>
        </r>
        <r>
          <rPr>
            <sz val="16"/>
            <rFont val="宋体"/>
            <charset val="134"/>
          </rPr>
          <t xml:space="preserve">
1601055 1/9 18 pcs 华兴三楼A5</t>
        </r>
      </text>
    </comment>
    <comment ref="AD93" authorId="0">
      <text>
        <r>
          <rPr>
            <b/>
            <sz val="16"/>
            <rFont val="宋体"/>
            <charset val="134"/>
          </rPr>
          <t>Administrator:</t>
        </r>
        <r>
          <rPr>
            <sz val="16"/>
            <rFont val="宋体"/>
            <charset val="134"/>
          </rPr>
          <t xml:space="preserve">
12/23上 客供亚马逊外箱贴纸 1 pcs
12/26上 UPC贴纸 18 pcs
12/30上 客供防伪贴纸 18 pcs</t>
        </r>
      </text>
    </comment>
    <comment ref="AB94" authorId="0">
      <text>
        <r>
          <rPr>
            <b/>
            <sz val="16"/>
            <rFont val="宋体"/>
            <charset val="134"/>
          </rPr>
          <t>Administrator:</t>
        </r>
        <r>
          <rPr>
            <sz val="16"/>
            <rFont val="宋体"/>
            <charset val="134"/>
          </rPr>
          <t xml:space="preserve">
1601055 1/9 18 pcs 华兴三楼A5</t>
        </r>
      </text>
    </comment>
    <comment ref="AD94" authorId="0">
      <text>
        <r>
          <rPr>
            <b/>
            <sz val="16"/>
            <rFont val="宋体"/>
            <charset val="134"/>
          </rPr>
          <t>Administrator:</t>
        </r>
        <r>
          <rPr>
            <sz val="16"/>
            <rFont val="宋体"/>
            <charset val="134"/>
          </rPr>
          <t xml:space="preserve">
12/23上 客供亚马逊外箱贴纸 1 pcs
12/26上 UPC贴纸 18 pcs
12/30上 客供防伪贴纸 18 pcs</t>
        </r>
      </text>
    </comment>
    <comment ref="AB95" authorId="0">
      <text>
        <r>
          <rPr>
            <b/>
            <sz val="16"/>
            <rFont val="宋体"/>
            <charset val="134"/>
          </rPr>
          <t>Administrator:</t>
        </r>
        <r>
          <rPr>
            <sz val="16"/>
            <rFont val="宋体"/>
            <charset val="134"/>
          </rPr>
          <t xml:space="preserve">
1601055 1/9 36 pcs 华兴三楼A5</t>
        </r>
      </text>
    </comment>
    <comment ref="AD95" authorId="0">
      <text>
        <r>
          <rPr>
            <b/>
            <sz val="16"/>
            <rFont val="宋体"/>
            <charset val="134"/>
          </rPr>
          <t>Administrator:</t>
        </r>
        <r>
          <rPr>
            <sz val="16"/>
            <rFont val="宋体"/>
            <charset val="134"/>
          </rPr>
          <t xml:space="preserve">
12/23上 客供亚马逊外箱贴纸 1 pcs
12/26上 UPC贴纸 18 pcs
12/30上 客供防伪贴纸 18 pcs</t>
        </r>
      </text>
    </comment>
    <comment ref="AB96" authorId="0">
      <text>
        <r>
          <rPr>
            <b/>
            <sz val="16"/>
            <rFont val="宋体"/>
            <charset val="134"/>
          </rPr>
          <t>Administrator:</t>
        </r>
        <r>
          <rPr>
            <sz val="16"/>
            <rFont val="宋体"/>
            <charset val="134"/>
          </rPr>
          <t xml:space="preserve">
5000254 1/27 432 pcs 华兴一楼B3</t>
        </r>
      </text>
    </comment>
    <comment ref="AD96" authorId="0">
      <text>
        <r>
          <rPr>
            <b/>
            <sz val="16"/>
            <rFont val="宋体"/>
            <charset val="134"/>
          </rPr>
          <t>Administrator:</t>
        </r>
        <r>
          <rPr>
            <sz val="16"/>
            <rFont val="宋体"/>
            <charset val="134"/>
          </rPr>
          <t xml:space="preserve">
12/23上 UCC外箱贴纸 72 pcs</t>
        </r>
      </text>
    </comment>
    <comment ref="AB97" authorId="0">
      <text>
        <r>
          <rPr>
            <b/>
            <sz val="16"/>
            <rFont val="宋体"/>
            <charset val="134"/>
          </rPr>
          <t>Administrator:</t>
        </r>
        <r>
          <rPr>
            <sz val="16"/>
            <rFont val="宋体"/>
            <charset val="134"/>
          </rPr>
          <t xml:space="preserve">
5000254 1/27 654 pcs 华兴一楼B3</t>
        </r>
      </text>
    </comment>
    <comment ref="AD97" authorId="0">
      <text>
        <r>
          <rPr>
            <b/>
            <sz val="16"/>
            <rFont val="宋体"/>
            <charset val="134"/>
          </rPr>
          <t>Administrator:</t>
        </r>
        <r>
          <rPr>
            <sz val="16"/>
            <rFont val="宋体"/>
            <charset val="134"/>
          </rPr>
          <t xml:space="preserve">
12/23上 UCC外箱贴纸 109 pcs</t>
        </r>
      </text>
    </comment>
    <comment ref="AB98" authorId="0">
      <text>
        <r>
          <rPr>
            <b/>
            <sz val="16"/>
            <rFont val="宋体"/>
            <charset val="134"/>
          </rPr>
          <t>Administrator:</t>
        </r>
        <r>
          <rPr>
            <sz val="16"/>
            <rFont val="宋体"/>
            <charset val="134"/>
          </rPr>
          <t xml:space="preserve">
5000254 1/27 1212 pcs 华兴一楼B3</t>
        </r>
      </text>
    </comment>
    <comment ref="AD98" authorId="0">
      <text>
        <r>
          <rPr>
            <b/>
            <sz val="16"/>
            <rFont val="宋体"/>
            <charset val="134"/>
          </rPr>
          <t>Administrator:</t>
        </r>
        <r>
          <rPr>
            <sz val="16"/>
            <rFont val="宋体"/>
            <charset val="134"/>
          </rPr>
          <t xml:space="preserve">
12/31上 UCC外箱贴纸 202 pcs</t>
        </r>
      </text>
    </comment>
    <comment ref="AD99" authorId="0">
      <text>
        <r>
          <rPr>
            <b/>
            <sz val="16"/>
            <rFont val="宋体"/>
            <charset val="134"/>
          </rPr>
          <t>Administrator:</t>
        </r>
        <r>
          <rPr>
            <sz val="16"/>
            <rFont val="宋体"/>
            <charset val="134"/>
          </rPr>
          <t xml:space="preserve">
12/31上 UCC外箱贴纸 161 pcs</t>
        </r>
      </text>
    </comment>
    <comment ref="AD100" authorId="0">
      <text>
        <r>
          <rPr>
            <b/>
            <sz val="16"/>
            <rFont val="宋体"/>
            <charset val="134"/>
          </rPr>
          <t>Administrator:</t>
        </r>
        <r>
          <rPr>
            <sz val="16"/>
            <rFont val="宋体"/>
            <charset val="134"/>
          </rPr>
          <t xml:space="preserve">
12/31上 UCC外箱贴纸 57 pcs</t>
        </r>
      </text>
    </comment>
    <comment ref="AD101" authorId="0">
      <text>
        <r>
          <rPr>
            <b/>
            <sz val="16"/>
            <rFont val="宋体"/>
            <charset val="134"/>
          </rPr>
          <t>Administrator:</t>
        </r>
        <r>
          <rPr>
            <sz val="16"/>
            <rFont val="宋体"/>
            <charset val="134"/>
          </rPr>
          <t xml:space="preserve">
12/31上 UCC外箱贴纸 88 pcs</t>
        </r>
      </text>
    </comment>
    <comment ref="AD102" authorId="0">
      <text>
        <r>
          <rPr>
            <b/>
            <sz val="16"/>
            <rFont val="宋体"/>
            <charset val="134"/>
          </rPr>
          <t>Administrator:</t>
        </r>
        <r>
          <rPr>
            <sz val="16"/>
            <rFont val="宋体"/>
            <charset val="134"/>
          </rPr>
          <t xml:space="preserve">
1/30上 客供防伪帖纸 342 pcs
2/9上 UPC贴纸 342 pcs</t>
        </r>
      </text>
    </comment>
    <comment ref="AD103" authorId="0">
      <text>
        <r>
          <rPr>
            <b/>
            <sz val="16"/>
            <rFont val="宋体"/>
            <charset val="134"/>
          </rPr>
          <t>Administrator:</t>
        </r>
        <r>
          <rPr>
            <sz val="16"/>
            <rFont val="宋体"/>
            <charset val="134"/>
          </rPr>
          <t xml:space="preserve">
1/30上 客供防伪帖纸 216 pcs
2/9上 UPC贴纸 216 pcs
</t>
        </r>
      </text>
    </comment>
    <comment ref="AD104" authorId="0">
      <text>
        <r>
          <rPr>
            <b/>
            <sz val="16"/>
            <rFont val="宋体"/>
            <charset val="134"/>
          </rPr>
          <t>Administrator:</t>
        </r>
        <r>
          <rPr>
            <sz val="16"/>
            <rFont val="宋体"/>
            <charset val="134"/>
          </rPr>
          <t xml:space="preserve">
1/30上 客供防伪帖纸 360 pcs
2/9上 UPC贴纸 360 pcs
</t>
        </r>
      </text>
    </comment>
    <comment ref="AD105" authorId="0">
      <text>
        <r>
          <rPr>
            <b/>
            <sz val="16"/>
            <rFont val="宋体"/>
            <charset val="134"/>
          </rPr>
          <t>Administrator:</t>
        </r>
        <r>
          <rPr>
            <sz val="16"/>
            <rFont val="宋体"/>
            <charset val="134"/>
          </rPr>
          <t xml:space="preserve">
1/30上 客供防伪帖纸 108 pcs 
2/9上 UPC贴纸 108 pcs
</t>
        </r>
      </text>
    </comment>
    <comment ref="AD106" authorId="0">
      <text>
        <r>
          <rPr>
            <b/>
            <sz val="16"/>
            <rFont val="宋体"/>
            <charset val="134"/>
          </rPr>
          <t>Administrator:</t>
        </r>
        <r>
          <rPr>
            <sz val="16"/>
            <rFont val="宋体"/>
            <charset val="134"/>
          </rPr>
          <t xml:space="preserve">
1/30上 客供防伪帖纸 504 pcs
2/9上 UPC贴纸 504 pcs
</t>
        </r>
      </text>
    </comment>
    <comment ref="AD107" authorId="0">
      <text>
        <r>
          <rPr>
            <b/>
            <sz val="16"/>
            <rFont val="宋体"/>
            <charset val="134"/>
          </rPr>
          <t>Administrator:</t>
        </r>
        <r>
          <rPr>
            <sz val="16"/>
            <rFont val="宋体"/>
            <charset val="134"/>
          </rPr>
          <t xml:space="preserve">
1/30上 客供防伪帖纸 270 pcs
2/9上 UPC贴纸 270 pcs
</t>
        </r>
      </text>
    </comment>
    <comment ref="AB120" authorId="0">
      <text>
        <r>
          <rPr>
            <b/>
            <sz val="9"/>
            <rFont val="宋体"/>
            <charset val="134"/>
          </rPr>
          <t>Administrator:</t>
        </r>
        <r>
          <rPr>
            <sz val="9"/>
            <rFont val="宋体"/>
            <charset val="134"/>
          </rPr>
          <t xml:space="preserve">
0010820  12/27 60 pcs</t>
        </r>
      </text>
    </comment>
    <comment ref="AB122" authorId="0">
      <text>
        <r>
          <rPr>
            <b/>
            <sz val="14"/>
            <rFont val="宋体"/>
            <charset val="134"/>
          </rPr>
          <t>Administrator:</t>
        </r>
        <r>
          <rPr>
            <sz val="14"/>
            <rFont val="宋体"/>
            <charset val="134"/>
          </rPr>
          <t xml:space="preserve">
0002289 5/29 1008 pcs 文本云华兴三楼A14
</t>
        </r>
      </text>
    </comment>
    <comment ref="AD122" authorId="0">
      <text>
        <r>
          <rPr>
            <b/>
            <sz val="9"/>
            <rFont val="宋体"/>
            <charset val="134"/>
          </rPr>
          <t>Administrator:</t>
        </r>
        <r>
          <rPr>
            <sz val="9"/>
            <rFont val="宋体"/>
            <charset val="134"/>
          </rPr>
          <t xml:space="preserve">
4/17上 EAN贴纸 1008 pcs
 警告语贴纸 1008 pcs</t>
        </r>
      </text>
    </comment>
    <comment ref="AD127" authorId="0">
      <text>
        <r>
          <rPr>
            <b/>
            <sz val="8"/>
            <rFont val="宋体"/>
            <charset val="134"/>
          </rPr>
          <t>Administrator:</t>
        </r>
        <r>
          <rPr>
            <sz val="8"/>
            <rFont val="宋体"/>
            <charset val="134"/>
          </rPr>
          <t xml:space="preserve">
</t>
        </r>
        <r>
          <rPr>
            <sz val="14"/>
            <rFont val="宋体"/>
            <charset val="134"/>
          </rPr>
          <t>5/24上 EAN贴纸 504 pcs
    警告语贴纸 504 pcs</t>
        </r>
      </text>
    </comment>
    <comment ref="AB128" authorId="0">
      <text>
        <r>
          <rPr>
            <b/>
            <sz val="14"/>
            <rFont val="宋体"/>
            <charset val="134"/>
          </rPr>
          <t>Administrator:</t>
        </r>
        <r>
          <rPr>
            <sz val="14"/>
            <rFont val="宋体"/>
            <charset val="134"/>
          </rPr>
          <t xml:space="preserve">
0002918 5/25 600 pcs</t>
        </r>
      </text>
    </comment>
    <comment ref="AD128" authorId="0">
      <text>
        <r>
          <rPr>
            <b/>
            <sz val="8"/>
            <rFont val="宋体"/>
            <charset val="134"/>
          </rPr>
          <t>Administrator:</t>
        </r>
        <r>
          <rPr>
            <sz val="8"/>
            <rFont val="宋体"/>
            <charset val="134"/>
          </rPr>
          <t xml:space="preserve">
</t>
        </r>
        <r>
          <rPr>
            <sz val="14"/>
            <rFont val="宋体"/>
            <charset val="134"/>
          </rPr>
          <t>4/26上 客供警语进口商贴纸 624 pcs
 客供电池警告贴纸 624 pcs
客供中文说明说 618 pcs</t>
        </r>
      </text>
    </comment>
    <comment ref="AD129" authorId="0">
      <text>
        <r>
          <rPr>
            <b/>
            <sz val="8"/>
            <rFont val="宋体"/>
            <charset val="134"/>
          </rPr>
          <t>Administrator:</t>
        </r>
        <r>
          <rPr>
            <sz val="8"/>
            <rFont val="宋体"/>
            <charset val="134"/>
          </rPr>
          <t xml:space="preserve">
</t>
        </r>
        <r>
          <rPr>
            <sz val="14"/>
            <rFont val="宋体"/>
            <charset val="134"/>
          </rPr>
          <t>5/6上 客供警语进口商贴纸 622 pcs
 客供电池警告贴纸 624 pcs
客供中文说明说 618 pcs</t>
        </r>
      </text>
    </comment>
    <comment ref="AD133" authorId="0">
      <text>
        <r>
          <rPr>
            <b/>
            <sz val="8"/>
            <rFont val="宋体"/>
            <charset val="134"/>
          </rPr>
          <t>Administrator:</t>
        </r>
        <r>
          <rPr>
            <sz val="8"/>
            <rFont val="宋体"/>
            <charset val="134"/>
          </rPr>
          <t xml:space="preserve">
</t>
        </r>
        <r>
          <rPr>
            <sz val="14"/>
            <rFont val="宋体"/>
            <charset val="134"/>
          </rPr>
          <t>5/31上 进口商贴纸 288 pcs
  EAN条码贴纸 288 pcs</t>
        </r>
      </text>
    </comment>
  </commentList>
</comments>
</file>

<file path=xl/comments3.xml><?xml version="1.0" encoding="utf-8"?>
<comments xmlns="http://schemas.openxmlformats.org/spreadsheetml/2006/main">
  <authors>
    <author>Administrator</author>
  </authors>
  <commentList>
    <comment ref="AD4" authorId="0">
      <text>
        <r>
          <rPr>
            <b/>
            <sz val="12"/>
            <rFont val="宋体"/>
            <charset val="134"/>
          </rPr>
          <t>Administrator:</t>
        </r>
        <r>
          <rPr>
            <sz val="12"/>
            <rFont val="宋体"/>
            <charset val="134"/>
          </rPr>
          <t xml:space="preserve">
0010885 5/31 640pcs 张文加二A27
</t>
        </r>
      </text>
    </comment>
    <comment ref="AF4" authorId="0">
      <text>
        <r>
          <rPr>
            <b/>
            <sz val="12"/>
            <rFont val="宋体"/>
            <charset val="134"/>
          </rPr>
          <t>Administrator:</t>
        </r>
        <r>
          <rPr>
            <sz val="12"/>
            <rFont val="宋体"/>
            <charset val="134"/>
          </rPr>
          <t xml:space="preserve">
5/11 上客供RFID贴纸 640pcs</t>
        </r>
      </text>
    </comment>
    <comment ref="AD6" authorId="0">
      <text>
        <r>
          <rPr>
            <b/>
            <sz val="12"/>
            <rFont val="宋体"/>
            <charset val="134"/>
          </rPr>
          <t>Administrator:</t>
        </r>
        <r>
          <rPr>
            <sz val="12"/>
            <rFont val="宋体"/>
            <charset val="134"/>
          </rPr>
          <t xml:space="preserve">
0001828 12/6 1600pcs 华兴三A4</t>
        </r>
      </text>
    </comment>
    <comment ref="AF6" authorId="0">
      <text>
        <r>
          <rPr>
            <b/>
            <sz val="12"/>
            <rFont val="宋体"/>
            <charset val="134"/>
          </rPr>
          <t>Administrator:</t>
        </r>
        <r>
          <rPr>
            <sz val="12"/>
            <rFont val="宋体"/>
            <charset val="134"/>
          </rPr>
          <t xml:space="preserve">
11/25 上客供RFID贴纸 1600pcs</t>
        </r>
      </text>
    </comment>
    <comment ref="AD8" authorId="0">
      <text>
        <r>
          <rPr>
            <b/>
            <sz val="12"/>
            <rFont val="宋体"/>
            <charset val="134"/>
          </rPr>
          <t>Administrator:</t>
        </r>
        <r>
          <rPr>
            <sz val="12"/>
            <rFont val="宋体"/>
            <charset val="134"/>
          </rPr>
          <t xml:space="preserve">
0001828 12/6 640pcs 华兴三A4</t>
        </r>
      </text>
    </comment>
    <comment ref="AF8" authorId="0">
      <text>
        <r>
          <rPr>
            <b/>
            <sz val="12"/>
            <rFont val="宋体"/>
            <charset val="134"/>
          </rPr>
          <t>Administrator:</t>
        </r>
        <r>
          <rPr>
            <sz val="12"/>
            <rFont val="宋体"/>
            <charset val="134"/>
          </rPr>
          <t xml:space="preserve">
11/25 上客供RFID贴纸 640pcs</t>
        </r>
      </text>
    </comment>
    <comment ref="AD10" authorId="0">
      <text>
        <r>
          <rPr>
            <b/>
            <sz val="12"/>
            <rFont val="宋体"/>
            <charset val="134"/>
          </rPr>
          <t>Administrator:</t>
        </r>
        <r>
          <rPr>
            <sz val="12"/>
            <rFont val="宋体"/>
            <charset val="134"/>
          </rPr>
          <t xml:space="preserve">
0001828 12/6 640pcs 华兴三A4
</t>
        </r>
      </text>
    </comment>
    <comment ref="AF10" authorId="0">
      <text>
        <r>
          <rPr>
            <b/>
            <sz val="12"/>
            <rFont val="宋体"/>
            <charset val="134"/>
          </rPr>
          <t>Administrator:</t>
        </r>
        <r>
          <rPr>
            <sz val="12"/>
            <rFont val="宋体"/>
            <charset val="134"/>
          </rPr>
          <t xml:space="preserve">
11/25 上客供RFID贴纸 640pcs</t>
        </r>
      </text>
    </comment>
    <comment ref="AD12" authorId="0">
      <text>
        <r>
          <rPr>
            <b/>
            <sz val="12"/>
            <rFont val="宋体"/>
            <charset val="134"/>
          </rPr>
          <t>Administrator:</t>
        </r>
        <r>
          <rPr>
            <sz val="12"/>
            <rFont val="宋体"/>
            <charset val="134"/>
          </rPr>
          <t xml:space="preserve">
0001828 12/6 640pcs 华兴三A4
</t>
        </r>
      </text>
    </comment>
    <comment ref="AF12" authorId="0">
      <text>
        <r>
          <rPr>
            <b/>
            <sz val="12"/>
            <rFont val="宋体"/>
            <charset val="134"/>
          </rPr>
          <t>Administrator:</t>
        </r>
        <r>
          <rPr>
            <sz val="12"/>
            <rFont val="宋体"/>
            <charset val="134"/>
          </rPr>
          <t xml:space="preserve">
11/25 上客供RFID贴纸 640pcs</t>
        </r>
      </text>
    </comment>
    <comment ref="AD14" authorId="0">
      <text>
        <r>
          <rPr>
            <b/>
            <sz val="12"/>
            <rFont val="宋体"/>
            <charset val="134"/>
          </rPr>
          <t>Administrator:</t>
        </r>
        <r>
          <rPr>
            <sz val="12"/>
            <rFont val="宋体"/>
            <charset val="134"/>
          </rPr>
          <t xml:space="preserve">
0001828 12/6 1280pcs 华兴三A4
</t>
        </r>
      </text>
    </comment>
    <comment ref="AF14" authorId="0">
      <text>
        <r>
          <rPr>
            <b/>
            <sz val="12"/>
            <rFont val="宋体"/>
            <charset val="134"/>
          </rPr>
          <t>Administrator:</t>
        </r>
        <r>
          <rPr>
            <sz val="12"/>
            <rFont val="宋体"/>
            <charset val="134"/>
          </rPr>
          <t xml:space="preserve">
11/25 上客供RFID贴纸 1280pcs</t>
        </r>
      </text>
    </comment>
    <comment ref="AD16" authorId="0">
      <text>
        <r>
          <rPr>
            <b/>
            <sz val="12"/>
            <rFont val="宋体"/>
            <charset val="134"/>
          </rPr>
          <t>Administrator:</t>
        </r>
        <r>
          <rPr>
            <sz val="12"/>
            <rFont val="宋体"/>
            <charset val="134"/>
          </rPr>
          <t xml:space="preserve">
0001828 12/6 960pcs 华兴三A4
</t>
        </r>
      </text>
    </comment>
    <comment ref="AF16" authorId="0">
      <text>
        <r>
          <rPr>
            <b/>
            <sz val="12"/>
            <rFont val="宋体"/>
            <charset val="134"/>
          </rPr>
          <t>Administrator:</t>
        </r>
        <r>
          <rPr>
            <sz val="12"/>
            <rFont val="宋体"/>
            <charset val="134"/>
          </rPr>
          <t xml:space="preserve">
11/25 上客供RFID贴纸 960pcs</t>
        </r>
      </text>
    </comment>
    <comment ref="AD18" authorId="0">
      <text>
        <r>
          <rPr>
            <b/>
            <sz val="12"/>
            <rFont val="宋体"/>
            <charset val="134"/>
          </rPr>
          <t>Administrator:</t>
        </r>
        <r>
          <rPr>
            <sz val="12"/>
            <rFont val="宋体"/>
            <charset val="134"/>
          </rPr>
          <t xml:space="preserve">
0001828 12/6 960pcs 华兴三A4
</t>
        </r>
      </text>
    </comment>
    <comment ref="AF18" authorId="0">
      <text>
        <r>
          <rPr>
            <b/>
            <sz val="12"/>
            <rFont val="宋体"/>
            <charset val="134"/>
          </rPr>
          <t>Administrator:</t>
        </r>
        <r>
          <rPr>
            <sz val="12"/>
            <rFont val="宋体"/>
            <charset val="134"/>
          </rPr>
          <t xml:space="preserve">
11/25 上客供RFID贴纸 960pcs</t>
        </r>
      </text>
    </comment>
    <comment ref="AD23" authorId="0">
      <text>
        <r>
          <rPr>
            <b/>
            <sz val="12"/>
            <rFont val="宋体"/>
            <charset val="134"/>
          </rPr>
          <t>Administrator:</t>
        </r>
        <r>
          <rPr>
            <sz val="12"/>
            <rFont val="宋体"/>
            <charset val="134"/>
          </rPr>
          <t xml:space="preserve">
0000437 12/21 960pcs 华兴三A5</t>
        </r>
      </text>
    </comment>
    <comment ref="AF23" authorId="0">
      <text>
        <r>
          <rPr>
            <b/>
            <sz val="12"/>
            <rFont val="宋体"/>
            <charset val="134"/>
          </rPr>
          <t>Administrator:</t>
        </r>
        <r>
          <rPr>
            <sz val="12"/>
            <rFont val="宋体"/>
            <charset val="134"/>
          </rPr>
          <t xml:space="preserve">
11/25 上客供RFID贴纸 960pcs</t>
        </r>
      </text>
    </comment>
    <comment ref="AD25" authorId="0">
      <text>
        <r>
          <rPr>
            <b/>
            <sz val="12"/>
            <rFont val="宋体"/>
            <charset val="134"/>
          </rPr>
          <t>Administrator:</t>
        </r>
        <r>
          <rPr>
            <sz val="12"/>
            <rFont val="宋体"/>
            <charset val="134"/>
          </rPr>
          <t xml:space="preserve">
0000437 12/21 640pcs 华兴三A5</t>
        </r>
      </text>
    </comment>
    <comment ref="AF25" authorId="0">
      <text>
        <r>
          <rPr>
            <b/>
            <sz val="12"/>
            <rFont val="宋体"/>
            <charset val="134"/>
          </rPr>
          <t>Administrator:</t>
        </r>
        <r>
          <rPr>
            <sz val="12"/>
            <rFont val="宋体"/>
            <charset val="134"/>
          </rPr>
          <t xml:space="preserve">
11/25 上客供RFID贴纸 640pcs</t>
        </r>
      </text>
    </comment>
    <comment ref="AD27" authorId="0">
      <text>
        <r>
          <rPr>
            <b/>
            <sz val="12"/>
            <rFont val="宋体"/>
            <charset val="134"/>
          </rPr>
          <t>Administrator:</t>
        </r>
        <r>
          <rPr>
            <sz val="12"/>
            <rFont val="宋体"/>
            <charset val="134"/>
          </rPr>
          <t xml:space="preserve">
0000420 12/21 2240pcs 华兴一F5</t>
        </r>
      </text>
    </comment>
    <comment ref="AF27" authorId="0">
      <text>
        <r>
          <rPr>
            <b/>
            <sz val="12"/>
            <rFont val="宋体"/>
            <charset val="134"/>
          </rPr>
          <t>Administrator:</t>
        </r>
        <r>
          <rPr>
            <sz val="12"/>
            <rFont val="宋体"/>
            <charset val="134"/>
          </rPr>
          <t xml:space="preserve">
11/25 上客供RFID贴纸 2240pcs</t>
        </r>
      </text>
    </comment>
    <comment ref="AD29" authorId="0">
      <text>
        <r>
          <rPr>
            <b/>
            <sz val="12"/>
            <rFont val="宋体"/>
            <charset val="134"/>
          </rPr>
          <t>Administrator:</t>
        </r>
        <r>
          <rPr>
            <sz val="12"/>
            <rFont val="宋体"/>
            <charset val="134"/>
          </rPr>
          <t xml:space="preserve">
0000437 12/21 960pcs 华兴三A5</t>
        </r>
      </text>
    </comment>
    <comment ref="AF29" authorId="0">
      <text>
        <r>
          <rPr>
            <b/>
            <sz val="12"/>
            <rFont val="宋体"/>
            <charset val="134"/>
          </rPr>
          <t>Administrator:</t>
        </r>
        <r>
          <rPr>
            <sz val="12"/>
            <rFont val="宋体"/>
            <charset val="134"/>
          </rPr>
          <t xml:space="preserve">
11/25 上客供RFID贴纸 960pcs</t>
        </r>
      </text>
    </comment>
    <comment ref="AD31" authorId="0">
      <text>
        <r>
          <rPr>
            <b/>
            <sz val="12"/>
            <rFont val="宋体"/>
            <charset val="134"/>
          </rPr>
          <t>Administrator:</t>
        </r>
        <r>
          <rPr>
            <sz val="12"/>
            <rFont val="宋体"/>
            <charset val="134"/>
          </rPr>
          <t xml:space="preserve">
0000630 12/25 504pcs 华兴一A3</t>
        </r>
      </text>
    </comment>
    <comment ref="AF31" authorId="0">
      <text>
        <r>
          <rPr>
            <b/>
            <sz val="12"/>
            <rFont val="宋体"/>
            <charset val="134"/>
          </rPr>
          <t>Administrator:</t>
        </r>
        <r>
          <rPr>
            <sz val="12"/>
            <rFont val="宋体"/>
            <charset val="134"/>
          </rPr>
          <t xml:space="preserve">
12/2 上亚马逊外箱贴纸 21pcs
12/3 上环保标贴纸 504pcs
     上UPC贴纸 504pcs</t>
        </r>
      </text>
    </comment>
    <comment ref="AD32" authorId="0">
      <text>
        <r>
          <rPr>
            <b/>
            <sz val="12"/>
            <rFont val="宋体"/>
            <charset val="134"/>
          </rPr>
          <t>Administrator:</t>
        </r>
        <r>
          <rPr>
            <sz val="12"/>
            <rFont val="宋体"/>
            <charset val="134"/>
          </rPr>
          <t xml:space="preserve">
0000646 12/31 4992pcs 华兴二B7</t>
        </r>
      </text>
    </comment>
    <comment ref="AF32" authorId="0">
      <text>
        <r>
          <rPr>
            <b/>
            <sz val="12"/>
            <rFont val="宋体"/>
            <charset val="134"/>
          </rPr>
          <t>Administrator:</t>
        </r>
        <r>
          <rPr>
            <sz val="12"/>
            <rFont val="宋体"/>
            <charset val="134"/>
          </rPr>
          <t xml:space="preserve">
12/3 上客供价格贴纸 5242pcs</t>
        </r>
      </text>
    </comment>
    <comment ref="AD33" authorId="0">
      <text>
        <r>
          <rPr>
            <b/>
            <sz val="12"/>
            <rFont val="宋体"/>
            <charset val="134"/>
          </rPr>
          <t>Administrator:</t>
        </r>
        <r>
          <rPr>
            <sz val="12"/>
            <rFont val="宋体"/>
            <charset val="134"/>
          </rPr>
          <t xml:space="preserve">
0000928 12/31 504pcs 华兴一A5</t>
        </r>
      </text>
    </comment>
    <comment ref="AF33" authorId="0">
      <text>
        <r>
          <rPr>
            <b/>
            <sz val="12"/>
            <rFont val="宋体"/>
            <charset val="134"/>
          </rPr>
          <t>Administrator:</t>
        </r>
        <r>
          <rPr>
            <sz val="12"/>
            <rFont val="宋体"/>
            <charset val="134"/>
          </rPr>
          <t xml:space="preserve">
12/13 上亚马逊外箱贴纸 21pcs
12/16 上环保标贴纸 504pcs
      上UPC贴纸 504pcs</t>
        </r>
      </text>
    </comment>
    <comment ref="AD34" authorId="0">
      <text>
        <r>
          <rPr>
            <b/>
            <sz val="12"/>
            <rFont val="宋体"/>
            <charset val="134"/>
          </rPr>
          <t>Administrator:</t>
        </r>
        <r>
          <rPr>
            <sz val="12"/>
            <rFont val="宋体"/>
            <charset val="134"/>
          </rPr>
          <t xml:space="preserve">
消耗取消单WAL040</t>
        </r>
      </text>
    </comment>
    <comment ref="AD35" authorId="0">
      <text>
        <r>
          <rPr>
            <b/>
            <sz val="12"/>
            <rFont val="宋体"/>
            <charset val="134"/>
          </rPr>
          <t>Administrator:</t>
        </r>
        <r>
          <rPr>
            <sz val="12"/>
            <rFont val="宋体"/>
            <charset val="134"/>
          </rPr>
          <t xml:space="preserve">
消耗取消单WAL040</t>
        </r>
      </text>
    </comment>
    <comment ref="AD36" authorId="0">
      <text>
        <r>
          <rPr>
            <b/>
            <sz val="12"/>
            <rFont val="宋体"/>
            <charset val="134"/>
          </rPr>
          <t>Administrator:</t>
        </r>
        <r>
          <rPr>
            <sz val="12"/>
            <rFont val="宋体"/>
            <charset val="134"/>
          </rPr>
          <t xml:space="preserve">
消耗取消单WAL040</t>
        </r>
      </text>
    </comment>
    <comment ref="AD37" authorId="0">
      <text>
        <r>
          <rPr>
            <b/>
            <sz val="12"/>
            <rFont val="宋体"/>
            <charset val="134"/>
          </rPr>
          <t>Administrator:</t>
        </r>
        <r>
          <rPr>
            <sz val="12"/>
            <rFont val="宋体"/>
            <charset val="134"/>
          </rPr>
          <t xml:space="preserve">
消耗取消单WAL040</t>
        </r>
      </text>
    </comment>
    <comment ref="AD38" authorId="0">
      <text>
        <r>
          <rPr>
            <b/>
            <sz val="12"/>
            <rFont val="宋体"/>
            <charset val="134"/>
          </rPr>
          <t>Administrator:</t>
        </r>
        <r>
          <rPr>
            <sz val="12"/>
            <rFont val="宋体"/>
            <charset val="134"/>
          </rPr>
          <t xml:space="preserve">
消耗取消单WAL040</t>
        </r>
      </text>
    </comment>
    <comment ref="AD39" authorId="0">
      <text>
        <r>
          <rPr>
            <b/>
            <sz val="12"/>
            <rFont val="宋体"/>
            <charset val="134"/>
          </rPr>
          <t>Administrator:</t>
        </r>
        <r>
          <rPr>
            <sz val="12"/>
            <rFont val="宋体"/>
            <charset val="134"/>
          </rPr>
          <t xml:space="preserve">
消耗取消单WAL040</t>
        </r>
      </text>
    </comment>
    <comment ref="AD40" authorId="0">
      <text>
        <r>
          <rPr>
            <b/>
            <sz val="12"/>
            <rFont val="宋体"/>
            <charset val="134"/>
          </rPr>
          <t>Administrator:</t>
        </r>
        <r>
          <rPr>
            <sz val="12"/>
            <rFont val="宋体"/>
            <charset val="134"/>
          </rPr>
          <t xml:space="preserve">
消耗取消单WAL040</t>
        </r>
      </text>
    </comment>
    <comment ref="AD41" authorId="0">
      <text>
        <r>
          <rPr>
            <b/>
            <sz val="12"/>
            <rFont val="宋体"/>
            <charset val="134"/>
          </rPr>
          <t>Administrator:</t>
        </r>
        <r>
          <rPr>
            <sz val="12"/>
            <rFont val="宋体"/>
            <charset val="134"/>
          </rPr>
          <t xml:space="preserve">
0000928 12/31 504pcs 华兴一A5</t>
        </r>
      </text>
    </comment>
    <comment ref="AF41" authorId="0">
      <text>
        <r>
          <rPr>
            <b/>
            <sz val="12"/>
            <rFont val="宋体"/>
            <charset val="134"/>
          </rPr>
          <t>Administrator:</t>
        </r>
        <r>
          <rPr>
            <sz val="12"/>
            <rFont val="宋体"/>
            <charset val="134"/>
          </rPr>
          <t xml:space="preserve">
12/18 上环保标贴纸 504pcs
      上UPC贴纸 504pcs
      上邮箱贴纸 504pcs
      上ES回收标1号 504pcs</t>
        </r>
      </text>
    </comment>
    <comment ref="AD42" authorId="0">
      <text>
        <r>
          <rPr>
            <b/>
            <sz val="12"/>
            <rFont val="宋体"/>
            <charset val="134"/>
          </rPr>
          <t>Administrator:</t>
        </r>
        <r>
          <rPr>
            <sz val="12"/>
            <rFont val="宋体"/>
            <charset val="134"/>
          </rPr>
          <t xml:space="preserve">
0000944 1/2 10002pcs  华兴二B7
0000568  1/3  30pcs   华兴二B7</t>
        </r>
      </text>
    </comment>
    <comment ref="AF42" authorId="0">
      <text>
        <r>
          <rPr>
            <b/>
            <sz val="12"/>
            <rFont val="宋体"/>
            <charset val="134"/>
          </rPr>
          <t>Administrator:</t>
        </r>
        <r>
          <rPr>
            <sz val="12"/>
            <rFont val="宋体"/>
            <charset val="134"/>
          </rPr>
          <t xml:space="preserve">
12/6 上客供外箱条码贴纸 1689pcs</t>
        </r>
      </text>
    </comment>
    <comment ref="AD43" authorId="0">
      <text>
        <r>
          <rPr>
            <b/>
            <sz val="12"/>
            <rFont val="宋体"/>
            <charset val="134"/>
          </rPr>
          <t>Administrator:</t>
        </r>
        <r>
          <rPr>
            <sz val="12"/>
            <rFont val="宋体"/>
            <charset val="134"/>
          </rPr>
          <t xml:space="preserve">
0000923 1/4 600pcs</t>
        </r>
      </text>
    </comment>
    <comment ref="AD44" authorId="0">
      <text>
        <r>
          <rPr>
            <b/>
            <sz val="12"/>
            <rFont val="宋体"/>
            <charset val="134"/>
          </rPr>
          <t>Administrator:</t>
        </r>
        <r>
          <rPr>
            <sz val="12"/>
            <rFont val="宋体"/>
            <charset val="134"/>
          </rPr>
          <t xml:space="preserve">
0000923 1/4 1200pcs</t>
        </r>
      </text>
    </comment>
    <comment ref="AF44" authorId="0">
      <text>
        <r>
          <rPr>
            <b/>
            <sz val="12"/>
            <rFont val="宋体"/>
            <charset val="134"/>
          </rPr>
          <t>Administrator:</t>
        </r>
        <r>
          <rPr>
            <sz val="12"/>
            <rFont val="宋体"/>
            <charset val="134"/>
          </rPr>
          <t xml:space="preserve">
12/3 上客供价格贴纸 1260pcs</t>
        </r>
      </text>
    </comment>
    <comment ref="AD45" authorId="0">
      <text>
        <r>
          <rPr>
            <b/>
            <sz val="12"/>
            <rFont val="宋体"/>
            <charset val="134"/>
          </rPr>
          <t>Administrator:</t>
        </r>
        <r>
          <rPr>
            <sz val="12"/>
            <rFont val="宋体"/>
            <charset val="134"/>
          </rPr>
          <t xml:space="preserve">
0000923 1/4 960pcs</t>
        </r>
      </text>
    </comment>
    <comment ref="AF45" authorId="0">
      <text>
        <r>
          <rPr>
            <b/>
            <sz val="12"/>
            <rFont val="宋体"/>
            <charset val="134"/>
          </rPr>
          <t>Administrator:</t>
        </r>
        <r>
          <rPr>
            <sz val="12"/>
            <rFont val="宋体"/>
            <charset val="134"/>
          </rPr>
          <t xml:space="preserve">
12/13 上客供RFID贴纸 960pcs</t>
        </r>
      </text>
    </comment>
    <comment ref="AD47" authorId="0">
      <text>
        <r>
          <rPr>
            <b/>
            <sz val="12"/>
            <rFont val="宋体"/>
            <charset val="134"/>
          </rPr>
          <t>Administrator:</t>
        </r>
        <r>
          <rPr>
            <sz val="12"/>
            <rFont val="宋体"/>
            <charset val="134"/>
          </rPr>
          <t xml:space="preserve">
0001038 1/11 420pcs 华兴一A5</t>
        </r>
      </text>
    </comment>
    <comment ref="AF47" authorId="0">
      <text>
        <r>
          <rPr>
            <b/>
            <sz val="12"/>
            <rFont val="宋体"/>
            <charset val="134"/>
          </rPr>
          <t>Administrator:</t>
        </r>
        <r>
          <rPr>
            <sz val="12"/>
            <rFont val="宋体"/>
            <charset val="134"/>
          </rPr>
          <t xml:space="preserve">
12/27 上UCC外箱贴纸 35pcs</t>
        </r>
      </text>
    </comment>
    <comment ref="AD48" authorId="0">
      <text>
        <r>
          <rPr>
            <b/>
            <sz val="12"/>
            <rFont val="宋体"/>
            <charset val="134"/>
          </rPr>
          <t>Administrator:</t>
        </r>
        <r>
          <rPr>
            <sz val="12"/>
            <rFont val="宋体"/>
            <charset val="134"/>
          </rPr>
          <t xml:space="preserve">
0001038 1/11 456pcs 华兴一A5</t>
        </r>
      </text>
    </comment>
    <comment ref="AF48" authorId="0">
      <text>
        <r>
          <rPr>
            <b/>
            <sz val="12"/>
            <rFont val="宋体"/>
            <charset val="134"/>
          </rPr>
          <t>Administrator:</t>
        </r>
        <r>
          <rPr>
            <sz val="12"/>
            <rFont val="宋体"/>
            <charset val="134"/>
          </rPr>
          <t xml:space="preserve">
12/27 上UCC外箱贴纸 38pcs</t>
        </r>
      </text>
    </comment>
    <comment ref="AD49" authorId="0">
      <text>
        <r>
          <rPr>
            <b/>
            <sz val="12"/>
            <rFont val="宋体"/>
            <charset val="134"/>
          </rPr>
          <t>Administrator:</t>
        </r>
        <r>
          <rPr>
            <sz val="12"/>
            <rFont val="宋体"/>
            <charset val="134"/>
          </rPr>
          <t xml:space="preserve">
0001038 1/11 924pcs 华兴一A5</t>
        </r>
      </text>
    </comment>
    <comment ref="AF49" authorId="0">
      <text>
        <r>
          <rPr>
            <b/>
            <sz val="12"/>
            <rFont val="宋体"/>
            <charset val="134"/>
          </rPr>
          <t>Administrator:</t>
        </r>
        <r>
          <rPr>
            <sz val="12"/>
            <rFont val="宋体"/>
            <charset val="134"/>
          </rPr>
          <t xml:space="preserve">
12/27 上UCC外箱贴纸 77pcs</t>
        </r>
      </text>
    </comment>
    <comment ref="AD50" authorId="0">
      <text>
        <r>
          <rPr>
            <b/>
            <sz val="12"/>
            <rFont val="宋体"/>
            <charset val="134"/>
          </rPr>
          <t>Administrator:</t>
        </r>
        <r>
          <rPr>
            <sz val="12"/>
            <rFont val="宋体"/>
            <charset val="134"/>
          </rPr>
          <t xml:space="preserve">
0001073 1/14 1200pcs 华兴一A5</t>
        </r>
      </text>
    </comment>
    <comment ref="AF50" authorId="0">
      <text>
        <r>
          <rPr>
            <b/>
            <sz val="12"/>
            <rFont val="宋体"/>
            <charset val="134"/>
          </rPr>
          <t>Administrator:</t>
        </r>
        <r>
          <rPr>
            <sz val="12"/>
            <rFont val="宋体"/>
            <charset val="134"/>
          </rPr>
          <t xml:space="preserve">
1/3 上客供价格贴纸 1260pcs</t>
        </r>
      </text>
    </comment>
    <comment ref="AD51" authorId="0">
      <text>
        <r>
          <rPr>
            <b/>
            <sz val="12"/>
            <rFont val="宋体"/>
            <charset val="134"/>
          </rPr>
          <t>Administrator:</t>
        </r>
        <r>
          <rPr>
            <sz val="12"/>
            <rFont val="宋体"/>
            <charset val="134"/>
          </rPr>
          <t xml:space="preserve">
0001021 1/8 2328pcs 华兴一A5</t>
        </r>
      </text>
    </comment>
    <comment ref="AF51" authorId="0">
      <text>
        <r>
          <rPr>
            <b/>
            <sz val="12"/>
            <rFont val="宋体"/>
            <charset val="134"/>
          </rPr>
          <t>Administrator:</t>
        </r>
        <r>
          <rPr>
            <sz val="12"/>
            <rFont val="宋体"/>
            <charset val="134"/>
          </rPr>
          <t xml:space="preserve">
12/3 上客供价格贴纸 2445pcs</t>
        </r>
      </text>
    </comment>
    <comment ref="AD52" authorId="0">
      <text>
        <r>
          <rPr>
            <b/>
            <sz val="12"/>
            <rFont val="宋体"/>
            <charset val="134"/>
          </rPr>
          <t>Administrator:</t>
        </r>
        <r>
          <rPr>
            <sz val="12"/>
            <rFont val="宋体"/>
            <charset val="134"/>
          </rPr>
          <t xml:space="preserve">
0001077 1/15 1320pcs 华兴二A8
</t>
        </r>
      </text>
    </comment>
    <comment ref="AF52" authorId="0">
      <text>
        <r>
          <rPr>
            <b/>
            <sz val="12"/>
            <rFont val="宋体"/>
            <charset val="134"/>
          </rPr>
          <t>Administrator:</t>
        </r>
        <r>
          <rPr>
            <sz val="12"/>
            <rFont val="宋体"/>
            <charset val="134"/>
          </rPr>
          <t xml:space="preserve">
12/25 上环保标贴纸 1320pcs
      上UPC贴纸 1320pcs
      上ES回收标1号 1320pcs</t>
        </r>
      </text>
    </comment>
    <comment ref="AD53" authorId="0">
      <text>
        <r>
          <rPr>
            <b/>
            <sz val="12"/>
            <rFont val="宋体"/>
            <charset val="134"/>
          </rPr>
          <t>Administrator:</t>
        </r>
        <r>
          <rPr>
            <sz val="12"/>
            <rFont val="宋体"/>
            <charset val="134"/>
          </rPr>
          <t xml:space="preserve">
0001038 1/11 1280pcs 华兴一A5</t>
        </r>
      </text>
    </comment>
    <comment ref="AF53" authorId="0">
      <text>
        <r>
          <rPr>
            <b/>
            <sz val="12"/>
            <rFont val="宋体"/>
            <charset val="134"/>
          </rPr>
          <t>Administrator:</t>
        </r>
        <r>
          <rPr>
            <sz val="12"/>
            <rFont val="宋体"/>
            <charset val="134"/>
          </rPr>
          <t xml:space="preserve">
12/13 上客供RFID贴纸 1280pcs</t>
        </r>
      </text>
    </comment>
    <comment ref="AD55" authorId="0">
      <text>
        <r>
          <rPr>
            <b/>
            <sz val="12"/>
            <rFont val="宋体"/>
            <charset val="134"/>
          </rPr>
          <t>Administrator:</t>
        </r>
        <r>
          <rPr>
            <sz val="12"/>
            <rFont val="宋体"/>
            <charset val="134"/>
          </rPr>
          <t xml:space="preserve">
0001077 1/15 3096pcs 华兴二A8</t>
        </r>
      </text>
    </comment>
    <comment ref="AF55" authorId="0">
      <text>
        <r>
          <rPr>
            <b/>
            <sz val="12"/>
            <rFont val="宋体"/>
            <charset val="134"/>
          </rPr>
          <t>Administrator:</t>
        </r>
        <r>
          <rPr>
            <sz val="12"/>
            <rFont val="宋体"/>
            <charset val="134"/>
          </rPr>
          <t xml:space="preserve">
1/3 上客供价格贴纸 3251pcs</t>
        </r>
      </text>
    </comment>
    <comment ref="AD56" authorId="0">
      <text>
        <r>
          <rPr>
            <b/>
            <sz val="12"/>
            <rFont val="宋体"/>
            <charset val="134"/>
          </rPr>
          <t>Administrator:</t>
        </r>
        <r>
          <rPr>
            <sz val="12"/>
            <rFont val="宋体"/>
            <charset val="134"/>
          </rPr>
          <t xml:space="preserve">
0001077 1/15 1600pcs 华兴二A9
</t>
        </r>
      </text>
    </comment>
    <comment ref="AF56" authorId="0">
      <text>
        <r>
          <rPr>
            <b/>
            <sz val="12"/>
            <rFont val="宋体"/>
            <charset val="134"/>
          </rPr>
          <t>Administrator:</t>
        </r>
        <r>
          <rPr>
            <sz val="12"/>
            <rFont val="宋体"/>
            <charset val="134"/>
          </rPr>
          <t xml:space="preserve">
12/13 上客供RFID贴纸 1600pcs</t>
        </r>
      </text>
    </comment>
    <comment ref="AD58" authorId="0">
      <text>
        <r>
          <rPr>
            <b/>
            <sz val="12"/>
            <rFont val="宋体"/>
            <charset val="134"/>
          </rPr>
          <t>Administrator:</t>
        </r>
        <r>
          <rPr>
            <sz val="12"/>
            <rFont val="宋体"/>
            <charset val="134"/>
          </rPr>
          <t xml:space="preserve">
0001077 1/15 1600pcs 华兴二A9</t>
        </r>
      </text>
    </comment>
    <comment ref="AF58" authorId="0">
      <text>
        <r>
          <rPr>
            <b/>
            <sz val="12"/>
            <rFont val="宋体"/>
            <charset val="134"/>
          </rPr>
          <t>Administrator:</t>
        </r>
        <r>
          <rPr>
            <sz val="12"/>
            <rFont val="宋体"/>
            <charset val="134"/>
          </rPr>
          <t xml:space="preserve">
12/13 上客供RFID贴纸 1280pcs</t>
        </r>
      </text>
    </comment>
    <comment ref="AD60" authorId="0">
      <text>
        <r>
          <rPr>
            <b/>
            <sz val="12"/>
            <rFont val="宋体"/>
            <charset val="134"/>
          </rPr>
          <t>Administrator:</t>
        </r>
        <r>
          <rPr>
            <sz val="12"/>
            <rFont val="宋体"/>
            <charset val="134"/>
          </rPr>
          <t xml:space="preserve">
0001077 1/15 640pcs 华兴二A9</t>
        </r>
      </text>
    </comment>
    <comment ref="AF60" authorId="0">
      <text>
        <r>
          <rPr>
            <b/>
            <sz val="12"/>
            <rFont val="宋体"/>
            <charset val="134"/>
          </rPr>
          <t>Administrator:</t>
        </r>
        <r>
          <rPr>
            <sz val="12"/>
            <rFont val="宋体"/>
            <charset val="134"/>
          </rPr>
          <t xml:space="preserve">
12/13 上客供RFID贴纸 640pcs</t>
        </r>
      </text>
    </comment>
    <comment ref="AD62" authorId="0">
      <text>
        <r>
          <rPr>
            <b/>
            <sz val="12"/>
            <rFont val="宋体"/>
            <charset val="134"/>
          </rPr>
          <t>Administrator:</t>
        </r>
        <r>
          <rPr>
            <sz val="12"/>
            <rFont val="宋体"/>
            <charset val="134"/>
          </rPr>
          <t xml:space="preserve">
0001077 1/15 810pcs 华兴二A8
</t>
        </r>
      </text>
    </comment>
    <comment ref="AF62" authorId="0">
      <text>
        <r>
          <rPr>
            <b/>
            <sz val="12"/>
            <rFont val="宋体"/>
            <charset val="134"/>
          </rPr>
          <t>Administrator:</t>
        </r>
        <r>
          <rPr>
            <sz val="12"/>
            <rFont val="宋体"/>
            <charset val="134"/>
          </rPr>
          <t xml:space="preserve">
12/13 上大白方防盗贴纸 810pcs
1/13 上大白方防盗贴纸 810pcs 湖南返工补数</t>
        </r>
      </text>
    </comment>
    <comment ref="AD63" authorId="0">
      <text>
        <r>
          <rPr>
            <b/>
            <sz val="12"/>
            <rFont val="宋体"/>
            <charset val="134"/>
          </rPr>
          <t>Administrator:</t>
        </r>
        <r>
          <rPr>
            <sz val="12"/>
            <rFont val="宋体"/>
            <charset val="134"/>
          </rPr>
          <t xml:space="preserve">
0001146 1/18 3168pcs 华兴一A5
0001142 1/18 4692pcs 华兴一A5
0001153 1/20 3600pcs 华兴一A5
</t>
        </r>
      </text>
    </comment>
    <comment ref="AF63" authorId="0">
      <text>
        <r>
          <rPr>
            <b/>
            <sz val="12"/>
            <rFont val="宋体"/>
            <charset val="134"/>
          </rPr>
          <t>Administrator:</t>
        </r>
        <r>
          <rPr>
            <sz val="12"/>
            <rFont val="宋体"/>
            <charset val="134"/>
          </rPr>
          <t xml:space="preserve">
1/3 上客供价格贴纸 12039pcs
1/4 上UCC外箱贴纸 955pcs</t>
        </r>
      </text>
    </comment>
    <comment ref="AD64" authorId="0">
      <text>
        <r>
          <rPr>
            <b/>
            <sz val="12"/>
            <rFont val="宋体"/>
            <charset val="134"/>
          </rPr>
          <t>Administrator:</t>
        </r>
        <r>
          <rPr>
            <sz val="12"/>
            <rFont val="宋体"/>
            <charset val="134"/>
          </rPr>
          <t xml:space="preserve">
0001160 1/22 640pcs 华兴二A9</t>
        </r>
      </text>
    </comment>
    <comment ref="AF64" authorId="0">
      <text>
        <r>
          <rPr>
            <b/>
            <sz val="12"/>
            <rFont val="宋体"/>
            <charset val="134"/>
          </rPr>
          <t>Administrator:</t>
        </r>
        <r>
          <rPr>
            <sz val="12"/>
            <rFont val="宋体"/>
            <charset val="134"/>
          </rPr>
          <t xml:space="preserve">
12/13 上客供RFID贴纸 640pcs</t>
        </r>
      </text>
    </comment>
    <comment ref="AD66" authorId="0">
      <text>
        <r>
          <rPr>
            <b/>
            <sz val="12"/>
            <rFont val="宋体"/>
            <charset val="134"/>
          </rPr>
          <t>Administrator:</t>
        </r>
        <r>
          <rPr>
            <sz val="12"/>
            <rFont val="宋体"/>
            <charset val="134"/>
          </rPr>
          <t xml:space="preserve">
0001160 1/22 640pcs 华兴二A9
</t>
        </r>
      </text>
    </comment>
    <comment ref="AF66" authorId="0">
      <text>
        <r>
          <rPr>
            <b/>
            <sz val="12"/>
            <rFont val="宋体"/>
            <charset val="134"/>
          </rPr>
          <t>Administrator:</t>
        </r>
        <r>
          <rPr>
            <sz val="12"/>
            <rFont val="宋体"/>
            <charset val="134"/>
          </rPr>
          <t xml:space="preserve">
12/13 上客供RFID贴纸 640pcs</t>
        </r>
      </text>
    </comment>
    <comment ref="AD68" authorId="0">
      <text>
        <r>
          <rPr>
            <b/>
            <sz val="12"/>
            <rFont val="宋体"/>
            <charset val="134"/>
          </rPr>
          <t>Administrator:</t>
        </r>
        <r>
          <rPr>
            <sz val="12"/>
            <rFont val="宋体"/>
            <charset val="134"/>
          </rPr>
          <t xml:space="preserve">
0001160 1/22 640pcs 华兴二A9
</t>
        </r>
      </text>
    </comment>
    <comment ref="AF68" authorId="0">
      <text>
        <r>
          <rPr>
            <b/>
            <sz val="12"/>
            <rFont val="宋体"/>
            <charset val="134"/>
          </rPr>
          <t>Administrator:</t>
        </r>
        <r>
          <rPr>
            <sz val="12"/>
            <rFont val="宋体"/>
            <charset val="134"/>
          </rPr>
          <t xml:space="preserve">
12/13 上客供RFID贴纸 640pcs</t>
        </r>
      </text>
    </comment>
    <comment ref="AD70" authorId="0">
      <text>
        <r>
          <rPr>
            <b/>
            <sz val="12"/>
            <rFont val="宋体"/>
            <charset val="134"/>
          </rPr>
          <t>Administrator:</t>
        </r>
        <r>
          <rPr>
            <sz val="12"/>
            <rFont val="宋体"/>
            <charset val="134"/>
          </rPr>
          <t xml:space="preserve">
0001160 1/22 640pcs 华兴二A9
</t>
        </r>
      </text>
    </comment>
    <comment ref="AF70" authorId="0">
      <text>
        <r>
          <rPr>
            <b/>
            <sz val="12"/>
            <rFont val="宋体"/>
            <charset val="134"/>
          </rPr>
          <t>Administrator:</t>
        </r>
        <r>
          <rPr>
            <sz val="12"/>
            <rFont val="宋体"/>
            <charset val="134"/>
          </rPr>
          <t xml:space="preserve">
12/13 上客供RFID贴纸 640pcs</t>
        </r>
      </text>
    </comment>
    <comment ref="AD72" authorId="0">
      <text>
        <r>
          <rPr>
            <b/>
            <sz val="12"/>
            <rFont val="宋体"/>
            <charset val="134"/>
          </rPr>
          <t>Administrator:</t>
        </r>
        <r>
          <rPr>
            <sz val="12"/>
            <rFont val="宋体"/>
            <charset val="134"/>
          </rPr>
          <t xml:space="preserve">
0001160 1/22 640pcs 华兴二A9
</t>
        </r>
      </text>
    </comment>
    <comment ref="AF72" authorId="0">
      <text>
        <r>
          <rPr>
            <b/>
            <sz val="12"/>
            <rFont val="宋体"/>
            <charset val="134"/>
          </rPr>
          <t>Administrator:</t>
        </r>
        <r>
          <rPr>
            <sz val="12"/>
            <rFont val="宋体"/>
            <charset val="134"/>
          </rPr>
          <t xml:space="preserve">
12/13 上客供RFID贴纸 640pcs</t>
        </r>
      </text>
    </comment>
    <comment ref="AD74" authorId="0">
      <text>
        <r>
          <rPr>
            <b/>
            <sz val="12"/>
            <rFont val="宋体"/>
            <charset val="134"/>
          </rPr>
          <t>Administrator:</t>
        </r>
        <r>
          <rPr>
            <sz val="12"/>
            <rFont val="宋体"/>
            <charset val="134"/>
          </rPr>
          <t xml:space="preserve">
0001160 1/22 640pcs 华兴二A9
</t>
        </r>
      </text>
    </comment>
    <comment ref="AF74" authorId="0">
      <text>
        <r>
          <rPr>
            <b/>
            <sz val="12"/>
            <rFont val="宋体"/>
            <charset val="134"/>
          </rPr>
          <t>Administrator:</t>
        </r>
        <r>
          <rPr>
            <sz val="12"/>
            <rFont val="宋体"/>
            <charset val="134"/>
          </rPr>
          <t xml:space="preserve">
12/13 上客供RFID贴纸 640pcs</t>
        </r>
      </text>
    </comment>
    <comment ref="AD76" authorId="0">
      <text>
        <r>
          <rPr>
            <b/>
            <sz val="12"/>
            <rFont val="宋体"/>
            <charset val="134"/>
          </rPr>
          <t>Administrator:</t>
        </r>
        <r>
          <rPr>
            <sz val="12"/>
            <rFont val="宋体"/>
            <charset val="134"/>
          </rPr>
          <t xml:space="preserve">
0001160 1/22 640pcs 华兴二A9
</t>
        </r>
      </text>
    </comment>
    <comment ref="AF76" authorId="0">
      <text>
        <r>
          <rPr>
            <b/>
            <sz val="12"/>
            <rFont val="宋体"/>
            <charset val="134"/>
          </rPr>
          <t>Administrator:</t>
        </r>
        <r>
          <rPr>
            <sz val="12"/>
            <rFont val="宋体"/>
            <charset val="134"/>
          </rPr>
          <t xml:space="preserve">
12/13 上客供RFID贴纸 640pcs</t>
        </r>
      </text>
    </comment>
    <comment ref="AD78" authorId="0">
      <text>
        <r>
          <rPr>
            <b/>
            <sz val="12"/>
            <rFont val="宋体"/>
            <charset val="134"/>
          </rPr>
          <t>Administrator:</t>
        </r>
        <r>
          <rPr>
            <sz val="12"/>
            <rFont val="宋体"/>
            <charset val="134"/>
          </rPr>
          <t xml:space="preserve">
0001160 1/22 504pcs 华兴二A10
</t>
        </r>
      </text>
    </comment>
    <comment ref="AF78" authorId="0">
      <text>
        <r>
          <rPr>
            <b/>
            <sz val="12"/>
            <rFont val="宋体"/>
            <charset val="134"/>
          </rPr>
          <t>Administrator:</t>
        </r>
        <r>
          <rPr>
            <sz val="12"/>
            <rFont val="宋体"/>
            <charset val="134"/>
          </rPr>
          <t xml:space="preserve">
1/6 上邮箱贴纸 504pcs
    上环保标贴纸 504pcs
    上UPC贴纸 504pcs
    上ES回收环保标志 504pcs
1/10 上亚马逊外箱贴纸 21pcs</t>
        </r>
      </text>
    </comment>
    <comment ref="AD79" authorId="0">
      <text>
        <r>
          <rPr>
            <b/>
            <sz val="12"/>
            <rFont val="宋体"/>
            <charset val="134"/>
          </rPr>
          <t>Administrator:</t>
        </r>
        <r>
          <rPr>
            <sz val="12"/>
            <rFont val="宋体"/>
            <charset val="134"/>
          </rPr>
          <t xml:space="preserve">
0001239 2/18 2400pcs 华兴一A5</t>
        </r>
      </text>
    </comment>
    <comment ref="AF79" authorId="0">
      <text>
        <r>
          <rPr>
            <b/>
            <sz val="12"/>
            <rFont val="宋体"/>
            <charset val="134"/>
          </rPr>
          <t>Administrator:</t>
        </r>
        <r>
          <rPr>
            <sz val="12"/>
            <rFont val="宋体"/>
            <charset val="134"/>
          </rPr>
          <t xml:space="preserve">
2/7 上客供价格贴纸 2520pcs</t>
        </r>
      </text>
    </comment>
    <comment ref="AD80" authorId="0">
      <text>
        <r>
          <rPr>
            <b/>
            <sz val="12"/>
            <rFont val="宋体"/>
            <charset val="134"/>
          </rPr>
          <t>Administrator:</t>
        </r>
        <r>
          <rPr>
            <sz val="12"/>
            <rFont val="宋体"/>
            <charset val="134"/>
          </rPr>
          <t xml:space="preserve">
0001239 2/18 3648pcs 华兴一A5
</t>
        </r>
      </text>
    </comment>
    <comment ref="AF80" authorId="0">
      <text>
        <r>
          <rPr>
            <b/>
            <sz val="12"/>
            <rFont val="宋体"/>
            <charset val="134"/>
          </rPr>
          <t>Administrator:</t>
        </r>
        <r>
          <rPr>
            <sz val="12"/>
            <rFont val="宋体"/>
            <charset val="134"/>
          </rPr>
          <t xml:space="preserve">
2/7 上客供价格贴纸 3831pcs</t>
        </r>
      </text>
    </comment>
    <comment ref="AD81" authorId="0">
      <text>
        <r>
          <rPr>
            <b/>
            <sz val="12"/>
            <rFont val="宋体"/>
            <charset val="134"/>
          </rPr>
          <t>Administrator:</t>
        </r>
        <r>
          <rPr>
            <sz val="12"/>
            <rFont val="宋体"/>
            <charset val="134"/>
          </rPr>
          <t xml:space="preserve">
0001245 2/18 1656pcs  华兴一A5
0001246 2/19 3372pcs  华兴一A5</t>
        </r>
      </text>
    </comment>
    <comment ref="AF81" authorId="0">
      <text>
        <r>
          <rPr>
            <b/>
            <sz val="12"/>
            <rFont val="宋体"/>
            <charset val="134"/>
          </rPr>
          <t>Administrator:</t>
        </r>
        <r>
          <rPr>
            <sz val="12"/>
            <rFont val="宋体"/>
            <charset val="134"/>
          </rPr>
          <t xml:space="preserve">
12/26 上客供外箱条码贴纸 846pcs</t>
        </r>
      </text>
    </comment>
    <comment ref="AD82" authorId="0">
      <text>
        <r>
          <rPr>
            <b/>
            <sz val="12"/>
            <rFont val="宋体"/>
            <charset val="134"/>
          </rPr>
          <t>Administrator:</t>
        </r>
        <r>
          <rPr>
            <sz val="12"/>
            <rFont val="宋体"/>
            <charset val="134"/>
          </rPr>
          <t xml:space="preserve">
0001943 2/22 372pcs 华兴 一A5</t>
        </r>
      </text>
    </comment>
    <comment ref="AF82" authorId="0">
      <text>
        <r>
          <rPr>
            <b/>
            <sz val="12"/>
            <rFont val="宋体"/>
            <charset val="134"/>
          </rPr>
          <t>Administrator:</t>
        </r>
        <r>
          <rPr>
            <sz val="12"/>
            <rFont val="宋体"/>
            <charset val="134"/>
          </rPr>
          <t xml:space="preserve">
12/27 上UCC外箱贴纸 31pcs</t>
        </r>
      </text>
    </comment>
    <comment ref="AD83" authorId="0">
      <text>
        <r>
          <rPr>
            <b/>
            <sz val="12"/>
            <rFont val="宋体"/>
            <charset val="134"/>
          </rPr>
          <t>Administrator:</t>
        </r>
        <r>
          <rPr>
            <sz val="12"/>
            <rFont val="宋体"/>
            <charset val="134"/>
          </rPr>
          <t xml:space="preserve">
0001943 2/22 336pcs 华兴 一A5</t>
        </r>
      </text>
    </comment>
    <comment ref="AF83" authorId="0">
      <text>
        <r>
          <rPr>
            <b/>
            <sz val="12"/>
            <rFont val="宋体"/>
            <charset val="134"/>
          </rPr>
          <t>Administrator:</t>
        </r>
        <r>
          <rPr>
            <sz val="12"/>
            <rFont val="宋体"/>
            <charset val="134"/>
          </rPr>
          <t xml:space="preserve">
12/27 上UCC外箱贴纸 28pcs</t>
        </r>
      </text>
    </comment>
    <comment ref="AD84" authorId="0">
      <text>
        <r>
          <rPr>
            <b/>
            <sz val="12"/>
            <rFont val="宋体"/>
            <charset val="134"/>
          </rPr>
          <t>Administrator:</t>
        </r>
        <r>
          <rPr>
            <sz val="12"/>
            <rFont val="宋体"/>
            <charset val="134"/>
          </rPr>
          <t xml:space="preserve">
0001943 2/22 708pcs 华兴 一A5</t>
        </r>
      </text>
    </comment>
    <comment ref="AF84" authorId="0">
      <text>
        <r>
          <rPr>
            <b/>
            <sz val="12"/>
            <rFont val="宋体"/>
            <charset val="134"/>
          </rPr>
          <t>Administrator:</t>
        </r>
        <r>
          <rPr>
            <sz val="12"/>
            <rFont val="宋体"/>
            <charset val="134"/>
          </rPr>
          <t xml:space="preserve">
12/27 上UCC外箱贴纸 59pcs</t>
        </r>
      </text>
    </comment>
    <comment ref="AD85" authorId="0">
      <text>
        <r>
          <rPr>
            <b/>
            <sz val="12"/>
            <rFont val="宋体"/>
            <charset val="134"/>
          </rPr>
          <t>Administrator:</t>
        </r>
        <r>
          <rPr>
            <sz val="12"/>
            <rFont val="宋体"/>
            <charset val="134"/>
          </rPr>
          <t xml:space="preserve">
0001322 2/27 3120pcs 华兴一A5</t>
        </r>
      </text>
    </comment>
    <comment ref="AF85" authorId="0">
      <text>
        <r>
          <rPr>
            <b/>
            <sz val="12"/>
            <rFont val="宋体"/>
            <charset val="134"/>
          </rPr>
          <t>Administrator:</t>
        </r>
        <r>
          <rPr>
            <sz val="12"/>
            <rFont val="宋体"/>
            <charset val="134"/>
          </rPr>
          <t xml:space="preserve">
12/30 上EAN条码贴纸 3120pcs</t>
        </r>
      </text>
    </comment>
    <comment ref="AD86" authorId="0">
      <text>
        <r>
          <rPr>
            <b/>
            <sz val="12"/>
            <rFont val="宋体"/>
            <charset val="134"/>
          </rPr>
          <t>Administrator:</t>
        </r>
        <r>
          <rPr>
            <sz val="12"/>
            <rFont val="宋体"/>
            <charset val="134"/>
          </rPr>
          <t xml:space="preserve">
0001322 2/27 3408pcs 华兴一A5
</t>
        </r>
      </text>
    </comment>
    <comment ref="AF86" authorId="0">
      <text>
        <r>
          <rPr>
            <b/>
            <sz val="12"/>
            <rFont val="宋体"/>
            <charset val="134"/>
          </rPr>
          <t>Administrator:</t>
        </r>
        <r>
          <rPr>
            <sz val="12"/>
            <rFont val="宋体"/>
            <charset val="134"/>
          </rPr>
          <t xml:space="preserve">
2/18 上客供价格贴纸 3579pcs</t>
        </r>
      </text>
    </comment>
    <comment ref="AD87" authorId="0">
      <text>
        <r>
          <rPr>
            <b/>
            <sz val="12"/>
            <rFont val="宋体"/>
            <charset val="134"/>
          </rPr>
          <t>Administrator:</t>
        </r>
        <r>
          <rPr>
            <sz val="12"/>
            <rFont val="宋体"/>
            <charset val="134"/>
          </rPr>
          <t xml:space="preserve">
0001347 3/5 5028pcs 华兴一A5</t>
        </r>
      </text>
    </comment>
    <comment ref="AF87" authorId="0">
      <text>
        <r>
          <rPr>
            <b/>
            <sz val="12"/>
            <rFont val="宋体"/>
            <charset val="134"/>
          </rPr>
          <t>Administrator:</t>
        </r>
        <r>
          <rPr>
            <sz val="12"/>
            <rFont val="宋体"/>
            <charset val="134"/>
          </rPr>
          <t xml:space="preserve">
1/18 上客供外箱贴纸 846pcs
3/5 上客供外箱条码贴纸 846pcs 重复订</t>
        </r>
      </text>
    </comment>
    <comment ref="AD88" authorId="0">
      <text>
        <r>
          <rPr>
            <b/>
            <sz val="9"/>
            <rFont val="宋体"/>
            <charset val="134"/>
          </rPr>
          <t>Administrator:</t>
        </r>
        <r>
          <rPr>
            <sz val="9"/>
            <rFont val="宋体"/>
            <charset val="134"/>
          </rPr>
          <t xml:space="preserve">
0001454 3/12 2202pcs 华兴一A3</t>
        </r>
      </text>
    </comment>
    <comment ref="AF88" authorId="0">
      <text>
        <r>
          <rPr>
            <b/>
            <sz val="12"/>
            <rFont val="宋体"/>
            <charset val="134"/>
          </rPr>
          <t>Administrator:</t>
        </r>
        <r>
          <rPr>
            <sz val="12"/>
            <rFont val="宋体"/>
            <charset val="134"/>
          </rPr>
          <t xml:space="preserve">
2/11 上大白方防盗贴纸 2040pcs
2/20 上大白方防盗贴纸 170pcs</t>
        </r>
      </text>
    </comment>
    <comment ref="AD89" authorId="0">
      <text>
        <r>
          <rPr>
            <b/>
            <sz val="12"/>
            <rFont val="宋体"/>
            <charset val="134"/>
          </rPr>
          <t>Administrator:</t>
        </r>
        <r>
          <rPr>
            <sz val="12"/>
            <rFont val="宋体"/>
            <charset val="134"/>
          </rPr>
          <t xml:space="preserve">
0001820 3/14 1200pcs 华兴一A5</t>
        </r>
      </text>
    </comment>
    <comment ref="AF89" authorId="0">
      <text>
        <r>
          <rPr>
            <b/>
            <sz val="12"/>
            <rFont val="宋体"/>
            <charset val="134"/>
          </rPr>
          <t>Administrator:</t>
        </r>
        <r>
          <rPr>
            <sz val="12"/>
            <rFont val="宋体"/>
            <charset val="134"/>
          </rPr>
          <t xml:space="preserve">
2/27 上客供价格贴纸 1260pcs</t>
        </r>
      </text>
    </comment>
    <comment ref="AD90" authorId="0">
      <text>
        <r>
          <rPr>
            <b/>
            <sz val="12"/>
            <rFont val="宋体"/>
            <charset val="134"/>
          </rPr>
          <t>Administrator:</t>
        </r>
        <r>
          <rPr>
            <sz val="12"/>
            <rFont val="宋体"/>
            <charset val="134"/>
          </rPr>
          <t xml:space="preserve">
0001380 3/26 6546pcs  莫海军B栋4楼B4区
0001572 3/26 9858pcs  莫海军B栋4楼B4区
备品1件</t>
        </r>
      </text>
    </comment>
    <comment ref="AF90" authorId="0">
      <text>
        <r>
          <rPr>
            <b/>
            <sz val="9"/>
            <rFont val="宋体"/>
            <charset val="134"/>
          </rPr>
          <t>Administrator:</t>
        </r>
        <r>
          <rPr>
            <sz val="9"/>
            <rFont val="宋体"/>
            <charset val="134"/>
          </rPr>
          <t xml:space="preserve">
3/10 上WEEE说明书 43176pcs</t>
        </r>
      </text>
    </comment>
    <comment ref="AD91" authorId="0">
      <text>
        <r>
          <rPr>
            <b/>
            <sz val="12"/>
            <rFont val="宋体"/>
            <charset val="134"/>
          </rPr>
          <t>Administrator:</t>
        </r>
        <r>
          <rPr>
            <sz val="12"/>
            <rFont val="宋体"/>
            <charset val="134"/>
          </rPr>
          <t xml:space="preserve">
0001380 3/26 16764pcs 莫海军B栋4楼B9区</t>
        </r>
      </text>
    </comment>
    <comment ref="AF91" authorId="0">
      <text>
        <r>
          <rPr>
            <b/>
            <sz val="9"/>
            <rFont val="宋体"/>
            <charset val="134"/>
          </rPr>
          <t>Administrator:</t>
        </r>
        <r>
          <rPr>
            <sz val="9"/>
            <rFont val="宋体"/>
            <charset val="134"/>
          </rPr>
          <t xml:space="preserve">
3/10 上WEEE说明书 43176pcs</t>
        </r>
      </text>
    </comment>
    <comment ref="AD92" authorId="0">
      <text>
        <r>
          <rPr>
            <b/>
            <sz val="12"/>
            <rFont val="宋体"/>
            <charset val="134"/>
          </rPr>
          <t>Administrator:</t>
        </r>
        <r>
          <rPr>
            <sz val="12"/>
            <rFont val="宋体"/>
            <charset val="134"/>
          </rPr>
          <t xml:space="preserve">
0001385 3/26 10008pcs  莫海军B栋4楼B4区</t>
        </r>
      </text>
    </comment>
    <comment ref="AF92" authorId="0">
      <text>
        <r>
          <rPr>
            <b/>
            <sz val="9"/>
            <rFont val="宋体"/>
            <charset val="134"/>
          </rPr>
          <t>Administrator:</t>
        </r>
        <r>
          <rPr>
            <sz val="9"/>
            <rFont val="宋体"/>
            <charset val="134"/>
          </rPr>
          <t xml:space="preserve">
3/10 上WEEE说明书 43176pcs</t>
        </r>
      </text>
    </comment>
    <comment ref="AD93" authorId="0">
      <text>
        <r>
          <rPr>
            <b/>
            <sz val="12"/>
            <rFont val="宋体"/>
            <charset val="134"/>
          </rPr>
          <t>Administrator:</t>
        </r>
        <r>
          <rPr>
            <sz val="12"/>
            <rFont val="宋体"/>
            <charset val="134"/>
          </rPr>
          <t xml:space="preserve">
0001593 3/28 1272pcs 华兴一A5</t>
        </r>
      </text>
    </comment>
    <comment ref="AF93" authorId="0">
      <text>
        <r>
          <rPr>
            <b/>
            <sz val="12"/>
            <rFont val="宋体"/>
            <charset val="134"/>
          </rPr>
          <t>Administrator:</t>
        </r>
        <r>
          <rPr>
            <sz val="12"/>
            <rFont val="宋体"/>
            <charset val="134"/>
          </rPr>
          <t xml:space="preserve">
3/13 上KM外箱贴纸 106pcs</t>
        </r>
      </text>
    </comment>
    <comment ref="AD94" authorId="0">
      <text>
        <r>
          <rPr>
            <b/>
            <sz val="12"/>
            <rFont val="宋体"/>
            <charset val="134"/>
          </rPr>
          <t>Administrator:</t>
        </r>
        <r>
          <rPr>
            <sz val="12"/>
            <rFont val="宋体"/>
            <charset val="134"/>
          </rPr>
          <t xml:space="preserve">
0001593 3/28 228pcs 华兴一A5</t>
        </r>
      </text>
    </comment>
    <comment ref="AF94" authorId="0">
      <text>
        <r>
          <rPr>
            <b/>
            <sz val="12"/>
            <rFont val="宋体"/>
            <charset val="134"/>
          </rPr>
          <t>Administrator:</t>
        </r>
        <r>
          <rPr>
            <sz val="12"/>
            <rFont val="宋体"/>
            <charset val="134"/>
          </rPr>
          <t xml:space="preserve">
3/13 上KM外箱贴纸 19pcs</t>
        </r>
      </text>
    </comment>
    <comment ref="AD95" authorId="0">
      <text>
        <r>
          <rPr>
            <b/>
            <sz val="12"/>
            <rFont val="宋体"/>
            <charset val="134"/>
          </rPr>
          <t>Administrator:</t>
        </r>
        <r>
          <rPr>
            <sz val="12"/>
            <rFont val="宋体"/>
            <charset val="134"/>
          </rPr>
          <t xml:space="preserve">
0001897 4/1 1200pcs 华兴一A5</t>
        </r>
      </text>
    </comment>
    <comment ref="AF95" authorId="0">
      <text>
        <r>
          <rPr>
            <b/>
            <sz val="12"/>
            <rFont val="宋体"/>
            <charset val="134"/>
          </rPr>
          <t>Administrator:</t>
        </r>
        <r>
          <rPr>
            <sz val="12"/>
            <rFont val="宋体"/>
            <charset val="134"/>
          </rPr>
          <t xml:space="preserve">
3/7 上UPC条码贴纸 1200pcs
    上德语callout贴纸 1200pcs
    上WEEE通用说明书 1200pcs</t>
        </r>
      </text>
    </comment>
    <comment ref="AD96" authorId="0">
      <text>
        <r>
          <rPr>
            <b/>
            <sz val="12"/>
            <rFont val="宋体"/>
            <charset val="134"/>
          </rPr>
          <t>Administrator:</t>
        </r>
        <r>
          <rPr>
            <sz val="12"/>
            <rFont val="宋体"/>
            <charset val="134"/>
          </rPr>
          <t xml:space="preserve">
0001897 4/1 1200pcs 华兴一A5</t>
        </r>
      </text>
    </comment>
    <comment ref="AF96" authorId="0">
      <text>
        <r>
          <rPr>
            <b/>
            <sz val="12"/>
            <rFont val="宋体"/>
            <charset val="134"/>
          </rPr>
          <t>Administrator:</t>
        </r>
        <r>
          <rPr>
            <sz val="12"/>
            <rFont val="宋体"/>
            <charset val="134"/>
          </rPr>
          <t xml:space="preserve">
3/7 上UPC条码贴纸 1200pcs
    上德语callout贴纸 1200pcs
    上WEEE通用说明书 1200pcs</t>
        </r>
      </text>
    </comment>
    <comment ref="AD97" authorId="0">
      <text>
        <r>
          <rPr>
            <b/>
            <sz val="12"/>
            <rFont val="宋体"/>
            <charset val="134"/>
          </rPr>
          <t>Administrator:</t>
        </r>
        <r>
          <rPr>
            <sz val="12"/>
            <rFont val="宋体"/>
            <charset val="134"/>
          </rPr>
          <t xml:space="preserve">
0001593 3/28 840pcs 华兴一A5</t>
        </r>
      </text>
    </comment>
    <comment ref="AD98" authorId="0">
      <text>
        <r>
          <rPr>
            <b/>
            <sz val="12"/>
            <rFont val="宋体"/>
            <charset val="134"/>
          </rPr>
          <t>Administrator:</t>
        </r>
        <r>
          <rPr>
            <sz val="12"/>
            <rFont val="宋体"/>
            <charset val="134"/>
          </rPr>
          <t xml:space="preserve">
0001593 3/28 360pcs 华兴一A5</t>
        </r>
      </text>
    </comment>
    <comment ref="AD99" authorId="0">
      <text>
        <r>
          <rPr>
            <b/>
            <sz val="12"/>
            <rFont val="宋体"/>
            <charset val="134"/>
          </rPr>
          <t>Administrator:</t>
        </r>
        <r>
          <rPr>
            <sz val="12"/>
            <rFont val="宋体"/>
            <charset val="134"/>
          </rPr>
          <t xml:space="preserve">
001880 4/2   24pcs  华兴一A5
0001906 4/2 1308pcs 华兴一A5 </t>
        </r>
      </text>
    </comment>
    <comment ref="AF99" authorId="0">
      <text>
        <r>
          <rPr>
            <b/>
            <sz val="9"/>
            <rFont val="宋体"/>
            <charset val="134"/>
          </rPr>
          <t>Administrator:</t>
        </r>
        <r>
          <rPr>
            <sz val="9"/>
            <rFont val="宋体"/>
            <charset val="134"/>
          </rPr>
          <t xml:space="preserve">
3/21 上KM外箱贴纸 111pcs</t>
        </r>
      </text>
    </comment>
    <comment ref="AD100" authorId="0">
      <text>
        <r>
          <rPr>
            <b/>
            <sz val="12"/>
            <rFont val="宋体"/>
            <charset val="134"/>
          </rPr>
          <t>Administrator:</t>
        </r>
        <r>
          <rPr>
            <sz val="12"/>
            <rFont val="宋体"/>
            <charset val="134"/>
          </rPr>
          <t xml:space="preserve">
0001906 4/2 168pcs 华兴一A5
</t>
        </r>
      </text>
    </comment>
    <comment ref="AF100" authorId="0">
      <text>
        <r>
          <rPr>
            <b/>
            <sz val="9"/>
            <rFont val="宋体"/>
            <charset val="134"/>
          </rPr>
          <t>Administrator:</t>
        </r>
        <r>
          <rPr>
            <sz val="9"/>
            <rFont val="宋体"/>
            <charset val="134"/>
          </rPr>
          <t xml:space="preserve">
3/21 上KM外箱贴纸 14pcs</t>
        </r>
      </text>
    </comment>
    <comment ref="AD101" authorId="0">
      <text>
        <r>
          <rPr>
            <b/>
            <sz val="12"/>
            <rFont val="宋体"/>
            <charset val="134"/>
          </rPr>
          <t>Administrator:</t>
        </r>
        <r>
          <rPr>
            <sz val="12"/>
            <rFont val="宋体"/>
            <charset val="134"/>
          </rPr>
          <t xml:space="preserve">
001880 4/2   24pcs  华兴一A5
0001906 4/2 1176pcs 华兴一A5
</t>
        </r>
      </text>
    </comment>
    <comment ref="AF101" authorId="0">
      <text>
        <r>
          <rPr>
            <b/>
            <sz val="12"/>
            <rFont val="宋体"/>
            <charset val="134"/>
          </rPr>
          <t>Administrator:</t>
        </r>
        <r>
          <rPr>
            <sz val="12"/>
            <rFont val="宋体"/>
            <charset val="134"/>
          </rPr>
          <t xml:space="preserve">
3/5 已上（手工单转实单）</t>
        </r>
      </text>
    </comment>
    <comment ref="AD102" authorId="0">
      <text>
        <r>
          <rPr>
            <b/>
            <sz val="12"/>
            <rFont val="宋体"/>
            <charset val="134"/>
          </rPr>
          <t>Administrator:</t>
        </r>
        <r>
          <rPr>
            <sz val="12"/>
            <rFont val="宋体"/>
            <charset val="134"/>
          </rPr>
          <t xml:space="preserve">
0001664 4/16  792pcs 华兴一A5
0001677 4/17 1572pcs 华兴一A5</t>
        </r>
      </text>
    </comment>
    <comment ref="AF102" authorId="0">
      <text>
        <r>
          <rPr>
            <b/>
            <sz val="9"/>
            <rFont val="宋体"/>
            <charset val="134"/>
          </rPr>
          <t>Administrator:</t>
        </r>
        <r>
          <rPr>
            <sz val="9"/>
            <rFont val="宋体"/>
            <charset val="134"/>
          </rPr>
          <t xml:space="preserve">
4/2 上KM外箱贴纸 197pcs</t>
        </r>
      </text>
    </comment>
    <comment ref="AD103" authorId="0">
      <text>
        <r>
          <rPr>
            <b/>
            <sz val="12"/>
            <rFont val="宋体"/>
            <charset val="134"/>
          </rPr>
          <t>Administrator:</t>
        </r>
        <r>
          <rPr>
            <sz val="12"/>
            <rFont val="宋体"/>
            <charset val="134"/>
          </rPr>
          <t xml:space="preserve">
0001659 4/16 264pcs 华兴一A5</t>
        </r>
      </text>
    </comment>
    <comment ref="AF103" authorId="0">
      <text>
        <r>
          <rPr>
            <b/>
            <sz val="9"/>
            <rFont val="宋体"/>
            <charset val="134"/>
          </rPr>
          <t>Administrator:</t>
        </r>
        <r>
          <rPr>
            <sz val="9"/>
            <rFont val="宋体"/>
            <charset val="134"/>
          </rPr>
          <t xml:space="preserve">
4/2 上KM外箱贴纸 22pcs</t>
        </r>
      </text>
    </comment>
    <comment ref="AD104" authorId="0">
      <text>
        <r>
          <rPr>
            <b/>
            <sz val="12"/>
            <rFont val="宋体"/>
            <charset val="134"/>
          </rPr>
          <t>Administrator:</t>
        </r>
        <r>
          <rPr>
            <sz val="12"/>
            <rFont val="宋体"/>
            <charset val="134"/>
          </rPr>
          <t xml:space="preserve">
0001648 4/21  8988pcs B栋4楼B4区
0001647 4/21 25368pcs B栋4楼B4区</t>
        </r>
      </text>
    </comment>
    <comment ref="AF104" authorId="0">
      <text>
        <r>
          <rPr>
            <b/>
            <sz val="12"/>
            <rFont val="宋体"/>
            <charset val="134"/>
          </rPr>
          <t>Administrator:</t>
        </r>
        <r>
          <rPr>
            <sz val="12"/>
            <rFont val="宋体"/>
            <charset val="134"/>
          </rPr>
          <t xml:space="preserve">
3/26 上WEEE说明书 56040pcs</t>
        </r>
      </text>
    </comment>
    <comment ref="AD105" authorId="0">
      <text>
        <r>
          <rPr>
            <b/>
            <sz val="12"/>
            <rFont val="宋体"/>
            <charset val="134"/>
          </rPr>
          <t>Administrator:</t>
        </r>
        <r>
          <rPr>
            <sz val="12"/>
            <rFont val="宋体"/>
            <charset val="134"/>
          </rPr>
          <t xml:space="preserve">
0001535 4/21 7686pcs B栋4楼C7区
0001648 4/21 3666pcs B栋4楼C7区
0001628 4/22   96pcs B栋4楼C7区</t>
        </r>
      </text>
    </comment>
    <comment ref="AD106" authorId="0">
      <text>
        <r>
          <rPr>
            <b/>
            <sz val="12"/>
            <rFont val="宋体"/>
            <charset val="134"/>
          </rPr>
          <t>Administrator:</t>
        </r>
        <r>
          <rPr>
            <sz val="12"/>
            <rFont val="宋体"/>
            <charset val="134"/>
          </rPr>
          <t xml:space="preserve">
0001535 4/21 4500pcs B栋4楼C7区
</t>
        </r>
      </text>
    </comment>
    <comment ref="AD107" authorId="0">
      <text>
        <r>
          <rPr>
            <b/>
            <sz val="12"/>
            <rFont val="宋体"/>
            <charset val="134"/>
          </rPr>
          <t>Administrator:</t>
        </r>
        <r>
          <rPr>
            <sz val="12"/>
            <rFont val="宋体"/>
            <charset val="134"/>
          </rPr>
          <t xml:space="preserve">
0001535 4/21 2598pcs B栋4楼C7区
</t>
        </r>
      </text>
    </comment>
    <comment ref="AD108" authorId="0">
      <text>
        <r>
          <rPr>
            <b/>
            <sz val="12"/>
            <rFont val="宋体"/>
            <charset val="134"/>
          </rPr>
          <t>Administrator:</t>
        </r>
        <r>
          <rPr>
            <sz val="12"/>
            <rFont val="宋体"/>
            <charset val="134"/>
          </rPr>
          <t xml:space="preserve">
0001535 4/21 2250pcs  B栋4楼C7区
0001628 4/22  888pcs  B栋4楼B7区</t>
        </r>
      </text>
    </comment>
    <comment ref="AD109" authorId="0">
      <text>
        <r>
          <rPr>
            <b/>
            <sz val="12"/>
            <rFont val="宋体"/>
            <charset val="134"/>
          </rPr>
          <t>Administrator:</t>
        </r>
        <r>
          <rPr>
            <sz val="12"/>
            <rFont val="宋体"/>
            <charset val="134"/>
          </rPr>
          <t xml:space="preserve">
0001542 4/21 120pcs 华兴一A5</t>
        </r>
      </text>
    </comment>
    <comment ref="AF109" authorId="0">
      <text>
        <r>
          <rPr>
            <b/>
            <sz val="12"/>
            <rFont val="宋体"/>
            <charset val="134"/>
          </rPr>
          <t>Administrator:</t>
        </r>
        <r>
          <rPr>
            <sz val="12"/>
            <rFont val="宋体"/>
            <charset val="134"/>
          </rPr>
          <t xml:space="preserve">
3/27 上进口商贴纸 120pcs</t>
        </r>
      </text>
    </comment>
    <comment ref="AD110" authorId="0">
      <text>
        <r>
          <rPr>
            <b/>
            <sz val="12"/>
            <rFont val="宋体"/>
            <charset val="134"/>
          </rPr>
          <t>Administrator:</t>
        </r>
        <r>
          <rPr>
            <sz val="12"/>
            <rFont val="宋体"/>
            <charset val="134"/>
          </rPr>
          <t xml:space="preserve">
0001667 4/18 360pcs 华兴一A8</t>
        </r>
      </text>
    </comment>
    <comment ref="AD111" authorId="0">
      <text>
        <r>
          <rPr>
            <b/>
            <sz val="12"/>
            <rFont val="宋体"/>
            <charset val="134"/>
          </rPr>
          <t>Administrator:</t>
        </r>
        <r>
          <rPr>
            <sz val="12"/>
            <rFont val="宋体"/>
            <charset val="134"/>
          </rPr>
          <t xml:space="preserve">
0001603 4/25 1200pcs 华兴一A5</t>
        </r>
      </text>
    </comment>
    <comment ref="AF111" authorId="0">
      <text>
        <r>
          <rPr>
            <b/>
            <sz val="12"/>
            <rFont val="宋体"/>
            <charset val="134"/>
          </rPr>
          <t>Administrator:</t>
        </r>
        <r>
          <rPr>
            <sz val="12"/>
            <rFont val="宋体"/>
            <charset val="134"/>
          </rPr>
          <t xml:space="preserve">
4/3 上德语callout贴纸 1200pcs
    上UPC贴纸 1200pcs</t>
        </r>
      </text>
    </comment>
    <comment ref="AD112" authorId="0">
      <text>
        <r>
          <rPr>
            <b/>
            <sz val="12"/>
            <rFont val="宋体"/>
            <charset val="134"/>
          </rPr>
          <t>Administrator:</t>
        </r>
        <r>
          <rPr>
            <sz val="12"/>
            <rFont val="宋体"/>
            <charset val="134"/>
          </rPr>
          <t xml:space="preserve">
0001795 4/25 1500pcs 华兴一A5</t>
        </r>
      </text>
    </comment>
    <comment ref="AF112" authorId="0">
      <text>
        <r>
          <rPr>
            <b/>
            <sz val="12"/>
            <rFont val="宋体"/>
            <charset val="134"/>
          </rPr>
          <t>Administrator:</t>
        </r>
        <r>
          <rPr>
            <sz val="12"/>
            <rFont val="宋体"/>
            <charset val="134"/>
          </rPr>
          <t xml:space="preserve">
4/3 上德语callout贴纸 1500pcs
    上UPC贴纸 1500pcs</t>
        </r>
      </text>
    </comment>
    <comment ref="AD113" authorId="0">
      <text>
        <r>
          <rPr>
            <b/>
            <sz val="12"/>
            <rFont val="宋体"/>
            <charset val="134"/>
          </rPr>
          <t>Administrator:</t>
        </r>
        <r>
          <rPr>
            <sz val="12"/>
            <rFont val="宋体"/>
            <charset val="134"/>
          </rPr>
          <t xml:space="preserve">
0001603 4/25 624pcs 华兴一A5</t>
        </r>
      </text>
    </comment>
    <comment ref="AF113" authorId="0">
      <text>
        <r>
          <rPr>
            <b/>
            <sz val="12"/>
            <rFont val="宋体"/>
            <charset val="134"/>
          </rPr>
          <t>Administrator:</t>
        </r>
        <r>
          <rPr>
            <sz val="12"/>
            <rFont val="宋体"/>
            <charset val="134"/>
          </rPr>
          <t xml:space="preserve">
4/9 上亚马逊外箱贴纸 26pcs
4/11 上UPC贴纸 624pcs
     上环保标贴纸 624pcs
     上ES回收环保标志1号 624pcs</t>
        </r>
      </text>
    </comment>
    <comment ref="AD114" authorId="0">
      <text>
        <r>
          <rPr>
            <b/>
            <sz val="12"/>
            <rFont val="宋体"/>
            <charset val="134"/>
          </rPr>
          <t>Administrator:</t>
        </r>
        <r>
          <rPr>
            <sz val="12"/>
            <rFont val="宋体"/>
            <charset val="134"/>
          </rPr>
          <t xml:space="preserve">
0001724 5/6 5256pcs 华兴一A5</t>
        </r>
      </text>
    </comment>
    <comment ref="AF114" authorId="0">
      <text>
        <r>
          <rPr>
            <b/>
            <sz val="12"/>
            <rFont val="宋体"/>
            <charset val="134"/>
          </rPr>
          <t>Administrator:</t>
        </r>
        <r>
          <rPr>
            <sz val="12"/>
            <rFont val="宋体"/>
            <charset val="134"/>
          </rPr>
          <t xml:space="preserve">
4/19 上大白方防盗贴纸 3000pcs
4/25 上大白方防盗贴纸 2300pcs</t>
        </r>
      </text>
    </comment>
    <comment ref="AD115" authorId="0">
      <text>
        <r>
          <rPr>
            <b/>
            <sz val="12"/>
            <rFont val="宋体"/>
            <charset val="134"/>
          </rPr>
          <t>Administrator:</t>
        </r>
        <r>
          <rPr>
            <sz val="12"/>
            <rFont val="宋体"/>
            <charset val="134"/>
          </rPr>
          <t xml:space="preserve">
2001086 5/8 1008pcs 华兴一A5</t>
        </r>
      </text>
    </comment>
    <comment ref="AD116" authorId="0">
      <text>
        <r>
          <rPr>
            <b/>
            <sz val="12"/>
            <rFont val="宋体"/>
            <charset val="134"/>
          </rPr>
          <t>Administrator:</t>
        </r>
        <r>
          <rPr>
            <sz val="12"/>
            <rFont val="宋体"/>
            <charset val="134"/>
          </rPr>
          <t xml:space="preserve">
2001004 5/7  750pcs 华兴一A5
2001066 5/8 1650pcs 华兴一A5</t>
        </r>
      </text>
    </comment>
    <comment ref="AD117" authorId="0">
      <text>
        <r>
          <rPr>
            <b/>
            <sz val="12"/>
            <rFont val="宋体"/>
            <charset val="134"/>
          </rPr>
          <t>Administrator:</t>
        </r>
        <r>
          <rPr>
            <sz val="12"/>
            <rFont val="宋体"/>
            <charset val="134"/>
          </rPr>
          <t xml:space="preserve">
2001066 5/8 1188pcs 华兴一A5</t>
        </r>
      </text>
    </comment>
    <comment ref="AF117" authorId="0">
      <text>
        <r>
          <rPr>
            <b/>
            <sz val="12"/>
            <rFont val="宋体"/>
            <charset val="134"/>
          </rPr>
          <t>Administrator:</t>
        </r>
        <r>
          <rPr>
            <sz val="12"/>
            <rFont val="宋体"/>
            <charset val="134"/>
          </rPr>
          <t xml:space="preserve">
4/23 上KM外箱贴纸 99pcs</t>
        </r>
      </text>
    </comment>
    <comment ref="AD118" authorId="0">
      <text>
        <r>
          <rPr>
            <b/>
            <sz val="12"/>
            <rFont val="宋体"/>
            <charset val="134"/>
          </rPr>
          <t>Administrator:</t>
        </r>
        <r>
          <rPr>
            <sz val="12"/>
            <rFont val="宋体"/>
            <charset val="134"/>
          </rPr>
          <t xml:space="preserve">
2001066 5/8 312pcs 华兴一A5</t>
        </r>
      </text>
    </comment>
    <comment ref="AF118" authorId="0">
      <text>
        <r>
          <rPr>
            <b/>
            <sz val="12"/>
            <rFont val="宋体"/>
            <charset val="134"/>
          </rPr>
          <t>Administrator:</t>
        </r>
        <r>
          <rPr>
            <sz val="12"/>
            <rFont val="宋体"/>
            <charset val="134"/>
          </rPr>
          <t xml:space="preserve">
4/23 上KM外箱贴纸 26pcs</t>
        </r>
      </text>
    </comment>
    <comment ref="AD119" authorId="0">
      <text>
        <r>
          <rPr>
            <b/>
            <sz val="12"/>
            <rFont val="宋体"/>
            <charset val="134"/>
          </rPr>
          <t>Administrator:</t>
        </r>
        <r>
          <rPr>
            <sz val="12"/>
            <rFont val="宋体"/>
            <charset val="134"/>
          </rPr>
          <t xml:space="preserve">
2000878 5/20 2100pcs 华兴一A5
</t>
        </r>
      </text>
    </comment>
    <comment ref="AD120" authorId="0">
      <text>
        <r>
          <rPr>
            <b/>
            <sz val="12"/>
            <rFont val="宋体"/>
            <charset val="134"/>
          </rPr>
          <t>Administrator:</t>
        </r>
        <r>
          <rPr>
            <sz val="12"/>
            <rFont val="宋体"/>
            <charset val="134"/>
          </rPr>
          <t xml:space="preserve">
2000878 5/20 900pcs 华兴一A5
</t>
        </r>
      </text>
    </comment>
    <comment ref="AD121" authorId="0">
      <text>
        <r>
          <rPr>
            <b/>
            <sz val="12"/>
            <rFont val="宋体"/>
            <charset val="134"/>
          </rPr>
          <t>Administrator:</t>
        </r>
        <r>
          <rPr>
            <sz val="12"/>
            <rFont val="宋体"/>
            <charset val="134"/>
          </rPr>
          <t xml:space="preserve">
2000878 5/20 1260pcs 华兴一A5</t>
        </r>
      </text>
    </comment>
    <comment ref="AF121" authorId="0">
      <text>
        <r>
          <rPr>
            <b/>
            <sz val="12"/>
            <rFont val="宋体"/>
            <charset val="134"/>
          </rPr>
          <t>Administrator:</t>
        </r>
        <r>
          <rPr>
            <sz val="12"/>
            <rFont val="宋体"/>
            <charset val="134"/>
          </rPr>
          <t xml:space="preserve">
5/12 上KM外箱贴纸 105pcs</t>
        </r>
      </text>
    </comment>
    <comment ref="AD122" authorId="0">
      <text>
        <r>
          <rPr>
            <b/>
            <sz val="12"/>
            <rFont val="宋体"/>
            <charset val="134"/>
          </rPr>
          <t>Administrator:</t>
        </r>
        <r>
          <rPr>
            <sz val="12"/>
            <rFont val="宋体"/>
            <charset val="134"/>
          </rPr>
          <t xml:space="preserve">
2000878 5/20 240pcs 华兴一A5</t>
        </r>
      </text>
    </comment>
    <comment ref="AF122" authorId="0">
      <text>
        <r>
          <rPr>
            <b/>
            <sz val="12"/>
            <rFont val="宋体"/>
            <charset val="134"/>
          </rPr>
          <t>Administrator:</t>
        </r>
        <r>
          <rPr>
            <sz val="12"/>
            <rFont val="宋体"/>
            <charset val="134"/>
          </rPr>
          <t xml:space="preserve">
5/12 上KM外箱贴纸 20pcs</t>
        </r>
      </text>
    </comment>
    <comment ref="AD123" authorId="0">
      <text>
        <r>
          <rPr>
            <b/>
            <sz val="12"/>
            <rFont val="宋体"/>
            <charset val="134"/>
          </rPr>
          <t>Administrator:</t>
        </r>
        <r>
          <rPr>
            <sz val="12"/>
            <rFont val="宋体"/>
            <charset val="134"/>
          </rPr>
          <t xml:space="preserve">
0001906 4/2 2256pcs 华兴一A5
</t>
        </r>
      </text>
    </comment>
    <comment ref="AF123" authorId="0">
      <text>
        <r>
          <rPr>
            <b/>
            <sz val="12"/>
            <rFont val="宋体"/>
            <charset val="134"/>
          </rPr>
          <t>Administrator:</t>
        </r>
        <r>
          <rPr>
            <sz val="12"/>
            <rFont val="宋体"/>
            <charset val="134"/>
          </rPr>
          <t xml:space="preserve">
3/24 上客供价格贴纸 2369pcs</t>
        </r>
      </text>
    </comment>
    <comment ref="AD124" authorId="0">
      <text>
        <r>
          <rPr>
            <b/>
            <sz val="12"/>
            <rFont val="宋体"/>
            <charset val="134"/>
          </rPr>
          <t>Administrator:</t>
        </r>
        <r>
          <rPr>
            <sz val="12"/>
            <rFont val="宋体"/>
            <charset val="134"/>
          </rPr>
          <t xml:space="preserve">
2002395 6/4 504pcs 新仓库一A2</t>
        </r>
      </text>
    </comment>
    <comment ref="AF124" authorId="0">
      <text>
        <r>
          <rPr>
            <b/>
            <sz val="9"/>
            <rFont val="宋体"/>
            <charset val="134"/>
          </rPr>
          <t>Administrator:</t>
        </r>
        <r>
          <rPr>
            <sz val="9"/>
            <rFont val="宋体"/>
            <charset val="134"/>
          </rPr>
          <t xml:space="preserve">
5/14 上WEEE带电池走货欧洲30语通用黑白说明书 504pcs</t>
        </r>
      </text>
    </comment>
    <comment ref="AD125" authorId="0">
      <text>
        <r>
          <rPr>
            <b/>
            <sz val="12"/>
            <rFont val="宋体"/>
            <charset val="134"/>
          </rPr>
          <t>Administrator:</t>
        </r>
        <r>
          <rPr>
            <sz val="12"/>
            <rFont val="宋体"/>
            <charset val="134"/>
          </rPr>
          <t xml:space="preserve">
2002366 6/6 132pcs</t>
        </r>
      </text>
    </comment>
    <comment ref="AF125" authorId="0">
      <text>
        <r>
          <rPr>
            <b/>
            <sz val="12"/>
            <rFont val="宋体"/>
            <charset val="134"/>
          </rPr>
          <t>Administrator:</t>
        </r>
        <r>
          <rPr>
            <sz val="12"/>
            <rFont val="宋体"/>
            <charset val="134"/>
          </rPr>
          <t xml:space="preserve">
5/24 上KM外箱贴纸 11pcs</t>
        </r>
      </text>
    </comment>
    <comment ref="AD126" authorId="0">
      <text>
        <r>
          <rPr>
            <b/>
            <sz val="12"/>
            <rFont val="宋体"/>
            <charset val="134"/>
          </rPr>
          <t>Administrator:</t>
        </r>
        <r>
          <rPr>
            <sz val="12"/>
            <rFont val="宋体"/>
            <charset val="134"/>
          </rPr>
          <t xml:space="preserve">
2002366 6/6 1368pcs</t>
        </r>
      </text>
    </comment>
    <comment ref="AF126" authorId="0">
      <text>
        <r>
          <rPr>
            <b/>
            <sz val="12"/>
            <rFont val="宋体"/>
            <charset val="134"/>
          </rPr>
          <t>Administrator:</t>
        </r>
        <r>
          <rPr>
            <sz val="12"/>
            <rFont val="宋体"/>
            <charset val="134"/>
          </rPr>
          <t xml:space="preserve">
5/24 上KM外箱贴纸 114pcs</t>
        </r>
      </text>
    </comment>
    <comment ref="AD127" authorId="0">
      <text>
        <r>
          <rPr>
            <b/>
            <sz val="12"/>
            <rFont val="宋体"/>
            <charset val="134"/>
          </rPr>
          <t>Administrator:</t>
        </r>
        <r>
          <rPr>
            <sz val="12"/>
            <rFont val="宋体"/>
            <charset val="134"/>
          </rPr>
          <t xml:space="preserve">
2002227 6/12 1800pcs 华兴一A5</t>
        </r>
      </text>
    </comment>
    <comment ref="AF127" authorId="0">
      <text>
        <r>
          <rPr>
            <b/>
            <sz val="12"/>
            <rFont val="宋体"/>
            <charset val="134"/>
          </rPr>
          <t>Administrator:</t>
        </r>
        <r>
          <rPr>
            <sz val="12"/>
            <rFont val="宋体"/>
            <charset val="134"/>
          </rPr>
          <t xml:space="preserve">
5/20 上德语callout贴纸 4800pcs
     上WEEE电池通用30L说明书 4800pcs
     上UPC条码贴纸 1800pcs</t>
        </r>
      </text>
    </comment>
    <comment ref="AD128" authorId="0">
      <text>
        <r>
          <rPr>
            <b/>
            <sz val="12"/>
            <rFont val="宋体"/>
            <charset val="134"/>
          </rPr>
          <t>Administrator:</t>
        </r>
        <r>
          <rPr>
            <sz val="12"/>
            <rFont val="宋体"/>
            <charset val="134"/>
          </rPr>
          <t xml:space="preserve">
2002227 6/12 1500pcs 华兴一A5</t>
        </r>
      </text>
    </comment>
    <comment ref="AF128" authorId="0">
      <text>
        <r>
          <rPr>
            <b/>
            <sz val="12"/>
            <rFont val="宋体"/>
            <charset val="134"/>
          </rPr>
          <t>Administrator:</t>
        </r>
        <r>
          <rPr>
            <sz val="12"/>
            <rFont val="宋体"/>
            <charset val="134"/>
          </rPr>
          <t xml:space="preserve">
5/20 上德语callout贴纸 4800pcs
     上WEEE电池通用30L说明书 4800pcs
     上UPC条码贴纸 1500pcs</t>
        </r>
      </text>
    </comment>
    <comment ref="AD129" authorId="0">
      <text>
        <r>
          <rPr>
            <b/>
            <sz val="12"/>
            <rFont val="宋体"/>
            <charset val="134"/>
          </rPr>
          <t>Administrator:</t>
        </r>
        <r>
          <rPr>
            <sz val="12"/>
            <rFont val="宋体"/>
            <charset val="134"/>
          </rPr>
          <t xml:space="preserve">
2002227 6/12 1500pcs 华兴一A5</t>
        </r>
      </text>
    </comment>
    <comment ref="AF129" authorId="0">
      <text>
        <r>
          <rPr>
            <b/>
            <sz val="12"/>
            <rFont val="宋体"/>
            <charset val="134"/>
          </rPr>
          <t>Administrator:</t>
        </r>
        <r>
          <rPr>
            <sz val="12"/>
            <rFont val="宋体"/>
            <charset val="134"/>
          </rPr>
          <t xml:space="preserve">
5/20 上德语callout贴纸 4800pcs
     上WEEE电池通用30L说明书 4800pcs</t>
        </r>
      </text>
    </comment>
    <comment ref="AD130" authorId="0">
      <text>
        <r>
          <rPr>
            <b/>
            <sz val="12"/>
            <rFont val="宋体"/>
            <charset val="134"/>
          </rPr>
          <t>Administrator:</t>
        </r>
        <r>
          <rPr>
            <sz val="12"/>
            <rFont val="宋体"/>
            <charset val="134"/>
          </rPr>
          <t xml:space="preserve">
2002261 6/11 48pcs 华兴一A5</t>
        </r>
      </text>
    </comment>
    <comment ref="AF130" authorId="0">
      <text>
        <r>
          <rPr>
            <b/>
            <sz val="12"/>
            <rFont val="宋体"/>
            <charset val="134"/>
          </rPr>
          <t>Administrator:</t>
        </r>
        <r>
          <rPr>
            <sz val="12"/>
            <rFont val="宋体"/>
            <charset val="134"/>
          </rPr>
          <t xml:space="preserve">
5/26 上客供防伪贴纸 48pcs
     上客供亚马逊外箱贴纸 2pcs</t>
        </r>
      </text>
    </comment>
    <comment ref="AD131" authorId="0">
      <text>
        <r>
          <rPr>
            <b/>
            <sz val="12"/>
            <rFont val="宋体"/>
            <charset val="134"/>
          </rPr>
          <t>Administrator:</t>
        </r>
        <r>
          <rPr>
            <sz val="12"/>
            <rFont val="宋体"/>
            <charset val="134"/>
          </rPr>
          <t xml:space="preserve">
2002261 6/11 24pcs 华兴一A5
</t>
        </r>
      </text>
    </comment>
    <comment ref="AF131" authorId="0">
      <text>
        <r>
          <rPr>
            <b/>
            <sz val="12"/>
            <rFont val="宋体"/>
            <charset val="134"/>
          </rPr>
          <t>Administrator:</t>
        </r>
        <r>
          <rPr>
            <sz val="12"/>
            <rFont val="宋体"/>
            <charset val="134"/>
          </rPr>
          <t xml:space="preserve">
5/26 上客供防伪贴纸 24pcs
     上客供亚马逊外箱贴纸 1pcs</t>
        </r>
      </text>
    </comment>
    <comment ref="AD132" authorId="0">
      <text>
        <r>
          <rPr>
            <b/>
            <sz val="12"/>
            <rFont val="宋体"/>
            <charset val="134"/>
          </rPr>
          <t>Administrator:</t>
        </r>
        <r>
          <rPr>
            <sz val="12"/>
            <rFont val="宋体"/>
            <charset val="134"/>
          </rPr>
          <t xml:space="preserve">
2002261 6/11 24pcs 华兴一A5
</t>
        </r>
      </text>
    </comment>
    <comment ref="AF132" authorId="0">
      <text>
        <r>
          <rPr>
            <b/>
            <sz val="12"/>
            <rFont val="宋体"/>
            <charset val="134"/>
          </rPr>
          <t>Administrator:</t>
        </r>
        <r>
          <rPr>
            <sz val="12"/>
            <rFont val="宋体"/>
            <charset val="134"/>
          </rPr>
          <t xml:space="preserve">
5/26 上客供防伪贴纸 24pcs
     上客供亚马逊外箱贴纸 1pcs</t>
        </r>
      </text>
    </comment>
    <comment ref="AD133" authorId="0">
      <text>
        <r>
          <rPr>
            <b/>
            <sz val="12"/>
            <rFont val="宋体"/>
            <charset val="134"/>
          </rPr>
          <t>Administrator:</t>
        </r>
        <r>
          <rPr>
            <sz val="12"/>
            <rFont val="宋体"/>
            <charset val="134"/>
          </rPr>
          <t xml:space="preserve">
2002261 6/11 24pcs 华兴一A5
</t>
        </r>
      </text>
    </comment>
    <comment ref="AF133" authorId="0">
      <text>
        <r>
          <rPr>
            <b/>
            <sz val="12"/>
            <rFont val="宋体"/>
            <charset val="134"/>
          </rPr>
          <t>Administrator:</t>
        </r>
        <r>
          <rPr>
            <sz val="12"/>
            <rFont val="宋体"/>
            <charset val="134"/>
          </rPr>
          <t xml:space="preserve">
5/26 上客供防伪贴纸 24pcs
     上客供亚马逊外箱贴纸 1pcs</t>
        </r>
      </text>
    </comment>
    <comment ref="AD134" authorId="0">
      <text>
        <r>
          <rPr>
            <b/>
            <sz val="12"/>
            <rFont val="宋体"/>
            <charset val="134"/>
          </rPr>
          <t>Administrator:</t>
        </r>
        <r>
          <rPr>
            <sz val="12"/>
            <rFont val="宋体"/>
            <charset val="134"/>
          </rPr>
          <t xml:space="preserve">
2002261 6/11 24pcs 华兴一A5
</t>
        </r>
      </text>
    </comment>
    <comment ref="AF134" authorId="0">
      <text>
        <r>
          <rPr>
            <b/>
            <sz val="12"/>
            <rFont val="宋体"/>
            <charset val="134"/>
          </rPr>
          <t>Administrator:</t>
        </r>
        <r>
          <rPr>
            <sz val="12"/>
            <rFont val="宋体"/>
            <charset val="134"/>
          </rPr>
          <t xml:space="preserve">
5/26 上客供防伪贴纸 24pcs
     上客供亚马逊外箱贴纸 1pcs</t>
        </r>
      </text>
    </comment>
    <comment ref="AD135" authorId="0">
      <text>
        <r>
          <rPr>
            <b/>
            <sz val="12"/>
            <rFont val="宋体"/>
            <charset val="134"/>
          </rPr>
          <t>Administrator:</t>
        </r>
        <r>
          <rPr>
            <sz val="12"/>
            <rFont val="宋体"/>
            <charset val="134"/>
          </rPr>
          <t xml:space="preserve">
2002261 6/11 48pcs 华兴一A5</t>
        </r>
      </text>
    </comment>
    <comment ref="AF135" authorId="0">
      <text>
        <r>
          <rPr>
            <b/>
            <sz val="12"/>
            <rFont val="宋体"/>
            <charset val="134"/>
          </rPr>
          <t>Administrator:</t>
        </r>
        <r>
          <rPr>
            <sz val="12"/>
            <rFont val="宋体"/>
            <charset val="134"/>
          </rPr>
          <t xml:space="preserve">
5/26 上客供防伪贴纸 48pcs
     上客供亚马逊外箱贴纸 2pcs</t>
        </r>
      </text>
    </comment>
    <comment ref="AD136" authorId="0">
      <text>
        <r>
          <rPr>
            <b/>
            <sz val="12"/>
            <rFont val="宋体"/>
            <charset val="134"/>
          </rPr>
          <t>Administrator:</t>
        </r>
        <r>
          <rPr>
            <sz val="12"/>
            <rFont val="宋体"/>
            <charset val="134"/>
          </rPr>
          <t xml:space="preserve">
2002261 6/11 24pcs 华兴一A5
</t>
        </r>
      </text>
    </comment>
    <comment ref="AF136" authorId="0">
      <text>
        <r>
          <rPr>
            <b/>
            <sz val="12"/>
            <rFont val="宋体"/>
            <charset val="134"/>
          </rPr>
          <t>Administrator:</t>
        </r>
        <r>
          <rPr>
            <sz val="12"/>
            <rFont val="宋体"/>
            <charset val="134"/>
          </rPr>
          <t xml:space="preserve">
5/26 上客供防伪贴纸 24pcs
     上客供亚马逊外箱贴纸 1pcs</t>
        </r>
      </text>
    </comment>
    <comment ref="AD137" authorId="0">
      <text>
        <r>
          <rPr>
            <b/>
            <sz val="12"/>
            <rFont val="宋体"/>
            <charset val="134"/>
          </rPr>
          <t>Administrator:</t>
        </r>
        <r>
          <rPr>
            <sz val="12"/>
            <rFont val="宋体"/>
            <charset val="134"/>
          </rPr>
          <t xml:space="preserve">
2002214 6/13 4008pcs 华兴一A5</t>
        </r>
      </text>
    </comment>
    <comment ref="AD138" authorId="0">
      <text>
        <r>
          <rPr>
            <b/>
            <sz val="12"/>
            <rFont val="宋体"/>
            <charset val="134"/>
          </rPr>
          <t>Administrator:</t>
        </r>
        <r>
          <rPr>
            <sz val="12"/>
            <rFont val="宋体"/>
            <charset val="134"/>
          </rPr>
          <t xml:space="preserve">
2002214 6/13 4008pcs 华兴一A5</t>
        </r>
      </text>
    </comment>
    <comment ref="AD139" authorId="0">
      <text>
        <r>
          <rPr>
            <b/>
            <sz val="12"/>
            <rFont val="宋体"/>
            <charset val="134"/>
          </rPr>
          <t>Administrator:</t>
        </r>
        <r>
          <rPr>
            <sz val="12"/>
            <rFont val="宋体"/>
            <charset val="134"/>
          </rPr>
          <t xml:space="preserve">
2002221 6/13 1200pcs 华兴一A5</t>
        </r>
      </text>
    </comment>
    <comment ref="AD140" authorId="0">
      <text>
        <r>
          <rPr>
            <b/>
            <sz val="12"/>
            <rFont val="宋体"/>
            <charset val="134"/>
          </rPr>
          <t>Administrator:</t>
        </r>
        <r>
          <rPr>
            <sz val="12"/>
            <rFont val="宋体"/>
            <charset val="134"/>
          </rPr>
          <t xml:space="preserve">
2002137 6/19 1200pcs 华兴一A5</t>
        </r>
      </text>
    </comment>
    <comment ref="AF140" authorId="0">
      <text>
        <r>
          <rPr>
            <b/>
            <sz val="12"/>
            <rFont val="宋体"/>
            <charset val="134"/>
          </rPr>
          <t>Administrator:</t>
        </r>
        <r>
          <rPr>
            <sz val="12"/>
            <rFont val="宋体"/>
            <charset val="134"/>
          </rPr>
          <t xml:space="preserve">
5/26 上德语callout贴纸 2400pcs
     上WEEE带电池走货欧洲 30 语通用黑白说明书 2400pcs
     上B-UPC贴纸 1200pcs</t>
        </r>
      </text>
    </comment>
    <comment ref="AD141" authorId="0">
      <text>
        <r>
          <rPr>
            <b/>
            <sz val="12"/>
            <rFont val="宋体"/>
            <charset val="134"/>
          </rPr>
          <t>Administrator:</t>
        </r>
        <r>
          <rPr>
            <sz val="12"/>
            <rFont val="宋体"/>
            <charset val="134"/>
          </rPr>
          <t xml:space="preserve">
2002137 6/19 1200pcs 华兴一A5</t>
        </r>
      </text>
    </comment>
    <comment ref="AD142" authorId="0">
      <text>
        <r>
          <rPr>
            <b/>
            <sz val="12"/>
            <rFont val="宋体"/>
            <charset val="134"/>
          </rPr>
          <t>Administrator:</t>
        </r>
        <r>
          <rPr>
            <sz val="12"/>
            <rFont val="宋体"/>
            <charset val="134"/>
          </rPr>
          <t xml:space="preserve">
3001860 6/24 1200pcs 新仓库三B9</t>
        </r>
      </text>
    </comment>
    <comment ref="AD143" authorId="0">
      <text>
        <r>
          <rPr>
            <b/>
            <sz val="12"/>
            <rFont val="宋体"/>
            <charset val="134"/>
          </rPr>
          <t>Administrator:</t>
        </r>
        <r>
          <rPr>
            <sz val="12"/>
            <rFont val="宋体"/>
            <charset val="134"/>
          </rPr>
          <t xml:space="preserve">
3001868 6/24 120pcs 新仓库三B11</t>
        </r>
      </text>
    </comment>
    <comment ref="AD144" authorId="0">
      <text>
        <r>
          <rPr>
            <b/>
            <sz val="12"/>
            <rFont val="宋体"/>
            <charset val="134"/>
          </rPr>
          <t>Administrator:</t>
        </r>
        <r>
          <rPr>
            <sz val="12"/>
            <rFont val="宋体"/>
            <charset val="134"/>
          </rPr>
          <t xml:space="preserve">
3001868 6/24 108pcs 新仓库三B11</t>
        </r>
      </text>
    </comment>
    <comment ref="AF144" authorId="0">
      <text>
        <r>
          <rPr>
            <b/>
            <sz val="9"/>
            <rFont val="宋体"/>
            <charset val="134"/>
          </rPr>
          <t>Administrator:</t>
        </r>
        <r>
          <rPr>
            <sz val="9"/>
            <rFont val="宋体"/>
            <charset val="134"/>
          </rPr>
          <t xml:space="preserve">
6/11 上KM外箱贴纸 9pcs</t>
        </r>
      </text>
    </comment>
    <comment ref="AD145" authorId="0">
      <text>
        <r>
          <rPr>
            <b/>
            <sz val="12"/>
            <rFont val="宋体"/>
            <charset val="134"/>
          </rPr>
          <t>Administrator:</t>
        </r>
        <r>
          <rPr>
            <sz val="12"/>
            <rFont val="宋体"/>
            <charset val="134"/>
          </rPr>
          <t xml:space="preserve">
3001868 6/24 816pcs 新仓库三B11</t>
        </r>
      </text>
    </comment>
    <comment ref="AF145" authorId="0">
      <text>
        <r>
          <rPr>
            <b/>
            <sz val="9"/>
            <rFont val="宋体"/>
            <charset val="134"/>
          </rPr>
          <t>Administrator:</t>
        </r>
        <r>
          <rPr>
            <sz val="9"/>
            <rFont val="宋体"/>
            <charset val="134"/>
          </rPr>
          <t xml:space="preserve">
6/11 上KM外箱贴纸 116pcs</t>
        </r>
      </text>
    </comment>
    <comment ref="AD146" authorId="0">
      <text>
        <r>
          <rPr>
            <b/>
            <sz val="12"/>
            <rFont val="宋体"/>
            <charset val="134"/>
          </rPr>
          <t>Administrator:</t>
        </r>
        <r>
          <rPr>
            <sz val="12"/>
            <rFont val="宋体"/>
            <charset val="134"/>
          </rPr>
          <t xml:space="preserve">
3001868 6/24 576pcs 新仓库三B9</t>
        </r>
      </text>
    </comment>
    <comment ref="AD147" authorId="0">
      <text>
        <r>
          <rPr>
            <b/>
            <sz val="12"/>
            <rFont val="宋体"/>
            <charset val="134"/>
          </rPr>
          <t>Administrator:</t>
        </r>
        <r>
          <rPr>
            <sz val="12"/>
            <rFont val="宋体"/>
            <charset val="134"/>
          </rPr>
          <t xml:space="preserve">
2002214 6/13 252pcs 华兴一A5 </t>
        </r>
      </text>
    </comment>
    <comment ref="AF147" authorId="0">
      <text>
        <r>
          <rPr>
            <b/>
            <sz val="12"/>
            <rFont val="宋体"/>
            <charset val="134"/>
          </rPr>
          <t>Administrator:</t>
        </r>
        <r>
          <rPr>
            <sz val="12"/>
            <rFont val="宋体"/>
            <charset val="134"/>
          </rPr>
          <t xml:space="preserve">
5/27 上进口商贴纸 252pcs</t>
        </r>
      </text>
    </comment>
    <comment ref="AD148" authorId="0">
      <text>
        <r>
          <rPr>
            <b/>
            <sz val="12"/>
            <rFont val="宋体"/>
            <charset val="134"/>
          </rPr>
          <t>Administrator:</t>
        </r>
        <r>
          <rPr>
            <sz val="12"/>
            <rFont val="宋体"/>
            <charset val="134"/>
          </rPr>
          <t xml:space="preserve">
3001593 6/30 3600pcs</t>
        </r>
      </text>
    </comment>
    <comment ref="AF148" authorId="0">
      <text>
        <r>
          <rPr>
            <b/>
            <sz val="12"/>
            <rFont val="宋体"/>
            <charset val="134"/>
          </rPr>
          <t>Administrator:</t>
        </r>
        <r>
          <rPr>
            <sz val="12"/>
            <rFont val="宋体"/>
            <charset val="134"/>
          </rPr>
          <t xml:space="preserve">
6/21 上客供价格贴纸 3780pcs</t>
        </r>
      </text>
    </comment>
    <comment ref="AD149" authorId="0">
      <text>
        <r>
          <rPr>
            <b/>
            <sz val="12"/>
            <rFont val="宋体"/>
            <charset val="134"/>
          </rPr>
          <t>Administrator:</t>
        </r>
        <r>
          <rPr>
            <sz val="12"/>
            <rFont val="宋体"/>
            <charset val="134"/>
          </rPr>
          <t xml:space="preserve">
3001652 7/9 24pcs 莫海军B4楼B9区
</t>
        </r>
      </text>
    </comment>
    <comment ref="AF149" authorId="0">
      <text>
        <r>
          <rPr>
            <b/>
            <sz val="12"/>
            <rFont val="宋体"/>
            <charset val="134"/>
          </rPr>
          <t>Administrator:</t>
        </r>
        <r>
          <rPr>
            <sz val="12"/>
            <rFont val="宋体"/>
            <charset val="134"/>
          </rPr>
          <t xml:space="preserve">
6/18 上客供防伪贴纸 24pcs
6/21 上客供亚马逊外箱贴纸 1pcs</t>
        </r>
      </text>
    </comment>
    <comment ref="AD150" authorId="0">
      <text>
        <r>
          <rPr>
            <b/>
            <sz val="12"/>
            <rFont val="宋体"/>
            <charset val="134"/>
          </rPr>
          <t>Administrator:</t>
        </r>
        <r>
          <rPr>
            <sz val="12"/>
            <rFont val="宋体"/>
            <charset val="134"/>
          </rPr>
          <t xml:space="preserve">
3001652 7/9 24pcs 莫海军B4楼B9区
</t>
        </r>
      </text>
    </comment>
    <comment ref="AF150" authorId="0">
      <text>
        <r>
          <rPr>
            <b/>
            <sz val="12"/>
            <rFont val="宋体"/>
            <charset val="134"/>
          </rPr>
          <t>Administrator:</t>
        </r>
        <r>
          <rPr>
            <sz val="12"/>
            <rFont val="宋体"/>
            <charset val="134"/>
          </rPr>
          <t xml:space="preserve">
6/18 上客供防伪贴纸 24pcs
6/21 上客供亚马逊外箱贴纸 1pcs</t>
        </r>
      </text>
    </comment>
    <comment ref="AD151" authorId="0">
      <text>
        <r>
          <rPr>
            <b/>
            <sz val="12"/>
            <rFont val="宋体"/>
            <charset val="134"/>
          </rPr>
          <t>Administrator:</t>
        </r>
        <r>
          <rPr>
            <sz val="12"/>
            <rFont val="宋体"/>
            <charset val="134"/>
          </rPr>
          <t xml:space="preserve">
3001652 7/9 24pcs 莫海军B4楼B9区
</t>
        </r>
      </text>
    </comment>
    <comment ref="AF151" authorId="0">
      <text>
        <r>
          <rPr>
            <b/>
            <sz val="12"/>
            <rFont val="宋体"/>
            <charset val="134"/>
          </rPr>
          <t>Administrator:</t>
        </r>
        <r>
          <rPr>
            <sz val="12"/>
            <rFont val="宋体"/>
            <charset val="134"/>
          </rPr>
          <t xml:space="preserve">
6/18 上客供防伪贴纸 24pcs
6/21 上客供亚马逊外箱贴纸 1pcs</t>
        </r>
      </text>
    </comment>
    <comment ref="AD152" authorId="0">
      <text>
        <r>
          <rPr>
            <b/>
            <sz val="12"/>
            <rFont val="宋体"/>
            <charset val="134"/>
          </rPr>
          <t>Administrator:</t>
        </r>
        <r>
          <rPr>
            <sz val="12"/>
            <rFont val="宋体"/>
            <charset val="134"/>
          </rPr>
          <t xml:space="preserve">
3001652 7/9 24pcs 莫海军B4楼B9区
</t>
        </r>
      </text>
    </comment>
    <comment ref="AF152" authorId="0">
      <text>
        <r>
          <rPr>
            <b/>
            <sz val="12"/>
            <rFont val="宋体"/>
            <charset val="134"/>
          </rPr>
          <t>Administrator:</t>
        </r>
        <r>
          <rPr>
            <sz val="12"/>
            <rFont val="宋体"/>
            <charset val="134"/>
          </rPr>
          <t xml:space="preserve">
6/18 上客供防伪贴纸 24pcs
6/21 上客供亚马逊外箱贴纸 1pcs</t>
        </r>
      </text>
    </comment>
    <comment ref="AD153" authorId="0">
      <text>
        <r>
          <rPr>
            <b/>
            <sz val="12"/>
            <rFont val="宋体"/>
            <charset val="134"/>
          </rPr>
          <t>Administrator:</t>
        </r>
        <r>
          <rPr>
            <sz val="12"/>
            <rFont val="宋体"/>
            <charset val="134"/>
          </rPr>
          <t xml:space="preserve">
3001652 7/9 1500pcs 莫海军B4楼B4区</t>
        </r>
      </text>
    </comment>
    <comment ref="AF153" authorId="0">
      <text>
        <r>
          <rPr>
            <b/>
            <sz val="12"/>
            <rFont val="宋体"/>
            <charset val="134"/>
          </rPr>
          <t>Administrator:</t>
        </r>
        <r>
          <rPr>
            <sz val="12"/>
            <rFont val="宋体"/>
            <charset val="134"/>
          </rPr>
          <t xml:space="preserve">
6/30 上KM外箱贴纸 125pcs</t>
        </r>
      </text>
    </comment>
    <comment ref="AD154" authorId="0">
      <text>
        <r>
          <rPr>
            <b/>
            <sz val="12"/>
            <rFont val="宋体"/>
            <charset val="134"/>
          </rPr>
          <t>Administrator:</t>
        </r>
        <r>
          <rPr>
            <sz val="12"/>
            <rFont val="宋体"/>
            <charset val="134"/>
          </rPr>
          <t xml:space="preserve">
3001485 7/9 504pcs 莫海军B4楼B8区</t>
        </r>
      </text>
    </comment>
    <comment ref="AF154" authorId="0">
      <text>
        <r>
          <rPr>
            <b/>
            <sz val="12"/>
            <rFont val="宋体"/>
            <charset val="134"/>
          </rPr>
          <t>Administrator:</t>
        </r>
        <r>
          <rPr>
            <sz val="12"/>
            <rFont val="宋体"/>
            <charset val="134"/>
          </rPr>
          <t xml:space="preserve">
6/20 上德语callout贴纸 6216pcs
     上UPC条码贴纸 3012pcs
166942/167625共用
</t>
        </r>
      </text>
    </comment>
    <comment ref="AD155" authorId="0">
      <text>
        <r>
          <rPr>
            <b/>
            <sz val="12"/>
            <rFont val="宋体"/>
            <charset val="134"/>
          </rPr>
          <t>Administrator:</t>
        </r>
        <r>
          <rPr>
            <sz val="12"/>
            <rFont val="宋体"/>
            <charset val="134"/>
          </rPr>
          <t xml:space="preserve">
3001485 7/9 504pcs 莫海军B4楼B1区</t>
        </r>
      </text>
    </comment>
    <comment ref="AF155" authorId="0">
      <text>
        <r>
          <rPr>
            <b/>
            <sz val="12"/>
            <rFont val="宋体"/>
            <charset val="134"/>
          </rPr>
          <t>Administrator:</t>
        </r>
        <r>
          <rPr>
            <sz val="12"/>
            <rFont val="宋体"/>
            <charset val="134"/>
          </rPr>
          <t xml:space="preserve">
6/20 上德语callout贴纸 6216pcs
     上UPC条码贴纸 2004pcs
166942/167625共用</t>
        </r>
      </text>
    </comment>
    <comment ref="AD156" authorId="0">
      <text>
        <r>
          <rPr>
            <b/>
            <sz val="12"/>
            <rFont val="宋体"/>
            <charset val="134"/>
          </rPr>
          <t>Administrator:</t>
        </r>
        <r>
          <rPr>
            <sz val="12"/>
            <rFont val="宋体"/>
            <charset val="134"/>
          </rPr>
          <t xml:space="preserve">
3001426 7/16 1368pcs  华兴一A3
3001419 7/16 1788pcs  华兴一A4</t>
        </r>
      </text>
    </comment>
    <comment ref="AF156" authorId="0">
      <text>
        <r>
          <rPr>
            <b/>
            <sz val="12"/>
            <rFont val="宋体"/>
            <charset val="134"/>
          </rPr>
          <t>Administrator:</t>
        </r>
        <r>
          <rPr>
            <sz val="12"/>
            <rFont val="宋体"/>
            <charset val="134"/>
          </rPr>
          <t xml:space="preserve">
6/18 上大白方防盗贴纸 3156pcs
6/26 上WEEE带电池走货欧洲30语B版本通用黑白说明书 5046pcs
159839/160598共用</t>
        </r>
      </text>
    </comment>
    <comment ref="AD157" authorId="0">
      <text>
        <r>
          <rPr>
            <b/>
            <sz val="12"/>
            <rFont val="宋体"/>
            <charset val="134"/>
          </rPr>
          <t>Administrator:</t>
        </r>
        <r>
          <rPr>
            <sz val="12"/>
            <rFont val="宋体"/>
            <charset val="134"/>
          </rPr>
          <t xml:space="preserve">
3001388 7/18 24pcs 华兴一A5</t>
        </r>
      </text>
    </comment>
    <comment ref="AF157" authorId="0">
      <text>
        <r>
          <rPr>
            <b/>
            <sz val="12"/>
            <rFont val="宋体"/>
            <charset val="134"/>
          </rPr>
          <t>Administrator:</t>
        </r>
        <r>
          <rPr>
            <sz val="12"/>
            <rFont val="宋体"/>
            <charset val="134"/>
          </rPr>
          <t xml:space="preserve">
7/10 上客供防伪贴纸 24pcs
7/11 上客供亚马逊外箱贴纸 1pcs
</t>
        </r>
      </text>
    </comment>
    <comment ref="AD158" authorId="0">
      <text>
        <r>
          <rPr>
            <b/>
            <sz val="12"/>
            <rFont val="宋体"/>
            <charset val="134"/>
          </rPr>
          <t>Administrator:</t>
        </r>
        <r>
          <rPr>
            <sz val="12"/>
            <rFont val="宋体"/>
            <charset val="134"/>
          </rPr>
          <t xml:space="preserve">
3001388 7/18 24pcs 华兴一A5</t>
        </r>
      </text>
    </comment>
    <comment ref="AF158" authorId="0">
      <text>
        <r>
          <rPr>
            <b/>
            <sz val="12"/>
            <rFont val="宋体"/>
            <charset val="134"/>
          </rPr>
          <t>Administrator:</t>
        </r>
        <r>
          <rPr>
            <sz val="12"/>
            <rFont val="宋体"/>
            <charset val="134"/>
          </rPr>
          <t xml:space="preserve">
7/10 上客供防伪贴纸 24pcs
7/11 上客供亚马逊外箱贴纸 1pcs
</t>
        </r>
      </text>
    </comment>
    <comment ref="AD159" authorId="0">
      <text>
        <r>
          <rPr>
            <b/>
            <sz val="12"/>
            <rFont val="宋体"/>
            <charset val="134"/>
          </rPr>
          <t>Administrator:</t>
        </r>
        <r>
          <rPr>
            <sz val="12"/>
            <rFont val="宋体"/>
            <charset val="134"/>
          </rPr>
          <t xml:space="preserve">
3001388 7/18 24pcs 华兴一A5</t>
        </r>
      </text>
    </comment>
    <comment ref="AF159" authorId="0">
      <text>
        <r>
          <rPr>
            <b/>
            <sz val="12"/>
            <rFont val="宋体"/>
            <charset val="134"/>
          </rPr>
          <t>Administrator:</t>
        </r>
        <r>
          <rPr>
            <sz val="12"/>
            <rFont val="宋体"/>
            <charset val="134"/>
          </rPr>
          <t xml:space="preserve">
7/10 上客供防伪贴纸 24pcs
7/11 上客供亚马逊外箱贴纸 1pcs
</t>
        </r>
      </text>
    </comment>
    <comment ref="AD160" authorId="0">
      <text>
        <r>
          <rPr>
            <b/>
            <sz val="12"/>
            <rFont val="宋体"/>
            <charset val="134"/>
          </rPr>
          <t>Administrator:</t>
        </r>
        <r>
          <rPr>
            <sz val="12"/>
            <rFont val="宋体"/>
            <charset val="134"/>
          </rPr>
          <t xml:space="preserve">
3001388 7/18 24pcs 华兴一A5</t>
        </r>
      </text>
    </comment>
    <comment ref="AF160" authorId="0">
      <text>
        <r>
          <rPr>
            <b/>
            <sz val="12"/>
            <rFont val="宋体"/>
            <charset val="134"/>
          </rPr>
          <t>Administrator:</t>
        </r>
        <r>
          <rPr>
            <sz val="12"/>
            <rFont val="宋体"/>
            <charset val="134"/>
          </rPr>
          <t xml:space="preserve">
7/10 上客供防伪贴纸 24pcs
7/11 上客供亚马逊外箱贴纸 1pcs
</t>
        </r>
      </text>
    </comment>
    <comment ref="AD161" authorId="0">
      <text>
        <r>
          <rPr>
            <b/>
            <sz val="12"/>
            <rFont val="宋体"/>
            <charset val="134"/>
          </rPr>
          <t>Administrator:</t>
        </r>
        <r>
          <rPr>
            <sz val="12"/>
            <rFont val="宋体"/>
            <charset val="134"/>
          </rPr>
          <t xml:space="preserve">
3001388 7/18 24pcs 华兴一A5</t>
        </r>
      </text>
    </comment>
    <comment ref="AF161" authorId="0">
      <text>
        <r>
          <rPr>
            <b/>
            <sz val="12"/>
            <rFont val="宋体"/>
            <charset val="134"/>
          </rPr>
          <t>Administrator:</t>
        </r>
        <r>
          <rPr>
            <sz val="12"/>
            <rFont val="宋体"/>
            <charset val="134"/>
          </rPr>
          <t xml:space="preserve">
7/10 上客供防伪贴纸 24pcs
7/11 上客供亚马逊外箱贴纸 1pcs
</t>
        </r>
      </text>
    </comment>
    <comment ref="AD162" authorId="0">
      <text>
        <r>
          <rPr>
            <b/>
            <sz val="12"/>
            <rFont val="宋体"/>
            <charset val="134"/>
          </rPr>
          <t>Administrator:</t>
        </r>
        <r>
          <rPr>
            <sz val="12"/>
            <rFont val="宋体"/>
            <charset val="134"/>
          </rPr>
          <t xml:space="preserve">
3001389 7/18 24pcs 华兴一A5</t>
        </r>
      </text>
    </comment>
    <comment ref="AF162" authorId="0">
      <text>
        <r>
          <rPr>
            <b/>
            <sz val="12"/>
            <rFont val="宋体"/>
            <charset val="134"/>
          </rPr>
          <t>Administrator:</t>
        </r>
        <r>
          <rPr>
            <sz val="12"/>
            <rFont val="宋体"/>
            <charset val="134"/>
          </rPr>
          <t xml:space="preserve">
7/10 上客供防伪贴纸 24pcs
7/11 上客供亚马逊外箱贴纸 1pcs
</t>
        </r>
      </text>
    </comment>
    <comment ref="AD163" authorId="0">
      <text>
        <r>
          <rPr>
            <b/>
            <sz val="12"/>
            <rFont val="宋体"/>
            <charset val="134"/>
          </rPr>
          <t>Administrator:</t>
        </r>
        <r>
          <rPr>
            <sz val="12"/>
            <rFont val="宋体"/>
            <charset val="134"/>
          </rPr>
          <t xml:space="preserve">
3001389 7/18 24pcs 华兴一A5</t>
        </r>
      </text>
    </comment>
    <comment ref="AF163" authorId="0">
      <text>
        <r>
          <rPr>
            <b/>
            <sz val="12"/>
            <rFont val="宋体"/>
            <charset val="134"/>
          </rPr>
          <t>Administrator:</t>
        </r>
        <r>
          <rPr>
            <sz val="12"/>
            <rFont val="宋体"/>
            <charset val="134"/>
          </rPr>
          <t xml:space="preserve">
7/10 上客供防伪贴纸 24pcs
7/11 上客供亚马逊外箱贴纸 1pcs
</t>
        </r>
      </text>
    </comment>
    <comment ref="AD164" authorId="0">
      <text>
        <r>
          <rPr>
            <b/>
            <sz val="12"/>
            <rFont val="宋体"/>
            <charset val="134"/>
          </rPr>
          <t>Administrator:</t>
        </r>
        <r>
          <rPr>
            <sz val="12"/>
            <rFont val="宋体"/>
            <charset val="134"/>
          </rPr>
          <t xml:space="preserve">
3001389 7/18 24pcs 华兴一A5</t>
        </r>
      </text>
    </comment>
    <comment ref="AF164" authorId="0">
      <text>
        <r>
          <rPr>
            <b/>
            <sz val="12"/>
            <rFont val="宋体"/>
            <charset val="134"/>
          </rPr>
          <t>Administrator:</t>
        </r>
        <r>
          <rPr>
            <sz val="12"/>
            <rFont val="宋体"/>
            <charset val="134"/>
          </rPr>
          <t xml:space="preserve">
7/10 上客供防伪贴纸 24pcs
7/11 上客供亚马逊外箱贴纸 1pcs
</t>
        </r>
      </text>
    </comment>
    <comment ref="AD165" authorId="0">
      <text>
        <r>
          <rPr>
            <b/>
            <sz val="12"/>
            <rFont val="宋体"/>
            <charset val="134"/>
          </rPr>
          <t>Administrator:</t>
        </r>
        <r>
          <rPr>
            <sz val="12"/>
            <rFont val="宋体"/>
            <charset val="134"/>
          </rPr>
          <t xml:space="preserve">
3001389 7/18 24pcs 华兴一A5</t>
        </r>
      </text>
    </comment>
    <comment ref="AF165" authorId="0">
      <text>
        <r>
          <rPr>
            <b/>
            <sz val="12"/>
            <rFont val="宋体"/>
            <charset val="134"/>
          </rPr>
          <t>Administrator:</t>
        </r>
        <r>
          <rPr>
            <sz val="12"/>
            <rFont val="宋体"/>
            <charset val="134"/>
          </rPr>
          <t xml:space="preserve">
7/10 上客供防伪贴纸 24pcs
7/11 上客供亚马逊外箱贴纸 1pcs
</t>
        </r>
      </text>
    </comment>
    <comment ref="AD166" authorId="0">
      <text>
        <r>
          <rPr>
            <b/>
            <sz val="12"/>
            <rFont val="宋体"/>
            <charset val="134"/>
          </rPr>
          <t>Administrator:</t>
        </r>
        <r>
          <rPr>
            <sz val="12"/>
            <rFont val="宋体"/>
            <charset val="134"/>
          </rPr>
          <t xml:space="preserve">
3001389 7/18 24pcs 华兴一A5</t>
        </r>
      </text>
    </comment>
    <comment ref="AF166" authorId="0">
      <text>
        <r>
          <rPr>
            <b/>
            <sz val="12"/>
            <rFont val="宋体"/>
            <charset val="134"/>
          </rPr>
          <t>Administrator:</t>
        </r>
        <r>
          <rPr>
            <sz val="12"/>
            <rFont val="宋体"/>
            <charset val="134"/>
          </rPr>
          <t xml:space="preserve">
7/10 上客供防伪贴纸 24pcs
7/11 上客供亚马逊外箱贴纸 1pcs
</t>
        </r>
      </text>
    </comment>
    <comment ref="AD167" authorId="0">
      <text>
        <r>
          <rPr>
            <b/>
            <sz val="12"/>
            <rFont val="宋体"/>
            <charset val="134"/>
          </rPr>
          <t>Administrator:</t>
        </r>
        <r>
          <rPr>
            <sz val="12"/>
            <rFont val="宋体"/>
            <charset val="134"/>
          </rPr>
          <t xml:space="preserve">
3001389 7/18 24pcs 华兴一A5</t>
        </r>
      </text>
    </comment>
    <comment ref="AF167" authorId="0">
      <text>
        <r>
          <rPr>
            <b/>
            <sz val="12"/>
            <rFont val="宋体"/>
            <charset val="134"/>
          </rPr>
          <t>Administrator:</t>
        </r>
        <r>
          <rPr>
            <sz val="12"/>
            <rFont val="宋体"/>
            <charset val="134"/>
          </rPr>
          <t xml:space="preserve">
7/10 上客供防伪贴纸 24pcs
7/11 上客供亚马逊外箱贴纸 1pcs
</t>
        </r>
      </text>
    </comment>
    <comment ref="AD168" authorId="0">
      <text>
        <r>
          <rPr>
            <b/>
            <sz val="12"/>
            <rFont val="宋体"/>
            <charset val="134"/>
          </rPr>
          <t>Administrator:</t>
        </r>
        <r>
          <rPr>
            <sz val="12"/>
            <rFont val="宋体"/>
            <charset val="134"/>
          </rPr>
          <t xml:space="preserve">
3001389 7/18 24pcs 华兴一A5</t>
        </r>
      </text>
    </comment>
    <comment ref="AF168" authorId="0">
      <text>
        <r>
          <rPr>
            <b/>
            <sz val="12"/>
            <rFont val="宋体"/>
            <charset val="134"/>
          </rPr>
          <t>Administrator:</t>
        </r>
        <r>
          <rPr>
            <sz val="12"/>
            <rFont val="宋体"/>
            <charset val="134"/>
          </rPr>
          <t xml:space="preserve">
7/10 上客供防伪贴纸 24pcs
7/11 上客供亚马逊外箱贴纸 1pcs
</t>
        </r>
      </text>
    </comment>
    <comment ref="AD169" authorId="0">
      <text>
        <r>
          <rPr>
            <b/>
            <sz val="12"/>
            <rFont val="宋体"/>
            <charset val="134"/>
          </rPr>
          <t>Administrator:</t>
        </r>
        <r>
          <rPr>
            <sz val="12"/>
            <rFont val="宋体"/>
            <charset val="134"/>
          </rPr>
          <t xml:space="preserve">
3001389 7/18 24pcs 华兴一A5</t>
        </r>
      </text>
    </comment>
    <comment ref="AF169" authorId="0">
      <text>
        <r>
          <rPr>
            <b/>
            <sz val="12"/>
            <rFont val="宋体"/>
            <charset val="134"/>
          </rPr>
          <t>Administrator:</t>
        </r>
        <r>
          <rPr>
            <sz val="12"/>
            <rFont val="宋体"/>
            <charset val="134"/>
          </rPr>
          <t xml:space="preserve">
7/10 上客供防伪贴纸 24pcs
7/11 上客供亚马逊外箱贴纸 1pcs
</t>
        </r>
      </text>
    </comment>
    <comment ref="AD170" authorId="0">
      <text>
        <r>
          <rPr>
            <b/>
            <sz val="12"/>
            <rFont val="宋体"/>
            <charset val="134"/>
          </rPr>
          <t>Administrator:</t>
        </r>
        <r>
          <rPr>
            <sz val="12"/>
            <rFont val="宋体"/>
            <charset val="134"/>
          </rPr>
          <t xml:space="preserve">
3001389 7/18 24pcs 华兴一A5</t>
        </r>
      </text>
    </comment>
    <comment ref="AF170" authorId="0">
      <text>
        <r>
          <rPr>
            <b/>
            <sz val="12"/>
            <rFont val="宋体"/>
            <charset val="134"/>
          </rPr>
          <t>Administrator:</t>
        </r>
        <r>
          <rPr>
            <sz val="12"/>
            <rFont val="宋体"/>
            <charset val="134"/>
          </rPr>
          <t xml:space="preserve">
7/10 上客供防伪贴纸 24pcs
7/11 上客供亚马逊外箱贴纸 1pcs
</t>
        </r>
      </text>
    </comment>
    <comment ref="AD171" authorId="0">
      <text>
        <r>
          <rPr>
            <b/>
            <sz val="12"/>
            <rFont val="宋体"/>
            <charset val="134"/>
          </rPr>
          <t>Administrator:</t>
        </r>
        <r>
          <rPr>
            <sz val="12"/>
            <rFont val="宋体"/>
            <charset val="134"/>
          </rPr>
          <t xml:space="preserve">
3002637 7/18 372pcs 华兴一A5</t>
        </r>
      </text>
    </comment>
    <comment ref="AF171" authorId="0">
      <text>
        <r>
          <rPr>
            <b/>
            <sz val="12"/>
            <rFont val="宋体"/>
            <charset val="134"/>
          </rPr>
          <t>Administrator:</t>
        </r>
        <r>
          <rPr>
            <sz val="12"/>
            <rFont val="宋体"/>
            <charset val="134"/>
          </rPr>
          <t xml:space="preserve">
6/26 上进口商贴纸 372pcs</t>
        </r>
      </text>
    </comment>
    <comment ref="AD172" authorId="0">
      <text>
        <r>
          <rPr>
            <b/>
            <sz val="12"/>
            <rFont val="宋体"/>
            <charset val="134"/>
          </rPr>
          <t>Administrator:</t>
        </r>
        <r>
          <rPr>
            <sz val="12"/>
            <rFont val="宋体"/>
            <charset val="134"/>
          </rPr>
          <t xml:space="preserve">
3001388 7/18 24pcs 华兴一A5</t>
        </r>
      </text>
    </comment>
    <comment ref="AF172" authorId="0">
      <text>
        <r>
          <rPr>
            <b/>
            <sz val="12"/>
            <rFont val="宋体"/>
            <charset val="134"/>
          </rPr>
          <t>Administrator:</t>
        </r>
        <r>
          <rPr>
            <sz val="12"/>
            <rFont val="宋体"/>
            <charset val="134"/>
          </rPr>
          <t xml:space="preserve">
7/10 上客供防伪贴纸 24pcs
7/11 上客供亚马逊外箱贴纸 1pcs</t>
        </r>
      </text>
    </comment>
    <comment ref="AD173" authorId="0">
      <text>
        <r>
          <rPr>
            <b/>
            <sz val="12"/>
            <rFont val="宋体"/>
            <charset val="134"/>
          </rPr>
          <t>Administrator:</t>
        </r>
        <r>
          <rPr>
            <sz val="12"/>
            <rFont val="宋体"/>
            <charset val="134"/>
          </rPr>
          <t xml:space="preserve">
3001388 7/18 24pcs 华兴一A5</t>
        </r>
      </text>
    </comment>
    <comment ref="AF173" authorId="0">
      <text>
        <r>
          <rPr>
            <b/>
            <sz val="12"/>
            <rFont val="宋体"/>
            <charset val="134"/>
          </rPr>
          <t>Administrator:</t>
        </r>
        <r>
          <rPr>
            <sz val="12"/>
            <rFont val="宋体"/>
            <charset val="134"/>
          </rPr>
          <t xml:space="preserve">
7/10 上客供防伪贴纸 24pcs
7/11 上客供亚马逊外箱贴纸 1pcs</t>
        </r>
      </text>
    </comment>
    <comment ref="AD174" authorId="0">
      <text>
        <r>
          <rPr>
            <b/>
            <sz val="12"/>
            <rFont val="宋体"/>
            <charset val="134"/>
          </rPr>
          <t>Administrator:</t>
        </r>
        <r>
          <rPr>
            <sz val="12"/>
            <rFont val="宋体"/>
            <charset val="134"/>
          </rPr>
          <t xml:space="preserve">
3001388 7/18 24pcs 华兴一A5</t>
        </r>
      </text>
    </comment>
    <comment ref="AF174" authorId="0">
      <text>
        <r>
          <rPr>
            <b/>
            <sz val="12"/>
            <rFont val="宋体"/>
            <charset val="134"/>
          </rPr>
          <t>Administrator:</t>
        </r>
        <r>
          <rPr>
            <sz val="12"/>
            <rFont val="宋体"/>
            <charset val="134"/>
          </rPr>
          <t xml:space="preserve">
7/10 上客供防伪贴纸 24pcs
7/11 上客供亚马逊外箱贴纸 1pcs</t>
        </r>
      </text>
    </comment>
    <comment ref="AD175" authorId="0">
      <text>
        <r>
          <rPr>
            <b/>
            <sz val="12"/>
            <rFont val="宋体"/>
            <charset val="134"/>
          </rPr>
          <t>Administrator:</t>
        </r>
        <r>
          <rPr>
            <sz val="12"/>
            <rFont val="宋体"/>
            <charset val="134"/>
          </rPr>
          <t xml:space="preserve">
3001388 7/18 24pcs 华兴一A5</t>
        </r>
      </text>
    </comment>
    <comment ref="AF175" authorId="0">
      <text>
        <r>
          <rPr>
            <b/>
            <sz val="12"/>
            <rFont val="宋体"/>
            <charset val="134"/>
          </rPr>
          <t>Administrator:</t>
        </r>
        <r>
          <rPr>
            <sz val="12"/>
            <rFont val="宋体"/>
            <charset val="134"/>
          </rPr>
          <t xml:space="preserve">
7/10 上客供防伪贴纸 24pcs
7/11 上客供亚马逊外箱贴纸 1pcs</t>
        </r>
      </text>
    </comment>
    <comment ref="AD176" authorId="0">
      <text>
        <r>
          <rPr>
            <b/>
            <sz val="12"/>
            <rFont val="宋体"/>
            <charset val="134"/>
          </rPr>
          <t>Administrator:</t>
        </r>
        <r>
          <rPr>
            <sz val="12"/>
            <rFont val="宋体"/>
            <charset val="134"/>
          </rPr>
          <t xml:space="preserve">
3002480 7/26 1500pcs</t>
        </r>
      </text>
    </comment>
    <comment ref="AF176" authorId="0">
      <text>
        <r>
          <rPr>
            <b/>
            <sz val="12"/>
            <rFont val="宋体"/>
            <charset val="134"/>
          </rPr>
          <t>Administrator:</t>
        </r>
        <r>
          <rPr>
            <sz val="12"/>
            <rFont val="宋体"/>
            <charset val="134"/>
          </rPr>
          <t xml:space="preserve">
6/20 上德语callout贴纸 6216pcs
     上UPC条码贴纸 2004pcs
166942/167625共用</t>
        </r>
      </text>
    </comment>
    <comment ref="AD177" authorId="0">
      <text>
        <r>
          <rPr>
            <b/>
            <sz val="12"/>
            <rFont val="宋体"/>
            <charset val="134"/>
          </rPr>
          <t>Administrator:</t>
        </r>
        <r>
          <rPr>
            <sz val="12"/>
            <rFont val="宋体"/>
            <charset val="134"/>
          </rPr>
          <t xml:space="preserve">
3002118 7/26 480pcs
3002460 7/26 720pcs</t>
        </r>
      </text>
    </comment>
    <comment ref="AF177" authorId="0">
      <text>
        <r>
          <rPr>
            <b/>
            <sz val="12"/>
            <rFont val="宋体"/>
            <charset val="134"/>
          </rPr>
          <t>Administrator:</t>
        </r>
        <r>
          <rPr>
            <sz val="12"/>
            <rFont val="宋体"/>
            <charset val="134"/>
          </rPr>
          <t xml:space="preserve">
6/20 上德语callout贴纸 6216pcs
166942/167625共用</t>
        </r>
      </text>
    </comment>
    <comment ref="AD178" authorId="0">
      <text>
        <r>
          <rPr>
            <b/>
            <sz val="12"/>
            <rFont val="宋体"/>
            <charset val="134"/>
          </rPr>
          <t>Administrator:</t>
        </r>
        <r>
          <rPr>
            <sz val="12"/>
            <rFont val="宋体"/>
            <charset val="134"/>
          </rPr>
          <t xml:space="preserve">
3002480 7/26 1500pcs</t>
        </r>
      </text>
    </comment>
    <comment ref="AF178" authorId="0">
      <text>
        <r>
          <rPr>
            <b/>
            <sz val="9"/>
            <rFont val="宋体"/>
            <charset val="134"/>
          </rPr>
          <t>Administrator:</t>
        </r>
        <r>
          <rPr>
            <sz val="9"/>
            <rFont val="宋体"/>
            <charset val="134"/>
          </rPr>
          <t xml:space="preserve">
7/9 上KM外箱贴纸 125pcs</t>
        </r>
      </text>
    </comment>
    <comment ref="AD179" authorId="0">
      <text>
        <r>
          <rPr>
            <b/>
            <sz val="12"/>
            <rFont val="宋体"/>
            <charset val="134"/>
          </rPr>
          <t>Administrator:</t>
        </r>
        <r>
          <rPr>
            <sz val="12"/>
            <rFont val="宋体"/>
            <charset val="134"/>
          </rPr>
          <t xml:space="preserve">
3002078 7/30 2400pcs 华兴一F5</t>
        </r>
      </text>
    </comment>
    <comment ref="AF179" authorId="0">
      <text>
        <r>
          <rPr>
            <b/>
            <sz val="12"/>
            <rFont val="宋体"/>
            <charset val="134"/>
          </rPr>
          <t>Administrator:</t>
        </r>
        <r>
          <rPr>
            <sz val="12"/>
            <rFont val="宋体"/>
            <charset val="134"/>
          </rPr>
          <t xml:space="preserve">
7/16 上客供价格贴纸 2520pcs</t>
        </r>
      </text>
    </comment>
    <comment ref="AD180" authorId="0">
      <text>
        <r>
          <rPr>
            <b/>
            <sz val="12"/>
            <rFont val="宋体"/>
            <charset val="134"/>
          </rPr>
          <t>Administrator:</t>
        </r>
        <r>
          <rPr>
            <sz val="12"/>
            <rFont val="宋体"/>
            <charset val="134"/>
          </rPr>
          <t xml:space="preserve">
3002033 7/30 204pcs 华兴一A5</t>
        </r>
      </text>
    </comment>
    <comment ref="AF180" authorId="0">
      <text>
        <r>
          <rPr>
            <b/>
            <sz val="12"/>
            <rFont val="宋体"/>
            <charset val="134"/>
          </rPr>
          <t>Administrator:</t>
        </r>
        <r>
          <rPr>
            <sz val="12"/>
            <rFont val="宋体"/>
            <charset val="134"/>
          </rPr>
          <t xml:space="preserve">
7/16 上KM外箱贴纸 17pcs</t>
        </r>
      </text>
    </comment>
    <comment ref="AD181" authorId="0">
      <text>
        <r>
          <rPr>
            <b/>
            <sz val="12"/>
            <rFont val="宋体"/>
            <charset val="134"/>
          </rPr>
          <t>Administrator:</t>
        </r>
        <r>
          <rPr>
            <sz val="12"/>
            <rFont val="宋体"/>
            <charset val="134"/>
          </rPr>
          <t xml:space="preserve">
3002033 7/30 396pcs 华兴一A5
3002037 7/31 900pcs 华兴一A5
</t>
        </r>
      </text>
    </comment>
    <comment ref="AF181" authorId="0">
      <text>
        <r>
          <rPr>
            <b/>
            <sz val="12"/>
            <rFont val="宋体"/>
            <charset val="134"/>
          </rPr>
          <t>Administrator:</t>
        </r>
        <r>
          <rPr>
            <sz val="12"/>
            <rFont val="宋体"/>
            <charset val="134"/>
          </rPr>
          <t xml:space="preserve">
7/16 上KM外箱贴纸 108pcs</t>
        </r>
      </text>
    </comment>
    <comment ref="AD182" authorId="0">
      <text>
        <r>
          <rPr>
            <b/>
            <sz val="12"/>
            <rFont val="宋体"/>
            <charset val="134"/>
          </rPr>
          <t>Administrator:</t>
        </r>
        <r>
          <rPr>
            <sz val="12"/>
            <rFont val="宋体"/>
            <charset val="134"/>
          </rPr>
          <t xml:space="preserve">
3002137 8/2 2508pcs 华兴一A5</t>
        </r>
      </text>
    </comment>
    <comment ref="AF182" authorId="0">
      <text>
        <r>
          <rPr>
            <b/>
            <sz val="12"/>
            <rFont val="宋体"/>
            <charset val="134"/>
          </rPr>
          <t>Administrator:</t>
        </r>
        <r>
          <rPr>
            <sz val="12"/>
            <rFont val="宋体"/>
            <charset val="134"/>
          </rPr>
          <t xml:space="preserve">
6/20 上德语callout贴纸 6216pcs
     上UPC条码贴纸 3012pcs
166942/167625共用</t>
        </r>
      </text>
    </comment>
    <comment ref="AD183" authorId="0">
      <text>
        <r>
          <rPr>
            <b/>
            <sz val="12"/>
            <rFont val="宋体"/>
            <charset val="134"/>
          </rPr>
          <t>Administrator:</t>
        </r>
        <r>
          <rPr>
            <sz val="12"/>
            <rFont val="宋体"/>
            <charset val="134"/>
          </rPr>
          <t xml:space="preserve">
3002378 8/5 1176pcs 华兴一A5
3002347 8/6   24pcs 华兴一F5</t>
        </r>
      </text>
    </comment>
    <comment ref="AF183" authorId="0">
      <text>
        <r>
          <rPr>
            <b/>
            <sz val="12"/>
            <rFont val="宋体"/>
            <charset val="134"/>
          </rPr>
          <t>Administrator:</t>
        </r>
        <r>
          <rPr>
            <sz val="12"/>
            <rFont val="宋体"/>
            <charset val="134"/>
          </rPr>
          <t xml:space="preserve">
7/21 上德语callout贴纸 5004pcs
     上WEEE带电池走货欧洲 5004pcs</t>
        </r>
      </text>
    </comment>
    <comment ref="AD184" authorId="0">
      <text>
        <r>
          <rPr>
            <b/>
            <sz val="12"/>
            <rFont val="宋体"/>
            <charset val="134"/>
          </rPr>
          <t>Administrator:</t>
        </r>
        <r>
          <rPr>
            <sz val="12"/>
            <rFont val="宋体"/>
            <charset val="134"/>
          </rPr>
          <t xml:space="preserve">
3002378 8/5 2004pcs 华兴一A5</t>
        </r>
      </text>
    </comment>
    <comment ref="AF184" authorId="0">
      <text>
        <r>
          <rPr>
            <b/>
            <sz val="12"/>
            <rFont val="宋体"/>
            <charset val="134"/>
          </rPr>
          <t>Administrator:</t>
        </r>
        <r>
          <rPr>
            <sz val="12"/>
            <rFont val="宋体"/>
            <charset val="134"/>
          </rPr>
          <t xml:space="preserve">
7/21 上德语callout贴纸 5004pcs
     上WEEE带电池走货欧洲 5004pcs
     上UPC条码贴纸 2004pcs</t>
        </r>
      </text>
    </comment>
    <comment ref="AD185" authorId="0">
      <text>
        <r>
          <rPr>
            <b/>
            <sz val="12"/>
            <rFont val="宋体"/>
            <charset val="134"/>
          </rPr>
          <t>Administrator:</t>
        </r>
        <r>
          <rPr>
            <sz val="12"/>
            <rFont val="宋体"/>
            <charset val="134"/>
          </rPr>
          <t xml:space="preserve">
3002378 8/5 1800pcs 华兴一A5</t>
        </r>
      </text>
    </comment>
    <comment ref="AF185" authorId="0">
      <text>
        <r>
          <rPr>
            <b/>
            <sz val="12"/>
            <rFont val="宋体"/>
            <charset val="134"/>
          </rPr>
          <t>Administrator:</t>
        </r>
        <r>
          <rPr>
            <sz val="12"/>
            <rFont val="宋体"/>
            <charset val="134"/>
          </rPr>
          <t xml:space="preserve">
7/21 上德语callout贴纸 5004pcs
     上WEEE带电池走货欧洲 5004pcs
     上UPC条码贴纸 1800pcs</t>
        </r>
      </text>
    </comment>
    <comment ref="AD186" authorId="0">
      <text>
        <r>
          <rPr>
            <b/>
            <sz val="12"/>
            <rFont val="宋体"/>
            <charset val="134"/>
          </rPr>
          <t>Administrator:</t>
        </r>
        <r>
          <rPr>
            <sz val="12"/>
            <rFont val="宋体"/>
            <charset val="134"/>
          </rPr>
          <t xml:space="preserve">
3002357 8/6 1890pcs 华兴一A5</t>
        </r>
      </text>
    </comment>
    <comment ref="AF186" authorId="0">
      <text>
        <r>
          <rPr>
            <b/>
            <sz val="12"/>
            <rFont val="宋体"/>
            <charset val="134"/>
          </rPr>
          <t>Administrator:</t>
        </r>
        <r>
          <rPr>
            <sz val="12"/>
            <rFont val="宋体"/>
            <charset val="134"/>
          </rPr>
          <t xml:space="preserve">
6/18 上大白方防盗贴纸 1890pcs
6/26 上WEEE带电池走货欧洲30语B版本通用黑白说明书 5046pcs
159839/160598共用
</t>
        </r>
      </text>
    </comment>
    <comment ref="AD187" authorId="0">
      <text>
        <r>
          <rPr>
            <b/>
            <sz val="12"/>
            <rFont val="宋体"/>
            <charset val="134"/>
          </rPr>
          <t>Administrator:</t>
        </r>
        <r>
          <rPr>
            <sz val="12"/>
            <rFont val="宋体"/>
            <charset val="134"/>
          </rPr>
          <t xml:space="preserve">
4000296 8/9 1188pcs 华兴一A5</t>
        </r>
      </text>
    </comment>
    <comment ref="AF187" authorId="0">
      <text>
        <r>
          <rPr>
            <b/>
            <sz val="12"/>
            <rFont val="宋体"/>
            <charset val="134"/>
          </rPr>
          <t>Administrator:</t>
        </r>
        <r>
          <rPr>
            <sz val="12"/>
            <rFont val="宋体"/>
            <charset val="134"/>
          </rPr>
          <t xml:space="preserve">
7/25 上KM外箱贴纸 99pcs</t>
        </r>
      </text>
    </comment>
    <comment ref="AD188" authorId="0">
      <text>
        <r>
          <rPr>
            <b/>
            <sz val="12"/>
            <rFont val="宋体"/>
            <charset val="134"/>
          </rPr>
          <t>Administrator:</t>
        </r>
        <r>
          <rPr>
            <sz val="12"/>
            <rFont val="宋体"/>
            <charset val="134"/>
          </rPr>
          <t xml:space="preserve">
4000296 8/9 312pcs 华兴一A5</t>
        </r>
      </text>
    </comment>
    <comment ref="AF188" authorId="0">
      <text>
        <r>
          <rPr>
            <b/>
            <sz val="12"/>
            <rFont val="宋体"/>
            <charset val="134"/>
          </rPr>
          <t>Administrator:</t>
        </r>
        <r>
          <rPr>
            <sz val="12"/>
            <rFont val="宋体"/>
            <charset val="134"/>
          </rPr>
          <t xml:space="preserve">
7/25 上KM外箱贴纸 26pcs</t>
        </r>
      </text>
    </comment>
    <comment ref="AD189" authorId="0">
      <text>
        <r>
          <rPr>
            <b/>
            <sz val="12"/>
            <rFont val="宋体"/>
            <charset val="134"/>
          </rPr>
          <t>Administrator:</t>
        </r>
        <r>
          <rPr>
            <sz val="12"/>
            <rFont val="宋体"/>
            <charset val="134"/>
          </rPr>
          <t xml:space="preserve">
400325 8/12 600pcs 新仓库一B5</t>
        </r>
      </text>
    </comment>
    <comment ref="AD190" authorId="0">
      <text>
        <r>
          <rPr>
            <b/>
            <sz val="12"/>
            <rFont val="宋体"/>
            <charset val="134"/>
          </rPr>
          <t>Administrator:</t>
        </r>
        <r>
          <rPr>
            <sz val="12"/>
            <rFont val="宋体"/>
            <charset val="134"/>
          </rPr>
          <t xml:space="preserve">
4000522 8/14 5040pcs 华兴一A5</t>
        </r>
      </text>
    </comment>
    <comment ref="AF190" authorId="0">
      <text>
        <r>
          <rPr>
            <b/>
            <sz val="12"/>
            <rFont val="宋体"/>
            <charset val="134"/>
          </rPr>
          <t>Administrator:</t>
        </r>
        <r>
          <rPr>
            <sz val="12"/>
            <rFont val="宋体"/>
            <charset val="134"/>
          </rPr>
          <t xml:space="preserve">
8/7 上客供价格贴纸 5292pcs</t>
        </r>
      </text>
    </comment>
    <comment ref="AD191" authorId="0">
      <text>
        <r>
          <rPr>
            <b/>
            <sz val="12"/>
            <rFont val="宋体"/>
            <charset val="134"/>
          </rPr>
          <t>Administrator:</t>
        </r>
        <r>
          <rPr>
            <sz val="12"/>
            <rFont val="宋体"/>
            <charset val="134"/>
          </rPr>
          <t xml:space="preserve">
4000615 8/19 480pcs 莫海军B4楼B8区</t>
        </r>
      </text>
    </comment>
    <comment ref="AF191" authorId="0">
      <text>
        <r>
          <rPr>
            <b/>
            <sz val="12"/>
            <rFont val="宋体"/>
            <charset val="134"/>
          </rPr>
          <t>Administrator:</t>
        </r>
        <r>
          <rPr>
            <sz val="12"/>
            <rFont val="宋体"/>
            <charset val="134"/>
          </rPr>
          <t xml:space="preserve">
7/24 上环保标/邮箱地址 480pcs
 7/31  上亚马逊外箱贴纸 20pcs</t>
        </r>
      </text>
    </comment>
    <comment ref="AD192" authorId="0">
      <text>
        <r>
          <rPr>
            <b/>
            <sz val="12"/>
            <rFont val="宋体"/>
            <charset val="134"/>
          </rPr>
          <t>Administrator:</t>
        </r>
        <r>
          <rPr>
            <sz val="12"/>
            <rFont val="宋体"/>
            <charset val="134"/>
          </rPr>
          <t xml:space="preserve">
4000615 8/19 1200pcs 莫海军B4楼A4区</t>
        </r>
      </text>
    </comment>
    <comment ref="AF192" authorId="0">
      <text>
        <r>
          <rPr>
            <b/>
            <sz val="12"/>
            <rFont val="宋体"/>
            <charset val="134"/>
          </rPr>
          <t>Administrator:</t>
        </r>
        <r>
          <rPr>
            <sz val="12"/>
            <rFont val="宋体"/>
            <charset val="134"/>
          </rPr>
          <t xml:space="preserve">
8/2 上客供价格贴纸 1260pcs</t>
        </r>
      </text>
    </comment>
    <comment ref="AD193" authorId="0">
      <text>
        <r>
          <rPr>
            <b/>
            <sz val="12"/>
            <rFont val="宋体"/>
            <charset val="134"/>
          </rPr>
          <t>Administrator:</t>
        </r>
        <r>
          <rPr>
            <sz val="12"/>
            <rFont val="宋体"/>
            <charset val="134"/>
          </rPr>
          <t xml:space="preserve">
4000632 8/21 2472pcs 新仓库一A3</t>
        </r>
      </text>
    </comment>
    <comment ref="AF193" authorId="0">
      <text>
        <r>
          <rPr>
            <b/>
            <sz val="9"/>
            <rFont val="宋体"/>
            <charset val="134"/>
          </rPr>
          <t>Administrator:</t>
        </r>
        <r>
          <rPr>
            <sz val="9"/>
            <rFont val="宋体"/>
            <charset val="134"/>
          </rPr>
          <t xml:space="preserve">
8/14 上客供价格贴纸 2596pcs</t>
        </r>
      </text>
    </comment>
    <comment ref="AD194" authorId="0">
      <text>
        <r>
          <rPr>
            <b/>
            <sz val="12"/>
            <rFont val="宋体"/>
            <charset val="134"/>
          </rPr>
          <t>Administrator:</t>
        </r>
        <r>
          <rPr>
            <sz val="12"/>
            <rFont val="宋体"/>
            <charset val="134"/>
          </rPr>
          <t xml:space="preserve">
4000190 8/23 504pcs 华兴一A5</t>
        </r>
      </text>
    </comment>
    <comment ref="AF194" authorId="0">
      <text>
        <r>
          <rPr>
            <b/>
            <sz val="12"/>
            <rFont val="宋体"/>
            <charset val="134"/>
          </rPr>
          <t>Administrator:</t>
        </r>
        <r>
          <rPr>
            <sz val="12"/>
            <rFont val="宋体"/>
            <charset val="134"/>
          </rPr>
          <t xml:space="preserve">
7/29 上WEEE声明通用30L说明书 1812pcs
     上UPC贴纸 504pcs
     上德语callout贴纸 1812pcs</t>
        </r>
      </text>
    </comment>
    <comment ref="AD195" authorId="0">
      <text>
        <r>
          <rPr>
            <b/>
            <sz val="12"/>
            <rFont val="宋体"/>
            <charset val="134"/>
          </rPr>
          <t>Administrator:</t>
        </r>
        <r>
          <rPr>
            <sz val="12"/>
            <rFont val="宋体"/>
            <charset val="134"/>
          </rPr>
          <t xml:space="preserve">
4000190 8/23 600pcs 华兴一A5</t>
        </r>
      </text>
    </comment>
    <comment ref="AF195" authorId="0">
      <text>
        <r>
          <rPr>
            <b/>
            <sz val="12"/>
            <rFont val="宋体"/>
            <charset val="134"/>
          </rPr>
          <t>Administrator:</t>
        </r>
        <r>
          <rPr>
            <sz val="12"/>
            <rFont val="宋体"/>
            <charset val="134"/>
          </rPr>
          <t xml:space="preserve">
7/29 上WEEE声明通用30L说明书 1812pcs
     上UPC贴纸 600pcs
     上德语callout贴纸 1812pcs</t>
        </r>
      </text>
    </comment>
    <comment ref="AD196" authorId="0">
      <text>
        <r>
          <rPr>
            <b/>
            <sz val="12"/>
            <rFont val="宋体"/>
            <charset val="134"/>
          </rPr>
          <t>Administrator:</t>
        </r>
        <r>
          <rPr>
            <sz val="12"/>
            <rFont val="宋体"/>
            <charset val="134"/>
          </rPr>
          <t xml:space="preserve">
4000190 8/26 708pcs 华兴一A5</t>
        </r>
      </text>
    </comment>
    <comment ref="AF196" authorId="0">
      <text>
        <r>
          <rPr>
            <b/>
            <sz val="12"/>
            <rFont val="宋体"/>
            <charset val="134"/>
          </rPr>
          <t>Administrator:</t>
        </r>
        <r>
          <rPr>
            <sz val="12"/>
            <rFont val="宋体"/>
            <charset val="134"/>
          </rPr>
          <t xml:space="preserve">
7/29 上WEEE声明通用30L说明书 1812pcs
     上德语callout贴纸 1812pcs</t>
        </r>
      </text>
    </comment>
    <comment ref="AD197" authorId="0">
      <text>
        <r>
          <rPr>
            <b/>
            <sz val="12"/>
            <rFont val="宋体"/>
            <charset val="134"/>
          </rPr>
          <t>Administrator:</t>
        </r>
        <r>
          <rPr>
            <sz val="12"/>
            <rFont val="宋体"/>
            <charset val="134"/>
          </rPr>
          <t xml:space="preserve">
4000164 8/26 480pcs 华兴一A5</t>
        </r>
      </text>
    </comment>
    <comment ref="AF197" authorId="0">
      <text>
        <r>
          <rPr>
            <b/>
            <sz val="12"/>
            <rFont val="宋体"/>
            <charset val="134"/>
          </rPr>
          <t>Administrator:</t>
        </r>
        <r>
          <rPr>
            <sz val="12"/>
            <rFont val="宋体"/>
            <charset val="134"/>
          </rPr>
          <t xml:space="preserve">
8/11 上环保标/邮箱贴纸 480pcs</t>
        </r>
      </text>
    </comment>
    <comment ref="AD198" authorId="0">
      <text>
        <r>
          <rPr>
            <b/>
            <sz val="12"/>
            <rFont val="宋体"/>
            <charset val="134"/>
          </rPr>
          <t>Administrator:</t>
        </r>
        <r>
          <rPr>
            <sz val="12"/>
            <rFont val="宋体"/>
            <charset val="134"/>
          </rPr>
          <t xml:space="preserve">
4000164 8/26 108pcs 华兴一A5</t>
        </r>
      </text>
    </comment>
    <comment ref="AF198" authorId="0">
      <text>
        <r>
          <rPr>
            <b/>
            <sz val="9"/>
            <rFont val="宋体"/>
            <charset val="134"/>
          </rPr>
          <t>Administrator:</t>
        </r>
        <r>
          <rPr>
            <sz val="9"/>
            <rFont val="宋体"/>
            <charset val="134"/>
          </rPr>
          <t xml:space="preserve">
8/14 上KM外箱贴纸 9pcs</t>
        </r>
      </text>
    </comment>
    <comment ref="AD199" authorId="0">
      <text>
        <r>
          <rPr>
            <b/>
            <sz val="12"/>
            <rFont val="宋体"/>
            <charset val="134"/>
          </rPr>
          <t>Administrator:</t>
        </r>
        <r>
          <rPr>
            <sz val="12"/>
            <rFont val="宋体"/>
            <charset val="134"/>
          </rPr>
          <t xml:space="preserve">
4000164 8/26 1488pcs 华兴一A5</t>
        </r>
      </text>
    </comment>
    <comment ref="AF199" authorId="0">
      <text>
        <r>
          <rPr>
            <b/>
            <sz val="9"/>
            <rFont val="宋体"/>
            <charset val="134"/>
          </rPr>
          <t>Administrator:</t>
        </r>
        <r>
          <rPr>
            <sz val="9"/>
            <rFont val="宋体"/>
            <charset val="134"/>
          </rPr>
          <t xml:space="preserve">
8/14 上KM外箱贴纸 124pcs</t>
        </r>
      </text>
    </comment>
    <comment ref="AD200" authorId="0">
      <text>
        <r>
          <rPr>
            <b/>
            <sz val="12"/>
            <rFont val="宋体"/>
            <charset val="134"/>
          </rPr>
          <t>Administrator:</t>
        </r>
        <r>
          <rPr>
            <sz val="12"/>
            <rFont val="宋体"/>
            <charset val="134"/>
          </rPr>
          <t xml:space="preserve">
4000164 8/26 480pcs 华兴一A5</t>
        </r>
      </text>
    </comment>
    <comment ref="AF200" authorId="0">
      <text>
        <r>
          <rPr>
            <b/>
            <sz val="12"/>
            <rFont val="宋体"/>
            <charset val="134"/>
          </rPr>
          <t>Administrator:</t>
        </r>
        <r>
          <rPr>
            <sz val="12"/>
            <rFont val="宋体"/>
            <charset val="134"/>
          </rPr>
          <t xml:space="preserve">
8/8 上环保标/UPC/邮箱地址 480pcs</t>
        </r>
      </text>
    </comment>
    <comment ref="AD201" authorId="0">
      <text>
        <r>
          <rPr>
            <b/>
            <sz val="12"/>
            <rFont val="宋体"/>
            <charset val="134"/>
          </rPr>
          <t>Administrator:</t>
        </r>
        <r>
          <rPr>
            <sz val="12"/>
            <rFont val="宋体"/>
            <charset val="134"/>
          </rPr>
          <t xml:space="preserve">
3002582 9/6 960pcs</t>
        </r>
      </text>
    </comment>
    <comment ref="AD202" authorId="0">
      <text>
        <r>
          <rPr>
            <b/>
            <sz val="9"/>
            <rFont val="宋体"/>
            <charset val="134"/>
          </rPr>
          <t>Administrator:</t>
        </r>
        <r>
          <rPr>
            <sz val="9"/>
            <rFont val="宋体"/>
            <charset val="134"/>
          </rPr>
          <t xml:space="preserve">
4000514 9/6 48pcs 华兴一A5</t>
        </r>
      </text>
    </comment>
    <comment ref="AF202" authorId="0">
      <text>
        <r>
          <rPr>
            <b/>
            <sz val="12"/>
            <rFont val="宋体"/>
            <charset val="134"/>
          </rPr>
          <t>Administrator:</t>
        </r>
        <r>
          <rPr>
            <sz val="12"/>
            <rFont val="宋体"/>
            <charset val="134"/>
          </rPr>
          <t xml:space="preserve">
8/11 上UPC贴纸 384pcs
8/18 上客供亚马逊外箱贴纸 2pcs
8/21 上客供防伪贴纸 48pcs</t>
        </r>
      </text>
    </comment>
    <comment ref="AD203" authorId="0">
      <text>
        <r>
          <rPr>
            <b/>
            <sz val="9"/>
            <rFont val="宋体"/>
            <charset val="134"/>
          </rPr>
          <t>Administrator:</t>
        </r>
        <r>
          <rPr>
            <sz val="9"/>
            <rFont val="宋体"/>
            <charset val="134"/>
          </rPr>
          <t xml:space="preserve">
4000514 9/6 120pcs 华兴一A5</t>
        </r>
      </text>
    </comment>
    <comment ref="AF203" authorId="0">
      <text>
        <r>
          <rPr>
            <b/>
            <sz val="12"/>
            <rFont val="宋体"/>
            <charset val="134"/>
          </rPr>
          <t>Administrator:</t>
        </r>
        <r>
          <rPr>
            <sz val="12"/>
            <rFont val="宋体"/>
            <charset val="134"/>
          </rPr>
          <t xml:space="preserve">
8/11 上UPC贴纸 384pcs
8/18 上客供亚马逊外箱贴纸 5pcs
8/21 上客供防伪贴纸 120pcs
</t>
        </r>
      </text>
    </comment>
    <comment ref="AD204" authorId="0">
      <text>
        <r>
          <rPr>
            <b/>
            <sz val="9"/>
            <rFont val="宋体"/>
            <charset val="134"/>
          </rPr>
          <t>Administrator:</t>
        </r>
        <r>
          <rPr>
            <sz val="9"/>
            <rFont val="宋体"/>
            <charset val="134"/>
          </rPr>
          <t xml:space="preserve">
4000514 9/6 24pcs 华兴一A5</t>
        </r>
      </text>
    </comment>
    <comment ref="AF204" authorId="0">
      <text>
        <r>
          <rPr>
            <b/>
            <sz val="12"/>
            <rFont val="宋体"/>
            <charset val="134"/>
          </rPr>
          <t>Administrator:</t>
        </r>
        <r>
          <rPr>
            <sz val="12"/>
            <rFont val="宋体"/>
            <charset val="134"/>
          </rPr>
          <t xml:space="preserve">
8/11 上UPC贴纸 384pcs
8/18 上客供亚马逊外箱贴纸 1pcs
8/21 上客供防伪贴纸 24pcs
</t>
        </r>
      </text>
    </comment>
    <comment ref="AD205" authorId="0">
      <text>
        <r>
          <rPr>
            <b/>
            <sz val="9"/>
            <rFont val="宋体"/>
            <charset val="134"/>
          </rPr>
          <t>Administrator:</t>
        </r>
        <r>
          <rPr>
            <sz val="9"/>
            <rFont val="宋体"/>
            <charset val="134"/>
          </rPr>
          <t xml:space="preserve">
4000514 9/6 48pcs 华兴一A5</t>
        </r>
      </text>
    </comment>
    <comment ref="AF205" authorId="0">
      <text>
        <r>
          <rPr>
            <b/>
            <sz val="12"/>
            <rFont val="宋体"/>
            <charset val="134"/>
          </rPr>
          <t>Administrator:</t>
        </r>
        <r>
          <rPr>
            <sz val="12"/>
            <rFont val="宋体"/>
            <charset val="134"/>
          </rPr>
          <t xml:space="preserve">
8/11 上UPC贴纸 384pcs
8/18 上客供亚马逊外箱贴纸 2pcs
8/21 上客供防伪贴纸 48pcs
</t>
        </r>
      </text>
    </comment>
    <comment ref="AD206" authorId="0">
      <text>
        <r>
          <rPr>
            <b/>
            <sz val="9"/>
            <rFont val="宋体"/>
            <charset val="134"/>
          </rPr>
          <t>Administrator:</t>
        </r>
        <r>
          <rPr>
            <sz val="9"/>
            <rFont val="宋体"/>
            <charset val="134"/>
          </rPr>
          <t xml:space="preserve">
4000514 9/6 72pcs 华兴一A5</t>
        </r>
      </text>
    </comment>
    <comment ref="AF206" authorId="0">
      <text>
        <r>
          <rPr>
            <b/>
            <sz val="12"/>
            <rFont val="宋体"/>
            <charset val="134"/>
          </rPr>
          <t>Administrator:</t>
        </r>
        <r>
          <rPr>
            <sz val="12"/>
            <rFont val="宋体"/>
            <charset val="134"/>
          </rPr>
          <t xml:space="preserve">
8/11 上UPC贴纸 384pcs
8/18 上客供亚马逊外箱贴纸 3pcs
8/21 上客供防伪贴纸 72pcs
</t>
        </r>
      </text>
    </comment>
    <comment ref="AD207" authorId="0">
      <text>
        <r>
          <rPr>
            <b/>
            <sz val="9"/>
            <rFont val="宋体"/>
            <charset val="134"/>
          </rPr>
          <t>Administrator:</t>
        </r>
        <r>
          <rPr>
            <sz val="9"/>
            <rFont val="宋体"/>
            <charset val="134"/>
          </rPr>
          <t xml:space="preserve">
4000514 9/6 72pcs 华兴一A5</t>
        </r>
      </text>
    </comment>
    <comment ref="AF207" authorId="0">
      <text>
        <r>
          <rPr>
            <b/>
            <sz val="12"/>
            <rFont val="宋体"/>
            <charset val="134"/>
          </rPr>
          <t>Administrator:</t>
        </r>
        <r>
          <rPr>
            <sz val="12"/>
            <rFont val="宋体"/>
            <charset val="134"/>
          </rPr>
          <t xml:space="preserve">
8/11 上UPC贴纸 384pcs
8/18 上客供亚马逊外箱贴纸 3pcs
8/21 上客供防伪贴纸 72pcs
</t>
        </r>
      </text>
    </comment>
    <comment ref="AD208" authorId="0">
      <text>
        <r>
          <rPr>
            <b/>
            <sz val="9"/>
            <rFont val="宋体"/>
            <charset val="134"/>
          </rPr>
          <t>Administrator:</t>
        </r>
        <r>
          <rPr>
            <sz val="9"/>
            <rFont val="宋体"/>
            <charset val="134"/>
          </rPr>
          <t xml:space="preserve">
4000514 9/6 24pcs 华兴一A5</t>
        </r>
      </text>
    </comment>
    <comment ref="AF208" authorId="0">
      <text>
        <r>
          <rPr>
            <b/>
            <sz val="12"/>
            <rFont val="宋体"/>
            <charset val="134"/>
          </rPr>
          <t>Administrator:</t>
        </r>
        <r>
          <rPr>
            <sz val="12"/>
            <rFont val="宋体"/>
            <charset val="134"/>
          </rPr>
          <t xml:space="preserve">
8/11 上UPC贴纸 144pcs
8/18 上客供亚马逊外箱贴纸 1pcs
8/21 上客供防伪贴纸 24pcs
</t>
        </r>
      </text>
    </comment>
    <comment ref="AD209" authorId="0">
      <text>
        <r>
          <rPr>
            <b/>
            <sz val="9"/>
            <rFont val="宋体"/>
            <charset val="134"/>
          </rPr>
          <t>Administrator:</t>
        </r>
        <r>
          <rPr>
            <sz val="9"/>
            <rFont val="宋体"/>
            <charset val="134"/>
          </rPr>
          <t xml:space="preserve">
4000514 9/6 48pcs 华兴一A5</t>
        </r>
      </text>
    </comment>
    <comment ref="AF209" authorId="0">
      <text>
        <r>
          <rPr>
            <b/>
            <sz val="12"/>
            <rFont val="宋体"/>
            <charset val="134"/>
          </rPr>
          <t>Administrator:</t>
        </r>
        <r>
          <rPr>
            <sz val="12"/>
            <rFont val="宋体"/>
            <charset val="134"/>
          </rPr>
          <t xml:space="preserve">
8/11 上UPC贴纸 144pcs
8/18 上客供亚马逊外箱贴纸 2pcs
8/21 上客供防伪贴纸 48pcs
</t>
        </r>
      </text>
    </comment>
    <comment ref="AD210" authorId="0">
      <text>
        <r>
          <rPr>
            <b/>
            <sz val="9"/>
            <rFont val="宋体"/>
            <charset val="134"/>
          </rPr>
          <t>Administrator:</t>
        </r>
        <r>
          <rPr>
            <sz val="9"/>
            <rFont val="宋体"/>
            <charset val="134"/>
          </rPr>
          <t xml:space="preserve">
4000514 9/6 24pcs 华兴一A5</t>
        </r>
      </text>
    </comment>
    <comment ref="AF210" authorId="0">
      <text>
        <r>
          <rPr>
            <b/>
            <sz val="12"/>
            <rFont val="宋体"/>
            <charset val="134"/>
          </rPr>
          <t>Administrator:</t>
        </r>
        <r>
          <rPr>
            <sz val="12"/>
            <rFont val="宋体"/>
            <charset val="134"/>
          </rPr>
          <t xml:space="preserve">
8/11 上UPC贴纸 144pcs
8/18 上客供亚马逊外箱贴纸 1pcs
8/21 上客供防伪贴纸 24pcs
</t>
        </r>
      </text>
    </comment>
    <comment ref="AD211" authorId="0">
      <text>
        <r>
          <rPr>
            <b/>
            <sz val="9"/>
            <rFont val="宋体"/>
            <charset val="134"/>
          </rPr>
          <t>Administrator:</t>
        </r>
        <r>
          <rPr>
            <sz val="9"/>
            <rFont val="宋体"/>
            <charset val="134"/>
          </rPr>
          <t xml:space="preserve">
4000514 9/6 48pcs 华兴一A5</t>
        </r>
      </text>
    </comment>
    <comment ref="AF211" authorId="0">
      <text>
        <r>
          <rPr>
            <b/>
            <sz val="12"/>
            <rFont val="宋体"/>
            <charset val="134"/>
          </rPr>
          <t>Administrator:</t>
        </r>
        <r>
          <rPr>
            <sz val="12"/>
            <rFont val="宋体"/>
            <charset val="134"/>
          </rPr>
          <t xml:space="preserve">
8/11 上UPC贴纸 144pcs
8/18 上客供亚马逊外箱贴纸 2pcs
8/21 上客供防伪贴纸 48pcs
</t>
        </r>
      </text>
    </comment>
    <comment ref="AD212" authorId="0">
      <text>
        <r>
          <rPr>
            <b/>
            <sz val="12"/>
            <rFont val="宋体"/>
            <charset val="134"/>
          </rPr>
          <t>Administrator:</t>
        </r>
        <r>
          <rPr>
            <sz val="12"/>
            <rFont val="宋体"/>
            <charset val="134"/>
          </rPr>
          <t xml:space="preserve">
4000482 9/9 2508pcs 华兴一A5</t>
        </r>
      </text>
    </comment>
    <comment ref="AF212" authorId="0">
      <text>
        <r>
          <rPr>
            <b/>
            <sz val="12"/>
            <rFont val="宋体"/>
            <charset val="134"/>
          </rPr>
          <t>Administrator:</t>
        </r>
        <r>
          <rPr>
            <sz val="12"/>
            <rFont val="宋体"/>
            <charset val="134"/>
          </rPr>
          <t xml:space="preserve">
7/30 上WEEE声明通用30LB版本说明书 7020pcs
     上德语callout贴纸 7020pcs
     上UPC贴纸 2508pcs</t>
        </r>
      </text>
    </comment>
    <comment ref="AD213" authorId="0">
      <text>
        <r>
          <rPr>
            <b/>
            <sz val="12"/>
            <rFont val="宋体"/>
            <charset val="134"/>
          </rPr>
          <t>Administrator:</t>
        </r>
        <r>
          <rPr>
            <sz val="12"/>
            <rFont val="宋体"/>
            <charset val="134"/>
          </rPr>
          <t xml:space="preserve">
4000482 9/9 2508pcs 华兴一A5</t>
        </r>
      </text>
    </comment>
    <comment ref="AF213" authorId="0">
      <text>
        <r>
          <rPr>
            <b/>
            <sz val="12"/>
            <rFont val="宋体"/>
            <charset val="134"/>
          </rPr>
          <t>Administrator:</t>
        </r>
        <r>
          <rPr>
            <sz val="12"/>
            <rFont val="宋体"/>
            <charset val="134"/>
          </rPr>
          <t xml:space="preserve">
7/30 上WEEE声明通用30LB版本说明书 7020pcs
     上德语callout贴纸 7020pcs
     上UPC贴纸 2508pcs</t>
        </r>
      </text>
    </comment>
    <comment ref="AD214" authorId="0">
      <text>
        <r>
          <rPr>
            <b/>
            <sz val="12"/>
            <rFont val="宋体"/>
            <charset val="134"/>
          </rPr>
          <t>Administrator:</t>
        </r>
        <r>
          <rPr>
            <sz val="12"/>
            <rFont val="宋体"/>
            <charset val="134"/>
          </rPr>
          <t xml:space="preserve">
4000482 9/9 2004pcs 华兴一A5</t>
        </r>
      </text>
    </comment>
    <comment ref="AF214" authorId="0">
      <text>
        <r>
          <rPr>
            <b/>
            <sz val="12"/>
            <rFont val="宋体"/>
            <charset val="134"/>
          </rPr>
          <t>Administrator:</t>
        </r>
        <r>
          <rPr>
            <sz val="12"/>
            <rFont val="宋体"/>
            <charset val="134"/>
          </rPr>
          <t xml:space="preserve">
7/30 上WEEE声明通用30LB版本说明书 7020pcs
     上德语callout贴纸 7020pcs</t>
        </r>
      </text>
    </comment>
    <comment ref="AD215" authorId="0">
      <text>
        <r>
          <rPr>
            <b/>
            <sz val="12"/>
            <rFont val="宋体"/>
            <charset val="134"/>
          </rPr>
          <t>Administrator:</t>
        </r>
        <r>
          <rPr>
            <sz val="12"/>
            <rFont val="宋体"/>
            <charset val="134"/>
          </rPr>
          <t xml:space="preserve">
4000504 9/9 1920pcs 华兴一A5</t>
        </r>
      </text>
    </comment>
    <comment ref="AD216" authorId="0">
      <text>
        <r>
          <rPr>
            <b/>
            <sz val="12"/>
            <rFont val="宋体"/>
            <charset val="134"/>
          </rPr>
          <t>Administrator:</t>
        </r>
        <r>
          <rPr>
            <sz val="12"/>
            <rFont val="宋体"/>
            <charset val="134"/>
          </rPr>
          <t xml:space="preserve">
4000482 9/9 144pcs 华兴一A5</t>
        </r>
      </text>
    </comment>
    <comment ref="AF216" authorId="0">
      <text>
        <r>
          <rPr>
            <b/>
            <sz val="12"/>
            <rFont val="宋体"/>
            <charset val="134"/>
          </rPr>
          <t>Administrator:</t>
        </r>
        <r>
          <rPr>
            <sz val="12"/>
            <rFont val="宋体"/>
            <charset val="134"/>
          </rPr>
          <t xml:space="preserve">
8/22 上KM外箱贴纸 12pcs</t>
        </r>
      </text>
    </comment>
    <comment ref="AD217" authorId="0">
      <text>
        <r>
          <rPr>
            <b/>
            <sz val="12"/>
            <rFont val="宋体"/>
            <charset val="134"/>
          </rPr>
          <t>Administrator:</t>
        </r>
        <r>
          <rPr>
            <sz val="12"/>
            <rFont val="宋体"/>
            <charset val="134"/>
          </rPr>
          <t xml:space="preserve">
4000482 9/9 240pcs 华兴一A5</t>
        </r>
      </text>
    </comment>
    <comment ref="AF217" authorId="0">
      <text>
        <r>
          <rPr>
            <b/>
            <sz val="12"/>
            <rFont val="宋体"/>
            <charset val="134"/>
          </rPr>
          <t>Administrator:</t>
        </r>
        <r>
          <rPr>
            <sz val="12"/>
            <rFont val="宋体"/>
            <charset val="134"/>
          </rPr>
          <t xml:space="preserve">
8/22 上KM外箱贴纸 20pcs</t>
        </r>
      </text>
    </comment>
    <comment ref="AD218" authorId="0">
      <text>
        <r>
          <rPr>
            <b/>
            <sz val="12"/>
            <rFont val="宋体"/>
            <charset val="134"/>
          </rPr>
          <t>Administrator:</t>
        </r>
        <r>
          <rPr>
            <sz val="12"/>
            <rFont val="宋体"/>
            <charset val="134"/>
          </rPr>
          <t xml:space="preserve">
4000482 9/9 1656pcs 华兴一A5</t>
        </r>
      </text>
    </comment>
    <comment ref="AF218" authorId="0">
      <text>
        <r>
          <rPr>
            <b/>
            <sz val="12"/>
            <rFont val="宋体"/>
            <charset val="134"/>
          </rPr>
          <t>Administrator:</t>
        </r>
        <r>
          <rPr>
            <sz val="12"/>
            <rFont val="宋体"/>
            <charset val="134"/>
          </rPr>
          <t xml:space="preserve">
8/22 上KM外箱贴纸 138pcs</t>
        </r>
      </text>
    </comment>
    <comment ref="AD219" authorId="0">
      <text>
        <r>
          <rPr>
            <b/>
            <sz val="12"/>
            <rFont val="宋体"/>
            <charset val="134"/>
          </rPr>
          <t>Administrator:</t>
        </r>
        <r>
          <rPr>
            <sz val="12"/>
            <rFont val="宋体"/>
            <charset val="134"/>
          </rPr>
          <t xml:space="preserve">
4000482 9/9 1980pcs 华兴一A5</t>
        </r>
      </text>
    </comment>
    <comment ref="AF219" authorId="0">
      <text>
        <r>
          <rPr>
            <b/>
            <sz val="12"/>
            <rFont val="宋体"/>
            <charset val="134"/>
          </rPr>
          <t>Administrator:</t>
        </r>
        <r>
          <rPr>
            <sz val="12"/>
            <rFont val="宋体"/>
            <charset val="134"/>
          </rPr>
          <t xml:space="preserve">
8/22 上KM外箱贴纸 165pcs</t>
        </r>
      </text>
    </comment>
    <comment ref="AD220" authorId="0">
      <text>
        <r>
          <rPr>
            <b/>
            <sz val="12"/>
            <rFont val="宋体"/>
            <charset val="134"/>
          </rPr>
          <t>Administrator:</t>
        </r>
        <r>
          <rPr>
            <sz val="12"/>
            <rFont val="宋体"/>
            <charset val="134"/>
          </rPr>
          <t xml:space="preserve">
5000093 9/15 10800pcs 华兴一A5
5000096 9/16  7200pcs 华兴一A5</t>
        </r>
      </text>
    </comment>
    <comment ref="AF220" authorId="0">
      <text>
        <r>
          <rPr>
            <b/>
            <sz val="12"/>
            <rFont val="宋体"/>
            <charset val="134"/>
          </rPr>
          <t>Administrator:</t>
        </r>
        <r>
          <rPr>
            <sz val="12"/>
            <rFont val="宋体"/>
            <charset val="134"/>
          </rPr>
          <t xml:space="preserve">
8/22 上UCC外箱条码贴纸 1500pcs</t>
        </r>
      </text>
    </comment>
    <comment ref="AD221" authorId="0">
      <text>
        <r>
          <rPr>
            <b/>
            <sz val="12"/>
            <rFont val="宋体"/>
            <charset val="134"/>
          </rPr>
          <t>Administrator:</t>
        </r>
        <r>
          <rPr>
            <sz val="12"/>
            <rFont val="宋体"/>
            <charset val="134"/>
          </rPr>
          <t xml:space="preserve">
5000525 9/17 204pcs 莫海军B4楼B4区</t>
        </r>
      </text>
    </comment>
    <comment ref="AF221" authorId="0">
      <text>
        <r>
          <rPr>
            <b/>
            <sz val="12"/>
            <rFont val="宋体"/>
            <charset val="134"/>
          </rPr>
          <t>Administrator:</t>
        </r>
        <r>
          <rPr>
            <sz val="12"/>
            <rFont val="宋体"/>
            <charset val="134"/>
          </rPr>
          <t xml:space="preserve">
8/29 上KM外箱贴纸 17pcs</t>
        </r>
      </text>
    </comment>
    <comment ref="AD222" authorId="0">
      <text>
        <r>
          <rPr>
            <b/>
            <sz val="12"/>
            <rFont val="宋体"/>
            <charset val="134"/>
          </rPr>
          <t>Administrator:</t>
        </r>
        <r>
          <rPr>
            <sz val="12"/>
            <rFont val="宋体"/>
            <charset val="134"/>
          </rPr>
          <t xml:space="preserve">
5000525 9/17 216pcs 莫海军B4楼A6区</t>
        </r>
      </text>
    </comment>
    <comment ref="AF222" authorId="0">
      <text>
        <r>
          <rPr>
            <b/>
            <sz val="12"/>
            <rFont val="宋体"/>
            <charset val="134"/>
          </rPr>
          <t>Administrator:</t>
        </r>
        <r>
          <rPr>
            <sz val="12"/>
            <rFont val="宋体"/>
            <charset val="134"/>
          </rPr>
          <t xml:space="preserve">
8/29 上KM外箱贴纸 18pcs</t>
        </r>
      </text>
    </comment>
    <comment ref="AD223" authorId="0">
      <text>
        <r>
          <rPr>
            <b/>
            <sz val="12"/>
            <rFont val="宋体"/>
            <charset val="134"/>
          </rPr>
          <t>Administrator:</t>
        </r>
        <r>
          <rPr>
            <sz val="12"/>
            <rFont val="宋体"/>
            <charset val="134"/>
          </rPr>
          <t xml:space="preserve">
5000525 9/17 6000pcs 莫海军B3楼B4区</t>
        </r>
      </text>
    </comment>
    <comment ref="AF223" authorId="0">
      <text>
        <r>
          <rPr>
            <b/>
            <sz val="12"/>
            <rFont val="宋体"/>
            <charset val="134"/>
          </rPr>
          <t>Administrator:</t>
        </r>
        <r>
          <rPr>
            <sz val="12"/>
            <rFont val="宋体"/>
            <charset val="134"/>
          </rPr>
          <t xml:space="preserve">
8/29 上KM外箱贴纸 500pcs</t>
        </r>
      </text>
    </comment>
    <comment ref="AD224" authorId="0">
      <text>
        <r>
          <rPr>
            <b/>
            <sz val="12"/>
            <rFont val="宋体"/>
            <charset val="134"/>
          </rPr>
          <t>Administrator:</t>
        </r>
        <r>
          <rPr>
            <sz val="12"/>
            <rFont val="宋体"/>
            <charset val="134"/>
          </rPr>
          <t xml:space="preserve">
5000525 9/17 6000pcs 莫海军B3楼B4区</t>
        </r>
      </text>
    </comment>
    <comment ref="AF224" authorId="0">
      <text>
        <r>
          <rPr>
            <b/>
            <sz val="12"/>
            <rFont val="宋体"/>
            <charset val="134"/>
          </rPr>
          <t>Administrator:</t>
        </r>
        <r>
          <rPr>
            <sz val="12"/>
            <rFont val="宋体"/>
            <charset val="134"/>
          </rPr>
          <t xml:space="preserve">
8/29 上KM外箱贴纸 500pcs</t>
        </r>
      </text>
    </comment>
    <comment ref="AD225" authorId="0">
      <text>
        <r>
          <rPr>
            <b/>
            <sz val="12"/>
            <rFont val="宋体"/>
            <charset val="134"/>
          </rPr>
          <t>Administrator:</t>
        </r>
        <r>
          <rPr>
            <sz val="12"/>
            <rFont val="宋体"/>
            <charset val="134"/>
          </rPr>
          <t xml:space="preserve">
5000267 9/18 1200pcs</t>
        </r>
      </text>
    </comment>
    <comment ref="AF225" authorId="0">
      <text>
        <r>
          <rPr>
            <b/>
            <sz val="9"/>
            <rFont val="宋体"/>
            <charset val="134"/>
          </rPr>
          <t>Administrator:</t>
        </r>
        <r>
          <rPr>
            <sz val="9"/>
            <rFont val="宋体"/>
            <charset val="134"/>
          </rPr>
          <t xml:space="preserve">
8/14 上客供价格贴纸 1260pcs</t>
        </r>
      </text>
    </comment>
    <comment ref="AD226" authorId="0">
      <text>
        <r>
          <rPr>
            <b/>
            <sz val="12"/>
            <rFont val="宋体"/>
            <charset val="134"/>
          </rPr>
          <t>Administrator:</t>
        </r>
        <r>
          <rPr>
            <sz val="12"/>
            <rFont val="宋体"/>
            <charset val="134"/>
          </rPr>
          <t xml:space="preserve">
5000312 9/20 156pcs 莫海军B4楼B7区
</t>
        </r>
      </text>
    </comment>
    <comment ref="AF226" authorId="0">
      <text>
        <r>
          <rPr>
            <b/>
            <sz val="12"/>
            <rFont val="宋体"/>
            <charset val="134"/>
          </rPr>
          <t>Administrator:</t>
        </r>
        <r>
          <rPr>
            <sz val="12"/>
            <rFont val="宋体"/>
            <charset val="134"/>
          </rPr>
          <t xml:space="preserve">
9/5 上外箱UPC贴纸 26pcs</t>
        </r>
      </text>
    </comment>
    <comment ref="AD227" authorId="0">
      <text>
        <r>
          <rPr>
            <b/>
            <sz val="12"/>
            <rFont val="宋体"/>
            <charset val="134"/>
          </rPr>
          <t>Administrator:</t>
        </r>
        <r>
          <rPr>
            <sz val="12"/>
            <rFont val="宋体"/>
            <charset val="134"/>
          </rPr>
          <t xml:space="preserve">
5000291 9/20 504pcs 莫海军B4楼A5区
</t>
        </r>
      </text>
    </comment>
    <comment ref="AF227" authorId="0">
      <text>
        <r>
          <rPr>
            <b/>
            <sz val="12"/>
            <rFont val="宋体"/>
            <charset val="134"/>
          </rPr>
          <t>Administrator:</t>
        </r>
        <r>
          <rPr>
            <sz val="12"/>
            <rFont val="宋体"/>
            <charset val="134"/>
          </rPr>
          <t xml:space="preserve">
8/27 上B版 WEEE声明带电池走货欧洲30语通用黑白说明书 504pcs</t>
        </r>
      </text>
    </comment>
    <comment ref="AD228" authorId="0">
      <text>
        <r>
          <rPr>
            <b/>
            <sz val="12"/>
            <rFont val="宋体"/>
            <charset val="134"/>
          </rPr>
          <t>Administrator:</t>
        </r>
        <r>
          <rPr>
            <sz val="12"/>
            <rFont val="宋体"/>
            <charset val="134"/>
          </rPr>
          <t xml:space="preserve">
5000359 9/25 5184pcs 莫海军B4楼A1区
5000369 9/26 8220pcs 莫海军B4楼A1区
5000409 9/27   12pcs </t>
        </r>
      </text>
    </comment>
    <comment ref="AF228" authorId="0">
      <text>
        <r>
          <rPr>
            <b/>
            <sz val="9"/>
            <rFont val="宋体"/>
            <charset val="134"/>
          </rPr>
          <t>Administrator:</t>
        </r>
        <r>
          <rPr>
            <sz val="9"/>
            <rFont val="宋体"/>
            <charset val="134"/>
          </rPr>
          <t xml:space="preserve">
8/14 上客供价格贴纸 14087pcs</t>
        </r>
      </text>
    </comment>
    <comment ref="AD229" authorId="0">
      <text>
        <r>
          <rPr>
            <b/>
            <sz val="12"/>
            <rFont val="宋体"/>
            <charset val="134"/>
          </rPr>
          <t>Administrator:</t>
        </r>
        <r>
          <rPr>
            <sz val="12"/>
            <rFont val="宋体"/>
            <charset val="134"/>
          </rPr>
          <t xml:space="preserve">
5000328 9/22 324pcs</t>
        </r>
      </text>
    </comment>
    <comment ref="AD230" authorId="0">
      <text>
        <r>
          <rPr>
            <b/>
            <sz val="12"/>
            <rFont val="宋体"/>
            <charset val="134"/>
          </rPr>
          <t>Administrator:</t>
        </r>
        <r>
          <rPr>
            <sz val="12"/>
            <rFont val="宋体"/>
            <charset val="134"/>
          </rPr>
          <t xml:space="preserve">
5000384 9/26 504pcs 莫海军B4楼B4区</t>
        </r>
      </text>
    </comment>
    <comment ref="AF230" authorId="0">
      <text>
        <r>
          <rPr>
            <b/>
            <sz val="12"/>
            <rFont val="宋体"/>
            <charset val="134"/>
          </rPr>
          <t>Administrator:</t>
        </r>
        <r>
          <rPr>
            <sz val="12"/>
            <rFont val="宋体"/>
            <charset val="134"/>
          </rPr>
          <t xml:space="preserve">
9/9 上德语callout贴纸 1512pcs
    上B版WEEE声明通用30L说明书（带电池）1512pcs
    上UPC条码贴纸 504pcs</t>
        </r>
      </text>
    </comment>
    <comment ref="AD231" authorId="0">
      <text>
        <r>
          <rPr>
            <b/>
            <sz val="12"/>
            <rFont val="宋体"/>
            <charset val="134"/>
          </rPr>
          <t>Administrator:</t>
        </r>
        <r>
          <rPr>
            <sz val="12"/>
            <rFont val="宋体"/>
            <charset val="134"/>
          </rPr>
          <t xml:space="preserve">
5000384 9/26 504pcs 莫海军B4楼C4区</t>
        </r>
      </text>
    </comment>
    <comment ref="AF231" authorId="0">
      <text>
        <r>
          <rPr>
            <b/>
            <sz val="12"/>
            <rFont val="宋体"/>
            <charset val="134"/>
          </rPr>
          <t>Administrator:</t>
        </r>
        <r>
          <rPr>
            <sz val="12"/>
            <rFont val="宋体"/>
            <charset val="134"/>
          </rPr>
          <t xml:space="preserve">
9/9 上德语callout贴纸 1512pcs
    上B版WEEE声明通用30L说明书（带电池）1512pcs
    上UPC条码贴纸 504pcs</t>
        </r>
      </text>
    </comment>
    <comment ref="AD232" authorId="0">
      <text>
        <r>
          <rPr>
            <b/>
            <sz val="12"/>
            <rFont val="宋体"/>
            <charset val="134"/>
          </rPr>
          <t>Administrator:</t>
        </r>
        <r>
          <rPr>
            <sz val="12"/>
            <rFont val="宋体"/>
            <charset val="134"/>
          </rPr>
          <t xml:space="preserve">
5000384 9/26 504pcs 莫海军B4楼C4区</t>
        </r>
      </text>
    </comment>
    <comment ref="AF232" authorId="0">
      <text>
        <r>
          <rPr>
            <b/>
            <sz val="12"/>
            <rFont val="宋体"/>
            <charset val="134"/>
          </rPr>
          <t>Administrator:</t>
        </r>
        <r>
          <rPr>
            <sz val="12"/>
            <rFont val="宋体"/>
            <charset val="134"/>
          </rPr>
          <t xml:space="preserve">
9/9 上德语callout贴纸 1512pcs
    上B版WEEE声明通用30L说明书（带电池）1512pcs
</t>
        </r>
      </text>
    </comment>
    <comment ref="AD233" authorId="0">
      <text>
        <r>
          <rPr>
            <b/>
            <sz val="12"/>
            <rFont val="宋体"/>
            <charset val="134"/>
          </rPr>
          <t>Administrator:</t>
        </r>
        <r>
          <rPr>
            <sz val="12"/>
            <rFont val="宋体"/>
            <charset val="134"/>
          </rPr>
          <t xml:space="preserve">
5000434 9/30 4800pcs B栋四楼B8</t>
        </r>
      </text>
    </comment>
    <comment ref="AF233" authorId="0">
      <text>
        <r>
          <rPr>
            <b/>
            <sz val="12"/>
            <rFont val="宋体"/>
            <charset val="134"/>
          </rPr>
          <t>Administrator:</t>
        </r>
        <r>
          <rPr>
            <sz val="12"/>
            <rFont val="宋体"/>
            <charset val="134"/>
          </rPr>
          <t xml:space="preserve">
9/18 上KM外箱贴纸 400pcs</t>
        </r>
      </text>
    </comment>
    <comment ref="AD234" authorId="0">
      <text>
        <r>
          <rPr>
            <b/>
            <sz val="12"/>
            <rFont val="宋体"/>
            <charset val="134"/>
          </rPr>
          <t>Administrator:</t>
        </r>
        <r>
          <rPr>
            <sz val="12"/>
            <rFont val="宋体"/>
            <charset val="134"/>
          </rPr>
          <t xml:space="preserve">
5000434 9/30 4800pcs B栋四楼A6</t>
        </r>
      </text>
    </comment>
    <comment ref="AF234" authorId="0">
      <text>
        <r>
          <rPr>
            <b/>
            <sz val="12"/>
            <rFont val="宋体"/>
            <charset val="134"/>
          </rPr>
          <t>Administrator:</t>
        </r>
        <r>
          <rPr>
            <sz val="12"/>
            <rFont val="宋体"/>
            <charset val="134"/>
          </rPr>
          <t xml:space="preserve">
9/18 上KM外箱贴纸 29pcs</t>
        </r>
      </text>
    </comment>
    <comment ref="AD235" authorId="0">
      <text>
        <r>
          <rPr>
            <b/>
            <sz val="12"/>
            <rFont val="宋体"/>
            <charset val="134"/>
          </rPr>
          <t>Administrator:</t>
        </r>
        <r>
          <rPr>
            <sz val="12"/>
            <rFont val="宋体"/>
            <charset val="134"/>
          </rPr>
          <t xml:space="preserve">
5000502 10/10 504pcs 华兴一楼5区</t>
        </r>
      </text>
    </comment>
    <comment ref="AF235" authorId="0">
      <text>
        <r>
          <rPr>
            <b/>
            <sz val="12"/>
            <rFont val="宋体"/>
            <charset val="134"/>
          </rPr>
          <t>Administrator:</t>
        </r>
        <r>
          <rPr>
            <sz val="12"/>
            <rFont val="宋体"/>
            <charset val="134"/>
          </rPr>
          <t xml:space="preserve">
9/9 上UPC贴纸 2832pcs
9/18 上客供亚马逊外箱贴纸 21pcs
</t>
        </r>
      </text>
    </comment>
    <comment ref="AD236" authorId="0">
      <text>
        <r>
          <rPr>
            <b/>
            <sz val="12"/>
            <rFont val="宋体"/>
            <charset val="134"/>
          </rPr>
          <t>Administrator:</t>
        </r>
        <r>
          <rPr>
            <sz val="12"/>
            <rFont val="宋体"/>
            <charset val="134"/>
          </rPr>
          <t xml:space="preserve">
5000502 10/10 456pcs 华兴一楼5区</t>
        </r>
      </text>
    </comment>
    <comment ref="AF236" authorId="0">
      <text>
        <r>
          <rPr>
            <b/>
            <sz val="12"/>
            <rFont val="宋体"/>
            <charset val="134"/>
          </rPr>
          <t>Administrator:</t>
        </r>
        <r>
          <rPr>
            <sz val="12"/>
            <rFont val="宋体"/>
            <charset val="134"/>
          </rPr>
          <t xml:space="preserve">
9/9 上UPC贴纸 3096pcs
9/15 上客供防伪贴纸 456pcs
9/18 上客供亚马逊外箱贴纸 19pcs
</t>
        </r>
      </text>
    </comment>
    <comment ref="AD237" authorId="0">
      <text>
        <r>
          <rPr>
            <b/>
            <sz val="12"/>
            <rFont val="宋体"/>
            <charset val="134"/>
          </rPr>
          <t>Administrator:</t>
        </r>
        <r>
          <rPr>
            <sz val="12"/>
            <rFont val="宋体"/>
            <charset val="134"/>
          </rPr>
          <t xml:space="preserve">
5000484 10/10 888pcs 华兴一楼5区</t>
        </r>
      </text>
    </comment>
    <comment ref="AF237" authorId="0">
      <text>
        <r>
          <rPr>
            <b/>
            <sz val="12"/>
            <rFont val="宋体"/>
            <charset val="134"/>
          </rPr>
          <t>Administrator:</t>
        </r>
        <r>
          <rPr>
            <sz val="12"/>
            <rFont val="宋体"/>
            <charset val="134"/>
          </rPr>
          <t xml:space="preserve">
9/9 上UPC贴纸 2832pcs
9/18 上客供亚马逊外箱贴纸 34pcs</t>
        </r>
      </text>
    </comment>
    <comment ref="AD238" authorId="0">
      <text>
        <r>
          <rPr>
            <b/>
            <sz val="12"/>
            <rFont val="宋体"/>
            <charset val="134"/>
          </rPr>
          <t>Administrator:</t>
        </r>
        <r>
          <rPr>
            <sz val="12"/>
            <rFont val="宋体"/>
            <charset val="134"/>
          </rPr>
          <t xml:space="preserve">
5000484 10/10 696pcs 华兴一楼5区</t>
        </r>
      </text>
    </comment>
    <comment ref="AF238" authorId="0">
      <text>
        <r>
          <rPr>
            <b/>
            <sz val="12"/>
            <rFont val="宋体"/>
            <charset val="134"/>
          </rPr>
          <t>Administrator:</t>
        </r>
        <r>
          <rPr>
            <sz val="12"/>
            <rFont val="宋体"/>
            <charset val="134"/>
          </rPr>
          <t xml:space="preserve">
9/9 上UPC贴纸 2832pcs
9/18 上客供亚马逊外箱贴纸 29pcs
</t>
        </r>
      </text>
    </comment>
    <comment ref="AD239" authorId="0">
      <text>
        <r>
          <rPr>
            <b/>
            <sz val="12"/>
            <rFont val="宋体"/>
            <charset val="134"/>
          </rPr>
          <t>Administrator:</t>
        </r>
        <r>
          <rPr>
            <sz val="12"/>
            <rFont val="宋体"/>
            <charset val="134"/>
          </rPr>
          <t xml:space="preserve">
5000484 10/10 768pcs 华兴一楼5区</t>
        </r>
      </text>
    </comment>
    <comment ref="AF239" authorId="0">
      <text>
        <r>
          <rPr>
            <b/>
            <sz val="12"/>
            <rFont val="宋体"/>
            <charset val="134"/>
          </rPr>
          <t>Administrator:</t>
        </r>
        <r>
          <rPr>
            <sz val="12"/>
            <rFont val="宋体"/>
            <charset val="134"/>
          </rPr>
          <t xml:space="preserve">
9/9 上UPC贴纸 3096pcs
9/15 上客供防伪贴纸 768pcs
9/18 上客供亚马逊外箱贴纸 32pcs
</t>
        </r>
      </text>
    </comment>
    <comment ref="AD240" authorId="0">
      <text>
        <r>
          <rPr>
            <b/>
            <sz val="12"/>
            <rFont val="宋体"/>
            <charset val="134"/>
          </rPr>
          <t>Administrator:</t>
        </r>
        <r>
          <rPr>
            <sz val="12"/>
            <rFont val="宋体"/>
            <charset val="134"/>
          </rPr>
          <t xml:space="preserve">
5000502 10/10 888pcs 华兴一楼5区</t>
        </r>
      </text>
    </comment>
    <comment ref="AF240" authorId="0">
      <text>
        <r>
          <rPr>
            <b/>
            <sz val="12"/>
            <rFont val="宋体"/>
            <charset val="134"/>
          </rPr>
          <t>Administrator:</t>
        </r>
        <r>
          <rPr>
            <sz val="12"/>
            <rFont val="宋体"/>
            <charset val="134"/>
          </rPr>
          <t xml:space="preserve">
9/9 上UPC贴纸 3096pcs
9/15 上客供防伪贴纸 888pcs
9/18 上客供亚马逊外箱贴纸 37pcs
</t>
        </r>
      </text>
    </comment>
    <comment ref="AD241" authorId="0">
      <text>
        <r>
          <rPr>
            <b/>
            <sz val="12"/>
            <rFont val="宋体"/>
            <charset val="134"/>
          </rPr>
          <t>Administrator:</t>
        </r>
        <r>
          <rPr>
            <sz val="12"/>
            <rFont val="宋体"/>
            <charset val="134"/>
          </rPr>
          <t xml:space="preserve">
5000502 10/10 384pcs 华兴一楼5区</t>
        </r>
      </text>
    </comment>
    <comment ref="AF241" authorId="0">
      <text>
        <r>
          <rPr>
            <b/>
            <sz val="12"/>
            <rFont val="宋体"/>
            <charset val="134"/>
          </rPr>
          <t>Administrator:</t>
        </r>
        <r>
          <rPr>
            <sz val="12"/>
            <rFont val="宋体"/>
            <charset val="134"/>
          </rPr>
          <t xml:space="preserve">
9/9 上UPC贴纸 2832pcs
9/18 上客供亚马逊外箱贴纸 16pcs
</t>
        </r>
      </text>
    </comment>
    <comment ref="AD242" authorId="0">
      <text>
        <r>
          <rPr>
            <b/>
            <sz val="12"/>
            <rFont val="宋体"/>
            <charset val="134"/>
          </rPr>
          <t>Administrator:</t>
        </r>
        <r>
          <rPr>
            <sz val="12"/>
            <rFont val="宋体"/>
            <charset val="134"/>
          </rPr>
          <t xml:space="preserve">
5000502 10/10 408pcs 华兴一楼5区</t>
        </r>
      </text>
    </comment>
    <comment ref="AF242" authorId="0">
      <text>
        <r>
          <rPr>
            <b/>
            <sz val="12"/>
            <rFont val="宋体"/>
            <charset val="134"/>
          </rPr>
          <t>Administrator:</t>
        </r>
        <r>
          <rPr>
            <sz val="12"/>
            <rFont val="宋体"/>
            <charset val="134"/>
          </rPr>
          <t xml:space="preserve">
9/9 上UPC贴纸 3096pcs
9/15 上客供防伪贴纸 408pcs
9/18 上客供亚马逊外箱贴纸 17pcs</t>
        </r>
      </text>
    </comment>
    <comment ref="AD243" authorId="0">
      <text>
        <r>
          <rPr>
            <b/>
            <sz val="12"/>
            <rFont val="宋体"/>
            <charset val="134"/>
          </rPr>
          <t>Administrator:</t>
        </r>
        <r>
          <rPr>
            <sz val="12"/>
            <rFont val="宋体"/>
            <charset val="134"/>
          </rPr>
          <t xml:space="preserve">
5000502 10/10 24pcs 华兴一楼5区</t>
        </r>
      </text>
    </comment>
    <comment ref="AF243" authorId="0">
      <text>
        <r>
          <rPr>
            <b/>
            <sz val="12"/>
            <rFont val="宋体"/>
            <charset val="134"/>
          </rPr>
          <t>Administrator:</t>
        </r>
        <r>
          <rPr>
            <sz val="12"/>
            <rFont val="宋体"/>
            <charset val="134"/>
          </rPr>
          <t xml:space="preserve">
9/9 上UPC贴纸 3096pcs
9/15 上客供防伪贴纸 24pcs
9/18 上客供亚马逊外箱贴纸 1pcs
</t>
        </r>
      </text>
    </comment>
    <comment ref="AD244" authorId="0">
      <text>
        <r>
          <rPr>
            <b/>
            <sz val="12"/>
            <rFont val="宋体"/>
            <charset val="134"/>
          </rPr>
          <t>Administrator:</t>
        </r>
        <r>
          <rPr>
            <sz val="12"/>
            <rFont val="宋体"/>
            <charset val="134"/>
          </rPr>
          <t xml:space="preserve">
5000502 10/10 552pcs 华兴一楼5区</t>
        </r>
      </text>
    </comment>
    <comment ref="AF244" authorId="0">
      <text>
        <r>
          <rPr>
            <b/>
            <sz val="12"/>
            <rFont val="宋体"/>
            <charset val="134"/>
          </rPr>
          <t>Administrator:</t>
        </r>
        <r>
          <rPr>
            <sz val="12"/>
            <rFont val="宋体"/>
            <charset val="134"/>
          </rPr>
          <t xml:space="preserve">
9/9 上UPC贴纸 3096pcs
9/15 上客供防伪贴纸 552pcs
9/18 上客供亚马逊外箱贴纸 23pcs
</t>
        </r>
      </text>
    </comment>
    <comment ref="AD245" authorId="0">
      <text>
        <r>
          <rPr>
            <b/>
            <sz val="12"/>
            <rFont val="宋体"/>
            <charset val="134"/>
          </rPr>
          <t>Administrator:</t>
        </r>
        <r>
          <rPr>
            <sz val="12"/>
            <rFont val="宋体"/>
            <charset val="134"/>
          </rPr>
          <t xml:space="preserve">
5000502 10/10 432pcs 华兴一楼5区</t>
        </r>
      </text>
    </comment>
    <comment ref="AF245" authorId="0">
      <text>
        <r>
          <rPr>
            <b/>
            <sz val="12"/>
            <rFont val="宋体"/>
            <charset val="134"/>
          </rPr>
          <t>Administrator:</t>
        </r>
        <r>
          <rPr>
            <sz val="12"/>
            <rFont val="宋体"/>
            <charset val="134"/>
          </rPr>
          <t xml:space="preserve">
9/9 上UPC贴纸 2832pcs
9/18 上客供亚马逊外箱贴纸 18pcs
</t>
        </r>
      </text>
    </comment>
    <comment ref="AD246" authorId="0">
      <text>
        <r>
          <rPr>
            <b/>
            <sz val="12"/>
            <rFont val="宋体"/>
            <charset val="134"/>
          </rPr>
          <t>Administrator:</t>
        </r>
        <r>
          <rPr>
            <sz val="12"/>
            <rFont val="宋体"/>
            <charset val="134"/>
          </rPr>
          <t xml:space="preserve">
5000502 10/10 120pcs 华兴一楼5区</t>
        </r>
      </text>
    </comment>
    <comment ref="AF246" authorId="0">
      <text>
        <r>
          <rPr>
            <b/>
            <sz val="12"/>
            <rFont val="宋体"/>
            <charset val="134"/>
          </rPr>
          <t>Administrator:</t>
        </r>
        <r>
          <rPr>
            <sz val="12"/>
            <rFont val="宋体"/>
            <charset val="134"/>
          </rPr>
          <t xml:space="preserve">
9/9 上进口商贴纸 120pcs</t>
        </r>
      </text>
    </comment>
    <comment ref="AD247" authorId="0">
      <text>
        <r>
          <rPr>
            <b/>
            <sz val="12"/>
            <rFont val="宋体"/>
            <charset val="134"/>
          </rPr>
          <t>Administrator:</t>
        </r>
        <r>
          <rPr>
            <sz val="12"/>
            <rFont val="宋体"/>
            <charset val="134"/>
          </rPr>
          <t xml:space="preserve">
5000475 10/11 720pcs 华兴一A5
5000514 10/13 480pcs 华兴一A5</t>
        </r>
      </text>
    </comment>
    <comment ref="AF247" authorId="0">
      <text>
        <r>
          <rPr>
            <b/>
            <sz val="12"/>
            <rFont val="宋体"/>
            <charset val="134"/>
          </rPr>
          <t>Administrator:</t>
        </r>
        <r>
          <rPr>
            <sz val="12"/>
            <rFont val="宋体"/>
            <charset val="134"/>
          </rPr>
          <t xml:space="preserve">
9/12 上客供价格贴纸 1260pcs</t>
        </r>
      </text>
    </comment>
    <comment ref="AD248" authorId="0">
      <text>
        <r>
          <rPr>
            <b/>
            <sz val="12"/>
            <rFont val="宋体"/>
            <charset val="134"/>
          </rPr>
          <t>Administrator:</t>
        </r>
        <r>
          <rPr>
            <sz val="12"/>
            <rFont val="宋体"/>
            <charset val="134"/>
          </rPr>
          <t xml:space="preserve">
5000546 10/14 1200pcs 华兴一A5</t>
        </r>
      </text>
    </comment>
    <comment ref="AF248" authorId="0">
      <text>
        <r>
          <rPr>
            <b/>
            <sz val="12"/>
            <rFont val="宋体"/>
            <charset val="134"/>
          </rPr>
          <t>Administrator:</t>
        </r>
        <r>
          <rPr>
            <sz val="12"/>
            <rFont val="宋体"/>
            <charset val="134"/>
          </rPr>
          <t xml:space="preserve">
8/27 上德语callout贴纸 3600pcs
     上UPC条码贴纸 1200pcs
9/30 上WEEE电池通用30L说明书 3600pcs</t>
        </r>
      </text>
    </comment>
    <comment ref="AD249" authorId="0">
      <text>
        <r>
          <rPr>
            <b/>
            <sz val="12"/>
            <rFont val="宋体"/>
            <charset val="134"/>
          </rPr>
          <t>Administrator:</t>
        </r>
        <r>
          <rPr>
            <sz val="12"/>
            <rFont val="宋体"/>
            <charset val="134"/>
          </rPr>
          <t xml:space="preserve">
5000546 10/14 1200pcs 华兴一A5</t>
        </r>
      </text>
    </comment>
    <comment ref="AF249" authorId="0">
      <text>
        <r>
          <rPr>
            <b/>
            <sz val="12"/>
            <rFont val="宋体"/>
            <charset val="134"/>
          </rPr>
          <t>Administrator:</t>
        </r>
        <r>
          <rPr>
            <sz val="12"/>
            <rFont val="宋体"/>
            <charset val="134"/>
          </rPr>
          <t xml:space="preserve">
8/27 上德语callout贴纸 3600pcs
     上UPC条码贴纸 1200pcs
9/30 上WEEE电池通用30L说明书 3600pcs
</t>
        </r>
      </text>
    </comment>
    <comment ref="AD250" authorId="0">
      <text>
        <r>
          <rPr>
            <b/>
            <sz val="12"/>
            <rFont val="宋体"/>
            <charset val="134"/>
          </rPr>
          <t>Administrator:</t>
        </r>
        <r>
          <rPr>
            <sz val="12"/>
            <rFont val="宋体"/>
            <charset val="134"/>
          </rPr>
          <t xml:space="preserve">
5000546 10/14 1200pcs 华兴一A5</t>
        </r>
      </text>
    </comment>
    <comment ref="AF250" authorId="0">
      <text>
        <r>
          <rPr>
            <b/>
            <sz val="12"/>
            <rFont val="宋体"/>
            <charset val="134"/>
          </rPr>
          <t>Administrator:</t>
        </r>
        <r>
          <rPr>
            <sz val="12"/>
            <rFont val="宋体"/>
            <charset val="134"/>
          </rPr>
          <t xml:space="preserve">
8/27 上德语callout贴纸 3600pcs
9/30 上WEEE电池通用30L说明书 3600pcs
</t>
        </r>
      </text>
    </comment>
    <comment ref="AD251" authorId="0">
      <text>
        <r>
          <rPr>
            <b/>
            <sz val="12"/>
            <rFont val="宋体"/>
            <charset val="134"/>
          </rPr>
          <t>Administrator:</t>
        </r>
        <r>
          <rPr>
            <sz val="12"/>
            <rFont val="宋体"/>
            <charset val="134"/>
          </rPr>
          <t xml:space="preserve">
5000013 10/14 528pcs 华兴一A5</t>
        </r>
      </text>
    </comment>
    <comment ref="AF251" authorId="0">
      <text>
        <r>
          <rPr>
            <b/>
            <sz val="12"/>
            <rFont val="宋体"/>
            <charset val="134"/>
          </rPr>
          <t>Administrator:</t>
        </r>
        <r>
          <rPr>
            <sz val="12"/>
            <rFont val="宋体"/>
            <charset val="134"/>
          </rPr>
          <t xml:space="preserve">
9/26 上KM外箱贴纸 44pcs</t>
        </r>
      </text>
    </comment>
    <comment ref="AD252" authorId="0">
      <text>
        <r>
          <rPr>
            <b/>
            <sz val="12"/>
            <rFont val="宋体"/>
            <charset val="134"/>
          </rPr>
          <t>Administrator:</t>
        </r>
        <r>
          <rPr>
            <sz val="12"/>
            <rFont val="宋体"/>
            <charset val="134"/>
          </rPr>
          <t xml:space="preserve">
5000013 10/14 972pcs 华兴一A5</t>
        </r>
      </text>
    </comment>
    <comment ref="AF252" authorId="0">
      <text>
        <r>
          <rPr>
            <b/>
            <sz val="12"/>
            <rFont val="宋体"/>
            <charset val="134"/>
          </rPr>
          <t>Administrator:</t>
        </r>
        <r>
          <rPr>
            <sz val="12"/>
            <rFont val="宋体"/>
            <charset val="134"/>
          </rPr>
          <t xml:space="preserve">
9/26 上KM外箱贴纸 81pcs</t>
        </r>
      </text>
    </comment>
    <comment ref="AD253" authorId="0">
      <text>
        <r>
          <rPr>
            <b/>
            <sz val="12"/>
            <rFont val="宋体"/>
            <charset val="134"/>
          </rPr>
          <t>Administrator:</t>
        </r>
        <r>
          <rPr>
            <sz val="12"/>
            <rFont val="宋体"/>
            <charset val="134"/>
          </rPr>
          <t xml:space="preserve">
5000586 10/16 5472pcs 华兴一A4</t>
        </r>
      </text>
    </comment>
    <comment ref="AF253" authorId="0">
      <text>
        <r>
          <rPr>
            <b/>
            <sz val="12"/>
            <rFont val="宋体"/>
            <charset val="134"/>
          </rPr>
          <t>Administrator:</t>
        </r>
        <r>
          <rPr>
            <sz val="12"/>
            <rFont val="宋体"/>
            <charset val="134"/>
          </rPr>
          <t xml:space="preserve">
9/18 上客供价格贴纸 5746pcs</t>
        </r>
      </text>
    </comment>
    <comment ref="AD254" authorId="0">
      <text>
        <r>
          <rPr>
            <b/>
            <sz val="12"/>
            <rFont val="宋体"/>
            <charset val="134"/>
          </rPr>
          <t>Administrator:</t>
        </r>
        <r>
          <rPr>
            <sz val="12"/>
            <rFont val="宋体"/>
            <charset val="134"/>
          </rPr>
          <t xml:space="preserve">
5000596 10/17 1200pcs 华兴三A8</t>
        </r>
      </text>
    </comment>
    <comment ref="AF254" authorId="0">
      <text>
        <r>
          <rPr>
            <b/>
            <sz val="12"/>
            <rFont val="宋体"/>
            <charset val="134"/>
          </rPr>
          <t>Administrator:</t>
        </r>
        <r>
          <rPr>
            <sz val="12"/>
            <rFont val="宋体"/>
            <charset val="134"/>
          </rPr>
          <t xml:space="preserve">
9/23 上WEEE_带电池走货 _ 说明书欧洲EN 1200pcs
10/8 上大白方防盗贴纸 1200pcs</t>
        </r>
      </text>
    </comment>
    <comment ref="AD255" authorId="0">
      <text>
        <r>
          <rPr>
            <b/>
            <sz val="12"/>
            <rFont val="宋体"/>
            <charset val="134"/>
          </rPr>
          <t>Administrator:</t>
        </r>
        <r>
          <rPr>
            <sz val="12"/>
            <rFont val="宋体"/>
            <charset val="134"/>
          </rPr>
          <t xml:space="preserve">
5000596 10/17 4380pcs 华兴一A5</t>
        </r>
      </text>
    </comment>
    <comment ref="AF255" authorId="0">
      <text>
        <r>
          <rPr>
            <b/>
            <sz val="12"/>
            <rFont val="宋体"/>
            <charset val="134"/>
          </rPr>
          <t>Administrator:</t>
        </r>
        <r>
          <rPr>
            <sz val="12"/>
            <rFont val="宋体"/>
            <charset val="134"/>
          </rPr>
          <t xml:space="preserve">
10/9 上KM外箱贴纸 365pcs</t>
        </r>
      </text>
    </comment>
    <comment ref="AD256" authorId="0">
      <text>
        <r>
          <rPr>
            <b/>
            <sz val="12"/>
            <rFont val="宋体"/>
            <charset val="134"/>
          </rPr>
          <t>Administrator:</t>
        </r>
        <r>
          <rPr>
            <sz val="12"/>
            <rFont val="宋体"/>
            <charset val="134"/>
          </rPr>
          <t xml:space="preserve">
5000596 10/17 492pcs 华兴一A5</t>
        </r>
      </text>
    </comment>
    <comment ref="AF256" authorId="0">
      <text>
        <r>
          <rPr>
            <b/>
            <sz val="12"/>
            <rFont val="宋体"/>
            <charset val="134"/>
          </rPr>
          <t>Administrator:</t>
        </r>
        <r>
          <rPr>
            <sz val="12"/>
            <rFont val="宋体"/>
            <charset val="134"/>
          </rPr>
          <t xml:space="preserve">
10/9 上KM外箱贴纸 41pcs</t>
        </r>
      </text>
    </comment>
    <comment ref="AD257" authorId="0">
      <text>
        <r>
          <rPr>
            <b/>
            <sz val="12"/>
            <rFont val="宋体"/>
            <charset val="134"/>
          </rPr>
          <t>Administrator:</t>
        </r>
        <r>
          <rPr>
            <sz val="12"/>
            <rFont val="宋体"/>
            <charset val="134"/>
          </rPr>
          <t xml:space="preserve">
5000159 10/23 5100pcs B栋4楼C7区
5000151 10/23 3000pcs B栋4楼C7区</t>
        </r>
      </text>
    </comment>
    <comment ref="AD258" authorId="0">
      <text>
        <r>
          <rPr>
            <b/>
            <sz val="12"/>
            <rFont val="宋体"/>
            <charset val="134"/>
          </rPr>
          <t>Administrator:</t>
        </r>
        <r>
          <rPr>
            <sz val="12"/>
            <rFont val="宋体"/>
            <charset val="134"/>
          </rPr>
          <t xml:space="preserve">
5000143 10/22 372pcs 华兴一A5</t>
        </r>
      </text>
    </comment>
    <comment ref="AF258" authorId="0">
      <text>
        <r>
          <rPr>
            <b/>
            <sz val="12"/>
            <rFont val="宋体"/>
            <charset val="134"/>
          </rPr>
          <t>Administrator:</t>
        </r>
        <r>
          <rPr>
            <sz val="12"/>
            <rFont val="宋体"/>
            <charset val="134"/>
          </rPr>
          <t xml:space="preserve">
10/13 上KM外箱贴纸 31pcs</t>
        </r>
      </text>
    </comment>
    <comment ref="AD259" authorId="0">
      <text>
        <r>
          <rPr>
            <b/>
            <sz val="12"/>
            <rFont val="宋体"/>
            <charset val="134"/>
          </rPr>
          <t>Administrator:</t>
        </r>
        <r>
          <rPr>
            <sz val="12"/>
            <rFont val="宋体"/>
            <charset val="134"/>
          </rPr>
          <t xml:space="preserve">
5000143 10/22 1128pcs 华兴一A5</t>
        </r>
      </text>
    </comment>
    <comment ref="AF259" authorId="0">
      <text>
        <r>
          <rPr>
            <b/>
            <sz val="12"/>
            <rFont val="宋体"/>
            <charset val="134"/>
          </rPr>
          <t>Administrator:</t>
        </r>
        <r>
          <rPr>
            <sz val="12"/>
            <rFont val="宋体"/>
            <charset val="134"/>
          </rPr>
          <t xml:space="preserve">
10/13 上KM外箱贴纸 94pcs</t>
        </r>
      </text>
    </comment>
    <comment ref="AD260" authorId="0">
      <text>
        <r>
          <rPr>
            <b/>
            <sz val="12"/>
            <rFont val="宋体"/>
            <charset val="134"/>
          </rPr>
          <t>Administrator:</t>
        </r>
        <r>
          <rPr>
            <sz val="12"/>
            <rFont val="宋体"/>
            <charset val="134"/>
          </rPr>
          <t xml:space="preserve">
1200269 11/1 504pcs B4楼A9区</t>
        </r>
      </text>
    </comment>
    <comment ref="AF260" authorId="0">
      <text>
        <r>
          <rPr>
            <b/>
            <sz val="12"/>
            <rFont val="宋体"/>
            <charset val="134"/>
          </rPr>
          <t>Administrator:</t>
        </r>
        <r>
          <rPr>
            <sz val="12"/>
            <rFont val="宋体"/>
            <charset val="134"/>
          </rPr>
          <t xml:space="preserve">
10/13 上B版 WEEE声明带电池走货欧洲 30 语通用黑白说明书 504pcs</t>
        </r>
      </text>
    </comment>
    <comment ref="AD261" authorId="0">
      <text>
        <r>
          <rPr>
            <b/>
            <sz val="12"/>
            <rFont val="宋体"/>
            <charset val="134"/>
          </rPr>
          <t>Administrator:</t>
        </r>
        <r>
          <rPr>
            <sz val="12"/>
            <rFont val="宋体"/>
            <charset val="134"/>
          </rPr>
          <t xml:space="preserve">
1200302 11/5 504pcs 华兴一A5</t>
        </r>
      </text>
    </comment>
    <comment ref="AF261" authorId="0">
      <text>
        <r>
          <rPr>
            <b/>
            <sz val="12"/>
            <rFont val="宋体"/>
            <charset val="134"/>
          </rPr>
          <t>Administrator:</t>
        </r>
        <r>
          <rPr>
            <sz val="12"/>
            <rFont val="宋体"/>
            <charset val="134"/>
          </rPr>
          <t xml:space="preserve">
10/21 上WEEE声明通用30L-B版说明书 4728pcs
      上UPC条码贴纸 1512pcs
180852/180853共用</t>
        </r>
      </text>
    </comment>
    <comment ref="AD262" authorId="0">
      <text>
        <r>
          <rPr>
            <b/>
            <sz val="12"/>
            <rFont val="宋体"/>
            <charset val="134"/>
          </rPr>
          <t>Administrator:</t>
        </r>
        <r>
          <rPr>
            <sz val="12"/>
            <rFont val="宋体"/>
            <charset val="134"/>
          </rPr>
          <t xml:space="preserve">
1200302 11/5 504pcs 华兴一A5</t>
        </r>
      </text>
    </comment>
    <comment ref="AF262" authorId="0">
      <text>
        <r>
          <rPr>
            <b/>
            <sz val="12"/>
            <rFont val="宋体"/>
            <charset val="134"/>
          </rPr>
          <t>Administrator:</t>
        </r>
        <r>
          <rPr>
            <sz val="12"/>
            <rFont val="宋体"/>
            <charset val="134"/>
          </rPr>
          <t xml:space="preserve">
10/21 上WEEE声明通用30L-B版说明书 4728pcs
      上UPC条码贴纸 1512pcs
180852/180853共用</t>
        </r>
      </text>
    </comment>
    <comment ref="AD263" authorId="0">
      <text>
        <r>
          <rPr>
            <b/>
            <sz val="12"/>
            <rFont val="宋体"/>
            <charset val="134"/>
          </rPr>
          <t>Administrator:</t>
        </r>
        <r>
          <rPr>
            <sz val="12"/>
            <rFont val="宋体"/>
            <charset val="134"/>
          </rPr>
          <t xml:space="preserve">
1200302 11/5 504pcs 华兴一A5</t>
        </r>
      </text>
    </comment>
    <comment ref="AF263" authorId="0">
      <text>
        <r>
          <rPr>
            <b/>
            <sz val="12"/>
            <rFont val="宋体"/>
            <charset val="134"/>
          </rPr>
          <t>Administrator:</t>
        </r>
        <r>
          <rPr>
            <sz val="12"/>
            <rFont val="宋体"/>
            <charset val="134"/>
          </rPr>
          <t xml:space="preserve">
10/21 上 WEEE声明通用30L-B版说明书 4728pcs
180852/180853共用</t>
        </r>
      </text>
    </comment>
    <comment ref="AD264" authorId="0">
      <text>
        <r>
          <rPr>
            <b/>
            <sz val="12"/>
            <rFont val="宋体"/>
            <charset val="134"/>
          </rPr>
          <t>Administrator:</t>
        </r>
        <r>
          <rPr>
            <sz val="12"/>
            <rFont val="宋体"/>
            <charset val="134"/>
          </rPr>
          <t xml:space="preserve">
1200302 11/5 1008pcs 华兴一A5</t>
        </r>
      </text>
    </comment>
    <comment ref="AF264" authorId="0">
      <text>
        <r>
          <rPr>
            <b/>
            <sz val="12"/>
            <rFont val="宋体"/>
            <charset val="134"/>
          </rPr>
          <t>Administrator:</t>
        </r>
        <r>
          <rPr>
            <sz val="12"/>
            <rFont val="宋体"/>
            <charset val="134"/>
          </rPr>
          <t xml:space="preserve">
10/21 上WEEE声明通用30L-B版说明书 4728pcs
      上UPC条码贴纸 1512pcs
180852/180853共用</t>
        </r>
      </text>
    </comment>
    <comment ref="AD265" authorId="0">
      <text>
        <r>
          <rPr>
            <b/>
            <sz val="12"/>
            <rFont val="宋体"/>
            <charset val="134"/>
          </rPr>
          <t>Administrator:</t>
        </r>
        <r>
          <rPr>
            <sz val="12"/>
            <rFont val="宋体"/>
            <charset val="134"/>
          </rPr>
          <t xml:space="preserve">
1200302 11/5 1008pcs 华兴一A5</t>
        </r>
      </text>
    </comment>
    <comment ref="AF265" authorId="0">
      <text>
        <r>
          <rPr>
            <b/>
            <sz val="12"/>
            <rFont val="宋体"/>
            <charset val="134"/>
          </rPr>
          <t>Administrator:</t>
        </r>
        <r>
          <rPr>
            <sz val="12"/>
            <rFont val="宋体"/>
            <charset val="134"/>
          </rPr>
          <t xml:space="preserve">
10/21 上WEEE声明通用30L-B版说明书 4728pcs
      上UPC条码贴纸 1512pcs
180852/180853共用</t>
        </r>
      </text>
    </comment>
    <comment ref="AD266" authorId="0">
      <text>
        <r>
          <rPr>
            <b/>
            <sz val="12"/>
            <rFont val="宋体"/>
            <charset val="134"/>
          </rPr>
          <t>Administrator:</t>
        </r>
        <r>
          <rPr>
            <sz val="12"/>
            <rFont val="宋体"/>
            <charset val="134"/>
          </rPr>
          <t xml:space="preserve">
1200302 11/5 1200pcs 华兴一A5</t>
        </r>
      </text>
    </comment>
    <comment ref="AF266" authorId="0">
      <text>
        <r>
          <rPr>
            <b/>
            <sz val="12"/>
            <rFont val="宋体"/>
            <charset val="134"/>
          </rPr>
          <t>Administrator:</t>
        </r>
        <r>
          <rPr>
            <sz val="12"/>
            <rFont val="宋体"/>
            <charset val="134"/>
          </rPr>
          <t xml:space="preserve">
10/21 上 WEEE声明通用30L-B版说明书 4728pcs
180852/180853共用</t>
        </r>
      </text>
    </comment>
    <comment ref="AD267" authorId="0">
      <text>
        <r>
          <rPr>
            <b/>
            <sz val="12"/>
            <rFont val="宋体"/>
            <charset val="134"/>
          </rPr>
          <t>Administrator:</t>
        </r>
        <r>
          <rPr>
            <sz val="12"/>
            <rFont val="宋体"/>
            <charset val="134"/>
          </rPr>
          <t xml:space="preserve">
1200355 11/10 252pcs 华兴一A5</t>
        </r>
      </text>
    </comment>
    <comment ref="AF267" authorId="0">
      <text>
        <r>
          <rPr>
            <b/>
            <sz val="12"/>
            <rFont val="宋体"/>
            <charset val="134"/>
          </rPr>
          <t>Administrator:</t>
        </r>
        <r>
          <rPr>
            <sz val="12"/>
            <rFont val="宋体"/>
            <charset val="134"/>
          </rPr>
          <t xml:space="preserve">
10/25 上进口商贴纸 252pcs</t>
        </r>
      </text>
    </comment>
    <comment ref="AD268" authorId="0">
      <text>
        <r>
          <rPr>
            <b/>
            <sz val="12"/>
            <rFont val="宋体"/>
            <charset val="134"/>
          </rPr>
          <t>Administrator:</t>
        </r>
        <r>
          <rPr>
            <sz val="12"/>
            <rFont val="宋体"/>
            <charset val="134"/>
          </rPr>
          <t xml:space="preserve">
1200358 11/11 1280pcs 华兴一A5</t>
        </r>
      </text>
    </comment>
    <comment ref="AD269" authorId="0">
      <text>
        <r>
          <rPr>
            <b/>
            <sz val="12"/>
            <rFont val="宋体"/>
            <charset val="134"/>
          </rPr>
          <t>Administrator:</t>
        </r>
        <r>
          <rPr>
            <sz val="12"/>
            <rFont val="宋体"/>
            <charset val="134"/>
          </rPr>
          <t xml:space="preserve">
1200387 11/12 1200pcs 华兴一A5</t>
        </r>
      </text>
    </comment>
    <comment ref="AF269" authorId="0">
      <text>
        <r>
          <rPr>
            <b/>
            <sz val="12"/>
            <rFont val="宋体"/>
            <charset val="134"/>
          </rPr>
          <t>Administrator:</t>
        </r>
        <r>
          <rPr>
            <sz val="12"/>
            <rFont val="宋体"/>
            <charset val="134"/>
          </rPr>
          <t xml:space="preserve">
10/17 上客供价格贴纸 1260pcs</t>
        </r>
      </text>
    </comment>
    <comment ref="AD270" authorId="0">
      <text>
        <r>
          <rPr>
            <b/>
            <sz val="12"/>
            <rFont val="宋体"/>
            <charset val="134"/>
          </rPr>
          <t>Administrator:</t>
        </r>
        <r>
          <rPr>
            <sz val="12"/>
            <rFont val="宋体"/>
            <charset val="134"/>
          </rPr>
          <t xml:space="preserve">
1200383 11/11 12pcs 华兴一A5</t>
        </r>
      </text>
    </comment>
    <comment ref="AD271" authorId="0">
      <text>
        <r>
          <rPr>
            <b/>
            <sz val="12"/>
            <rFont val="宋体"/>
            <charset val="134"/>
          </rPr>
          <t>Administrator:</t>
        </r>
        <r>
          <rPr>
            <sz val="12"/>
            <rFont val="宋体"/>
            <charset val="134"/>
          </rPr>
          <t xml:space="preserve">
1200383 11/11 336pcs 华兴一A5 </t>
        </r>
      </text>
    </comment>
    <comment ref="AD272" authorId="0">
      <text>
        <r>
          <rPr>
            <b/>
            <sz val="12"/>
            <rFont val="宋体"/>
            <charset val="134"/>
          </rPr>
          <t>Administrator:</t>
        </r>
        <r>
          <rPr>
            <sz val="12"/>
            <rFont val="宋体"/>
            <charset val="134"/>
          </rPr>
          <t xml:space="preserve">
1200383 11/11 24pcs 华兴一A5</t>
        </r>
      </text>
    </comment>
    <comment ref="AF272" authorId="0">
      <text>
        <r>
          <rPr>
            <b/>
            <sz val="12"/>
            <rFont val="宋体"/>
            <charset val="134"/>
          </rPr>
          <t>Administrator:</t>
        </r>
        <r>
          <rPr>
            <sz val="12"/>
            <rFont val="宋体"/>
            <charset val="134"/>
          </rPr>
          <t xml:space="preserve">
10/31 上客供亚马逊外箱贴纸 1pcs
11/6 上客供防伪贴纸 24pcs</t>
        </r>
      </text>
    </comment>
    <comment ref="AD273" authorId="0">
      <text>
        <r>
          <rPr>
            <b/>
            <sz val="12"/>
            <rFont val="宋体"/>
            <charset val="134"/>
          </rPr>
          <t>Administrator:</t>
        </r>
        <r>
          <rPr>
            <sz val="12"/>
            <rFont val="宋体"/>
            <charset val="134"/>
          </rPr>
          <t xml:space="preserve">
1200383 11/11 24pcs 华兴一A5</t>
        </r>
      </text>
    </comment>
    <comment ref="AF273" authorId="0">
      <text>
        <r>
          <rPr>
            <b/>
            <sz val="12"/>
            <rFont val="宋体"/>
            <charset val="134"/>
          </rPr>
          <t>Administrator:</t>
        </r>
        <r>
          <rPr>
            <sz val="12"/>
            <rFont val="宋体"/>
            <charset val="134"/>
          </rPr>
          <t xml:space="preserve">
10/31 上客供亚马逊外箱贴纸 1pcs
11/6 上客供防伪贴纸 24pcs</t>
        </r>
      </text>
    </comment>
    <comment ref="AD274" authorId="0">
      <text>
        <r>
          <rPr>
            <b/>
            <sz val="12"/>
            <rFont val="宋体"/>
            <charset val="134"/>
          </rPr>
          <t>Administrator:</t>
        </r>
        <r>
          <rPr>
            <sz val="12"/>
            <rFont val="宋体"/>
            <charset val="134"/>
          </rPr>
          <t xml:space="preserve">
1200432 11/18 1200pcs 华兴一A5</t>
        </r>
      </text>
    </comment>
    <comment ref="AF274" authorId="0">
      <text>
        <r>
          <rPr>
            <b/>
            <sz val="12"/>
            <rFont val="宋体"/>
            <charset val="134"/>
          </rPr>
          <t>Administrator:</t>
        </r>
        <r>
          <rPr>
            <sz val="12"/>
            <rFont val="宋体"/>
            <charset val="134"/>
          </rPr>
          <t xml:space="preserve">
11/1 上德语callout 贴纸 4212pcs
     上UPC条码贴纸 1200pcs
11/13 上WEEE声明通用带电池走货说明书 4212pcs</t>
        </r>
      </text>
    </comment>
    <comment ref="AD275" authorId="0">
      <text>
        <r>
          <rPr>
            <b/>
            <sz val="12"/>
            <rFont val="宋体"/>
            <charset val="134"/>
          </rPr>
          <t>Administrator:</t>
        </r>
        <r>
          <rPr>
            <sz val="12"/>
            <rFont val="宋体"/>
            <charset val="134"/>
          </rPr>
          <t xml:space="preserve">
1200432 11/18 2004pcs 华兴一A5</t>
        </r>
      </text>
    </comment>
    <comment ref="AF275" authorId="0">
      <text>
        <r>
          <rPr>
            <b/>
            <sz val="12"/>
            <rFont val="宋体"/>
            <charset val="134"/>
          </rPr>
          <t>Administrator:</t>
        </r>
        <r>
          <rPr>
            <sz val="12"/>
            <rFont val="宋体"/>
            <charset val="134"/>
          </rPr>
          <t xml:space="preserve">
11/1 上德语callout 贴纸 4212pcs
     上UPC条码贴纸 1200pcs
11/13 上WEEE声明通用带电池走货说明书 4212pcs</t>
        </r>
      </text>
    </comment>
    <comment ref="AD276" authorId="0">
      <text>
        <r>
          <rPr>
            <b/>
            <sz val="12"/>
            <rFont val="宋体"/>
            <charset val="134"/>
          </rPr>
          <t>Administrator:</t>
        </r>
        <r>
          <rPr>
            <sz val="12"/>
            <rFont val="宋体"/>
            <charset val="134"/>
          </rPr>
          <t xml:space="preserve">
1200432 11/18 1008pcs 华兴一A5</t>
        </r>
      </text>
    </comment>
    <comment ref="AF276" authorId="0">
      <text>
        <r>
          <rPr>
            <b/>
            <sz val="12"/>
            <rFont val="宋体"/>
            <charset val="134"/>
          </rPr>
          <t>Administrator:</t>
        </r>
        <r>
          <rPr>
            <sz val="12"/>
            <rFont val="宋体"/>
            <charset val="134"/>
          </rPr>
          <t xml:space="preserve">
11/1 上德语callout 贴纸 4212pcs
     上UPC条码贴纸 1200pcs
11/13 上WEEE声明通用带电池走货说明书 4212pcs</t>
        </r>
      </text>
    </comment>
    <comment ref="AD277" authorId="0">
      <text>
        <r>
          <rPr>
            <b/>
            <sz val="12"/>
            <rFont val="宋体"/>
            <charset val="134"/>
          </rPr>
          <t>Administrator:</t>
        </r>
        <r>
          <rPr>
            <sz val="12"/>
            <rFont val="宋体"/>
            <charset val="134"/>
          </rPr>
          <t xml:space="preserve">
1200444 11/19 480pcs 华兴一A5</t>
        </r>
      </text>
    </comment>
    <comment ref="AF277" authorId="0">
      <text>
        <r>
          <rPr>
            <b/>
            <sz val="12"/>
            <rFont val="宋体"/>
            <charset val="134"/>
          </rPr>
          <t>Administrator:</t>
        </r>
        <r>
          <rPr>
            <sz val="12"/>
            <rFont val="宋体"/>
            <charset val="134"/>
          </rPr>
          <t xml:space="preserve">
11/6 上环保标/UPC/邮箱地址贴纸 480pcs
11/11 上亚马逊外箱贴纸 20pcs</t>
        </r>
      </text>
    </comment>
    <comment ref="AD278" authorId="0">
      <text>
        <r>
          <rPr>
            <b/>
            <sz val="12"/>
            <rFont val="宋体"/>
            <charset val="134"/>
          </rPr>
          <t>Administrator:</t>
        </r>
        <r>
          <rPr>
            <sz val="12"/>
            <rFont val="宋体"/>
            <charset val="134"/>
          </rPr>
          <t xml:space="preserve">
1200616 12/2 3408pcs 华兴一B3</t>
        </r>
      </text>
    </comment>
    <comment ref="AF278" authorId="0">
      <text>
        <r>
          <rPr>
            <b/>
            <sz val="12"/>
            <rFont val="宋体"/>
            <charset val="134"/>
          </rPr>
          <t>Administrator:</t>
        </r>
        <r>
          <rPr>
            <sz val="12"/>
            <rFont val="宋体"/>
            <charset val="134"/>
          </rPr>
          <t xml:space="preserve">
11/21 上客供价格贴纸 3570pcs</t>
        </r>
      </text>
    </comment>
    <comment ref="AD279" authorId="0">
      <text>
        <r>
          <rPr>
            <b/>
            <sz val="12"/>
            <rFont val="宋体"/>
            <charset val="134"/>
          </rPr>
          <t>Administrator:</t>
        </r>
        <r>
          <rPr>
            <sz val="12"/>
            <rFont val="宋体"/>
            <charset val="134"/>
          </rPr>
          <t xml:space="preserve">
1200616 12/2 4200pcs 华兴一B3</t>
        </r>
      </text>
    </comment>
    <comment ref="AF279" authorId="0">
      <text>
        <r>
          <rPr>
            <b/>
            <sz val="12"/>
            <rFont val="宋体"/>
            <charset val="134"/>
          </rPr>
          <t>Administrator:</t>
        </r>
        <r>
          <rPr>
            <sz val="12"/>
            <rFont val="宋体"/>
            <charset val="134"/>
          </rPr>
          <t xml:space="preserve">
11/21 上客供价格贴纸 4410pcs</t>
        </r>
      </text>
    </comment>
    <comment ref="AD280" authorId="0">
      <text>
        <r>
          <rPr>
            <b/>
            <sz val="12"/>
            <rFont val="宋体"/>
            <charset val="134"/>
          </rPr>
          <t>Administrator:</t>
        </r>
        <r>
          <rPr>
            <sz val="12"/>
            <rFont val="宋体"/>
            <charset val="134"/>
          </rPr>
          <t xml:space="preserve">
1200616 12/2 3408pcs 华兴一B3</t>
        </r>
      </text>
    </comment>
    <comment ref="AF280" authorId="0">
      <text>
        <r>
          <rPr>
            <b/>
            <sz val="12"/>
            <rFont val="宋体"/>
            <charset val="134"/>
          </rPr>
          <t>Administrator:</t>
        </r>
        <r>
          <rPr>
            <sz val="12"/>
            <rFont val="宋体"/>
            <charset val="134"/>
          </rPr>
          <t xml:space="preserve">
11/21 上客供价格贴纸 3570pcs</t>
        </r>
      </text>
    </comment>
    <comment ref="AD281" authorId="0">
      <text>
        <r>
          <rPr>
            <b/>
            <sz val="12"/>
            <rFont val="宋体"/>
            <charset val="134"/>
          </rPr>
          <t>Administrator:</t>
        </r>
        <r>
          <rPr>
            <sz val="12"/>
            <rFont val="宋体"/>
            <charset val="134"/>
          </rPr>
          <t xml:space="preserve">
1200598 12/2 3000pcs 华兴一A5</t>
        </r>
      </text>
    </comment>
    <comment ref="AF281" authorId="0">
      <text>
        <r>
          <rPr>
            <b/>
            <sz val="12"/>
            <rFont val="宋体"/>
            <charset val="134"/>
          </rPr>
          <t>Administrator:</t>
        </r>
        <r>
          <rPr>
            <sz val="12"/>
            <rFont val="宋体"/>
            <charset val="134"/>
          </rPr>
          <t xml:space="preserve">
11/21 上客供价格贴纸 3150pcs</t>
        </r>
      </text>
    </comment>
    <comment ref="AD282" authorId="0">
      <text>
        <r>
          <rPr>
            <b/>
            <sz val="12"/>
            <rFont val="宋体"/>
            <charset val="134"/>
          </rPr>
          <t>Administrator:</t>
        </r>
        <r>
          <rPr>
            <sz val="12"/>
            <rFont val="宋体"/>
            <charset val="134"/>
          </rPr>
          <t xml:space="preserve">
1200203 12/6 576pcs B4楼B1区</t>
        </r>
      </text>
    </comment>
    <comment ref="AF282" authorId="0">
      <text>
        <r>
          <rPr>
            <b/>
            <sz val="12"/>
            <rFont val="宋体"/>
            <charset val="134"/>
          </rPr>
          <t>Administrator:</t>
        </r>
        <r>
          <rPr>
            <sz val="12"/>
            <rFont val="宋体"/>
            <charset val="134"/>
          </rPr>
          <t xml:space="preserve">
11/27 上大白方防盗贴纸 576pcs</t>
        </r>
      </text>
    </comment>
    <comment ref="AD283" authorId="0">
      <text>
        <r>
          <rPr>
            <b/>
            <sz val="12"/>
            <rFont val="宋体"/>
            <charset val="134"/>
          </rPr>
          <t>Administrator:</t>
        </r>
        <r>
          <rPr>
            <sz val="12"/>
            <rFont val="宋体"/>
            <charset val="134"/>
          </rPr>
          <t xml:space="preserve">
1200250 12/11 1500pcs 华兴一A5</t>
        </r>
      </text>
    </comment>
    <comment ref="AF283" authorId="0">
      <text>
        <r>
          <rPr>
            <b/>
            <sz val="12"/>
            <rFont val="宋体"/>
            <charset val="134"/>
          </rPr>
          <t>Administrator:</t>
        </r>
        <r>
          <rPr>
            <sz val="12"/>
            <rFont val="宋体"/>
            <charset val="134"/>
          </rPr>
          <t xml:space="preserve">
12/1 上UPC条码贴纸 1500pcs</t>
        </r>
      </text>
    </comment>
    <comment ref="AD284" authorId="0">
      <text>
        <r>
          <rPr>
            <b/>
            <sz val="12"/>
            <rFont val="宋体"/>
            <charset val="134"/>
          </rPr>
          <t>Administrator:</t>
        </r>
        <r>
          <rPr>
            <sz val="12"/>
            <rFont val="宋体"/>
            <charset val="134"/>
          </rPr>
          <t xml:space="preserve">
1200236 12/10 1200pcs B4楼B6区</t>
        </r>
      </text>
    </comment>
    <comment ref="AF284" authorId="0">
      <text>
        <r>
          <rPr>
            <b/>
            <sz val="12"/>
            <rFont val="宋体"/>
            <charset val="134"/>
          </rPr>
          <t>Administrator:</t>
        </r>
        <r>
          <rPr>
            <sz val="12"/>
            <rFont val="宋体"/>
            <charset val="134"/>
          </rPr>
          <t xml:space="preserve">
12/1 上UPC条码贴纸 1200pcs</t>
        </r>
      </text>
    </comment>
    <comment ref="AD285" authorId="0">
      <text>
        <r>
          <rPr>
            <b/>
            <sz val="12"/>
            <rFont val="宋体"/>
            <charset val="134"/>
          </rPr>
          <t>Administrator:</t>
        </r>
        <r>
          <rPr>
            <sz val="12"/>
            <rFont val="宋体"/>
            <charset val="134"/>
          </rPr>
          <t xml:space="preserve">
1200250 12/11 1200pcs 华兴一A5</t>
        </r>
      </text>
    </comment>
    <comment ref="AD286" authorId="0">
      <text>
        <r>
          <rPr>
            <b/>
            <sz val="12"/>
            <rFont val="宋体"/>
            <charset val="134"/>
          </rPr>
          <t>Administrator:</t>
        </r>
        <r>
          <rPr>
            <sz val="12"/>
            <rFont val="宋体"/>
            <charset val="134"/>
          </rPr>
          <t xml:space="preserve">
1200782 12/13 48pcs 华兴一B2</t>
        </r>
      </text>
    </comment>
    <comment ref="AF286" authorId="0">
      <text>
        <r>
          <rPr>
            <b/>
            <sz val="12"/>
            <rFont val="宋体"/>
            <charset val="134"/>
          </rPr>
          <t>Administrator:</t>
        </r>
        <r>
          <rPr>
            <sz val="12"/>
            <rFont val="宋体"/>
            <charset val="134"/>
          </rPr>
          <t xml:space="preserve">
11/27 上客供防伪贴纸 48pcs
11/27 上客供亚马逊外箱贴纸 2pcs</t>
        </r>
      </text>
    </comment>
    <comment ref="AD287" authorId="0">
      <text>
        <r>
          <rPr>
            <b/>
            <sz val="12"/>
            <rFont val="宋体"/>
            <charset val="134"/>
          </rPr>
          <t>Administrator:</t>
        </r>
        <r>
          <rPr>
            <sz val="12"/>
            <rFont val="宋体"/>
            <charset val="134"/>
          </rPr>
          <t xml:space="preserve">
1200782 12/13 24pcs 华兴一B2</t>
        </r>
      </text>
    </comment>
    <comment ref="AF287" authorId="0">
      <text>
        <r>
          <rPr>
            <b/>
            <sz val="12"/>
            <rFont val="宋体"/>
            <charset val="134"/>
          </rPr>
          <t>Administrator:</t>
        </r>
        <r>
          <rPr>
            <sz val="12"/>
            <rFont val="宋体"/>
            <charset val="134"/>
          </rPr>
          <t xml:space="preserve">
11/27 上客供防伪贴纸 48pcs
11/27 上客供亚马逊外箱贴纸 1pcs</t>
        </r>
      </text>
    </comment>
    <comment ref="AD288" authorId="0">
      <text>
        <r>
          <rPr>
            <b/>
            <sz val="12"/>
            <rFont val="宋体"/>
            <charset val="134"/>
          </rPr>
          <t>Administrator:</t>
        </r>
        <r>
          <rPr>
            <sz val="12"/>
            <rFont val="宋体"/>
            <charset val="134"/>
          </rPr>
          <t xml:space="preserve">
1200782 12/13 1200pcs 华兴一B2</t>
        </r>
      </text>
    </comment>
    <comment ref="AF288" authorId="0">
      <text>
        <r>
          <rPr>
            <b/>
            <sz val="12"/>
            <rFont val="宋体"/>
            <charset val="134"/>
          </rPr>
          <t>Administrator:</t>
        </r>
        <r>
          <rPr>
            <sz val="12"/>
            <rFont val="宋体"/>
            <charset val="134"/>
          </rPr>
          <t xml:space="preserve">
12/2 上客供价格贴纸 1260pcs</t>
        </r>
      </text>
    </comment>
    <comment ref="AD289" authorId="0">
      <text>
        <r>
          <rPr>
            <b/>
            <sz val="12"/>
            <rFont val="宋体"/>
            <charset val="134"/>
          </rPr>
          <t>Administrator:</t>
        </r>
        <r>
          <rPr>
            <sz val="12"/>
            <rFont val="宋体"/>
            <charset val="134"/>
          </rPr>
          <t xml:space="preserve">
1200782 12/13 1296pcs 华兴一B2</t>
        </r>
      </text>
    </comment>
    <comment ref="AF289" authorId="0">
      <text>
        <r>
          <rPr>
            <b/>
            <sz val="12"/>
            <rFont val="宋体"/>
            <charset val="134"/>
          </rPr>
          <t>Administrator:</t>
        </r>
        <r>
          <rPr>
            <sz val="12"/>
            <rFont val="宋体"/>
            <charset val="134"/>
          </rPr>
          <t xml:space="preserve">
11/27 上大白方防盗贴纸 1296pcs</t>
        </r>
      </text>
    </comment>
    <comment ref="AD290" authorId="0">
      <text>
        <r>
          <rPr>
            <b/>
            <sz val="12"/>
            <rFont val="宋体"/>
            <charset val="134"/>
          </rPr>
          <t>Administrator:</t>
        </r>
        <r>
          <rPr>
            <sz val="12"/>
            <rFont val="宋体"/>
            <charset val="134"/>
          </rPr>
          <t xml:space="preserve">
1200160 12/19 3000pcs B4楼A4区</t>
        </r>
      </text>
    </comment>
    <comment ref="AF290" authorId="0">
      <text>
        <r>
          <rPr>
            <b/>
            <sz val="12"/>
            <rFont val="宋体"/>
            <charset val="134"/>
          </rPr>
          <t>Administrator:</t>
        </r>
        <r>
          <rPr>
            <sz val="12"/>
            <rFont val="宋体"/>
            <charset val="134"/>
          </rPr>
          <t xml:space="preserve">
12/3 上UCC外箱贴纸 250pcs</t>
        </r>
      </text>
    </comment>
    <comment ref="AD291" authorId="0">
      <text>
        <r>
          <rPr>
            <b/>
            <sz val="12"/>
            <rFont val="宋体"/>
            <charset val="134"/>
          </rPr>
          <t>Administrator:</t>
        </r>
        <r>
          <rPr>
            <sz val="12"/>
            <rFont val="宋体"/>
            <charset val="134"/>
          </rPr>
          <t xml:space="preserve">
1200160 12/19 3000pcs B4楼A5区</t>
        </r>
      </text>
    </comment>
    <comment ref="AF291" authorId="0">
      <text>
        <r>
          <rPr>
            <b/>
            <sz val="12"/>
            <rFont val="宋体"/>
            <charset val="134"/>
          </rPr>
          <t>Administrator:</t>
        </r>
        <r>
          <rPr>
            <sz val="12"/>
            <rFont val="宋体"/>
            <charset val="134"/>
          </rPr>
          <t xml:space="preserve">
12/3 上UCC外箱贴纸 250pcs</t>
        </r>
      </text>
    </comment>
    <comment ref="AD292" authorId="0">
      <text>
        <r>
          <rPr>
            <b/>
            <sz val="12"/>
            <rFont val="宋体"/>
            <charset val="134"/>
          </rPr>
          <t>Administrator:</t>
        </r>
        <r>
          <rPr>
            <sz val="12"/>
            <rFont val="宋体"/>
            <charset val="134"/>
          </rPr>
          <t xml:space="preserve">
1600105 12/27 4590pcs 华兴一A5
</t>
        </r>
      </text>
    </comment>
    <comment ref="AF292" authorId="0">
      <text>
        <r>
          <rPr>
            <b/>
            <sz val="12"/>
            <rFont val="宋体"/>
            <charset val="134"/>
          </rPr>
          <t>Administrator:</t>
        </r>
        <r>
          <rPr>
            <sz val="12"/>
            <rFont val="宋体"/>
            <charset val="134"/>
          </rPr>
          <t xml:space="preserve">
12/12 上WIC贴纸 31404pcs</t>
        </r>
      </text>
    </comment>
    <comment ref="AD293" authorId="0">
      <text>
        <r>
          <rPr>
            <b/>
            <sz val="12"/>
            <rFont val="宋体"/>
            <charset val="134"/>
          </rPr>
          <t>Administrator:</t>
        </r>
        <r>
          <rPr>
            <sz val="12"/>
            <rFont val="宋体"/>
            <charset val="134"/>
          </rPr>
          <t xml:space="preserve">
1600111 12/27 1830pcs  华兴一A5
1600105 12/27 2610pcs  华兴一A5
</t>
        </r>
      </text>
    </comment>
    <comment ref="AD294" authorId="0">
      <text>
        <r>
          <rPr>
            <b/>
            <sz val="12"/>
            <rFont val="宋体"/>
            <charset val="134"/>
          </rPr>
          <t>Administrator:</t>
        </r>
        <r>
          <rPr>
            <sz val="12"/>
            <rFont val="宋体"/>
            <charset val="134"/>
          </rPr>
          <t xml:space="preserve">
1600111 12/27 2208pcs 华兴一A5</t>
        </r>
      </text>
    </comment>
    <comment ref="AD295" authorId="0">
      <text>
        <r>
          <rPr>
            <b/>
            <sz val="12"/>
            <rFont val="宋体"/>
            <charset val="134"/>
          </rPr>
          <t>Administrator:</t>
        </r>
        <r>
          <rPr>
            <sz val="12"/>
            <rFont val="宋体"/>
            <charset val="134"/>
          </rPr>
          <t xml:space="preserve">
1600111 12/27 2892pcs 华兴一A5
</t>
        </r>
      </text>
    </comment>
    <comment ref="AD296" authorId="0">
      <text>
        <r>
          <rPr>
            <b/>
            <sz val="12"/>
            <rFont val="宋体"/>
            <charset val="134"/>
          </rPr>
          <t>Administrator:</t>
        </r>
        <r>
          <rPr>
            <sz val="12"/>
            <rFont val="宋体"/>
            <charset val="134"/>
          </rPr>
          <t xml:space="preserve">
1600111 12/27 3024pcs 华兴一A5
</t>
        </r>
      </text>
    </comment>
    <comment ref="AD297" authorId="0">
      <text>
        <r>
          <rPr>
            <b/>
            <sz val="12"/>
            <rFont val="宋体"/>
            <charset val="134"/>
          </rPr>
          <t>Administrator:</t>
        </r>
        <r>
          <rPr>
            <sz val="12"/>
            <rFont val="宋体"/>
            <charset val="134"/>
          </rPr>
          <t xml:space="preserve">
1600111 12/27 2922pcs 华兴一A5
</t>
        </r>
      </text>
    </comment>
    <comment ref="AD298" authorId="0">
      <text>
        <r>
          <rPr>
            <b/>
            <sz val="12"/>
            <rFont val="宋体"/>
            <charset val="134"/>
          </rPr>
          <t>Administrator:</t>
        </r>
        <r>
          <rPr>
            <sz val="12"/>
            <rFont val="宋体"/>
            <charset val="134"/>
          </rPr>
          <t xml:space="preserve">
1600111 12/27 3792pcs 华兴一A5
</t>
        </r>
      </text>
    </comment>
    <comment ref="AD299" authorId="0">
      <text>
        <r>
          <rPr>
            <b/>
            <sz val="12"/>
            <rFont val="宋体"/>
            <charset val="134"/>
          </rPr>
          <t>Administrator:</t>
        </r>
        <r>
          <rPr>
            <sz val="12"/>
            <rFont val="宋体"/>
            <charset val="134"/>
          </rPr>
          <t xml:space="preserve">
1600111 12/27 624pcs 华兴一A5
</t>
        </r>
      </text>
    </comment>
    <comment ref="AD300" authorId="0">
      <text>
        <r>
          <rPr>
            <b/>
            <sz val="12"/>
            <rFont val="宋体"/>
            <charset val="134"/>
          </rPr>
          <t>Administrator:</t>
        </r>
        <r>
          <rPr>
            <sz val="12"/>
            <rFont val="宋体"/>
            <charset val="134"/>
          </rPr>
          <t xml:space="preserve">
1600111 12/27 2862pcs 华兴一A5
</t>
        </r>
      </text>
    </comment>
    <comment ref="AD301" authorId="0">
      <text>
        <r>
          <rPr>
            <b/>
            <sz val="12"/>
            <rFont val="宋体"/>
            <charset val="134"/>
          </rPr>
          <t>Administrator:</t>
        </r>
        <r>
          <rPr>
            <sz val="12"/>
            <rFont val="宋体"/>
            <charset val="134"/>
          </rPr>
          <t xml:space="preserve">
1600111 12/27 4050pcs 华兴一A5
</t>
        </r>
      </text>
    </comment>
    <comment ref="AD302" authorId="0">
      <text>
        <r>
          <rPr>
            <b/>
            <sz val="12"/>
            <rFont val="宋体"/>
            <charset val="134"/>
          </rPr>
          <t>Administrator:</t>
        </r>
        <r>
          <rPr>
            <sz val="12"/>
            <rFont val="宋体"/>
            <charset val="134"/>
          </rPr>
          <t xml:space="preserve">
1601092 1/10 1280pcs</t>
        </r>
      </text>
    </comment>
    <comment ref="AD303" authorId="0">
      <text>
        <r>
          <rPr>
            <b/>
            <sz val="12"/>
            <rFont val="宋体"/>
            <charset val="134"/>
          </rPr>
          <t>Administrator:</t>
        </r>
        <r>
          <rPr>
            <sz val="12"/>
            <rFont val="宋体"/>
            <charset val="134"/>
          </rPr>
          <t xml:space="preserve">
1601056 1/9 1188pcs 华兴一A5
1601114 1/13  12pcs 华兴一A5</t>
        </r>
      </text>
    </comment>
    <comment ref="AF303" authorId="0">
      <text>
        <r>
          <rPr>
            <b/>
            <sz val="12"/>
            <rFont val="宋体"/>
            <charset val="134"/>
          </rPr>
          <t>Administrator:</t>
        </r>
        <r>
          <rPr>
            <sz val="12"/>
            <rFont val="宋体"/>
            <charset val="134"/>
          </rPr>
          <t xml:space="preserve">
12/15 上客供价格贴纸 1320pcs</t>
        </r>
      </text>
    </comment>
    <comment ref="AD304" authorId="0">
      <text>
        <r>
          <rPr>
            <b/>
            <sz val="12"/>
            <rFont val="宋体"/>
            <charset val="134"/>
          </rPr>
          <t>Administrator:</t>
        </r>
        <r>
          <rPr>
            <sz val="12"/>
            <rFont val="宋体"/>
            <charset val="134"/>
          </rPr>
          <t xml:space="preserve">
1601265 1/23 1200pcs 华兴一B2</t>
        </r>
      </text>
    </comment>
    <comment ref="AF304" authorId="0">
      <text>
        <r>
          <rPr>
            <b/>
            <sz val="12"/>
            <rFont val="宋体"/>
            <charset val="134"/>
          </rPr>
          <t>Administrator:</t>
        </r>
        <r>
          <rPr>
            <sz val="12"/>
            <rFont val="宋体"/>
            <charset val="134"/>
          </rPr>
          <t xml:space="preserve">
12/27 上UPC条码贴纸 1200pcs</t>
        </r>
      </text>
    </comment>
    <comment ref="AD305" authorId="0">
      <text>
        <r>
          <rPr>
            <b/>
            <sz val="12"/>
            <rFont val="宋体"/>
            <charset val="134"/>
          </rPr>
          <t>Administrator:</t>
        </r>
        <r>
          <rPr>
            <sz val="12"/>
            <rFont val="宋体"/>
            <charset val="134"/>
          </rPr>
          <t xml:space="preserve">
1601265 1/23 1200pcs 华兴一B2
</t>
        </r>
      </text>
    </comment>
    <comment ref="AF305" authorId="0">
      <text>
        <r>
          <rPr>
            <b/>
            <sz val="12"/>
            <rFont val="宋体"/>
            <charset val="134"/>
          </rPr>
          <t>Administrator:</t>
        </r>
        <r>
          <rPr>
            <sz val="12"/>
            <rFont val="宋体"/>
            <charset val="134"/>
          </rPr>
          <t xml:space="preserve">
12/27 上UPC条码贴纸 1200pcs</t>
        </r>
      </text>
    </comment>
    <comment ref="AD306" authorId="0">
      <text>
        <r>
          <rPr>
            <b/>
            <sz val="12"/>
            <rFont val="宋体"/>
            <charset val="134"/>
          </rPr>
          <t>Administrator:</t>
        </r>
        <r>
          <rPr>
            <sz val="12"/>
            <rFont val="宋体"/>
            <charset val="134"/>
          </rPr>
          <t xml:space="preserve">
1601265 1/23 1008pcs 华兴一B2
</t>
        </r>
      </text>
    </comment>
    <comment ref="AD307" authorId="0">
      <text>
        <r>
          <rPr>
            <b/>
            <sz val="12"/>
            <rFont val="宋体"/>
            <charset val="134"/>
          </rPr>
          <t>Administrator:</t>
        </r>
        <r>
          <rPr>
            <sz val="12"/>
            <rFont val="宋体"/>
            <charset val="134"/>
          </rPr>
          <t xml:space="preserve">
1601265 1/23 504pcs 华兴一B3</t>
        </r>
      </text>
    </comment>
    <comment ref="AF307" authorId="0">
      <text>
        <r>
          <rPr>
            <b/>
            <sz val="12"/>
            <rFont val="宋体"/>
            <charset val="134"/>
          </rPr>
          <t>Administrator:</t>
        </r>
        <r>
          <rPr>
            <sz val="12"/>
            <rFont val="宋体"/>
            <charset val="134"/>
          </rPr>
          <t xml:space="preserve">
1/7 上UPC条码贴纸 504pcs</t>
        </r>
      </text>
    </comment>
    <comment ref="AD308" authorId="0">
      <text>
        <r>
          <rPr>
            <b/>
            <sz val="12"/>
            <rFont val="宋体"/>
            <charset val="134"/>
          </rPr>
          <t>Administrator:</t>
        </r>
        <r>
          <rPr>
            <sz val="12"/>
            <rFont val="宋体"/>
            <charset val="134"/>
          </rPr>
          <t xml:space="preserve">
1601265 1/23 504pcs 华兴一B3
</t>
        </r>
      </text>
    </comment>
    <comment ref="AF308" authorId="0">
      <text>
        <r>
          <rPr>
            <b/>
            <sz val="12"/>
            <rFont val="宋体"/>
            <charset val="134"/>
          </rPr>
          <t>Administrator:</t>
        </r>
        <r>
          <rPr>
            <sz val="12"/>
            <rFont val="宋体"/>
            <charset val="134"/>
          </rPr>
          <t xml:space="preserve">
1/7 上UPC条码贴纸 504pcs</t>
        </r>
      </text>
    </comment>
    <comment ref="AD309" authorId="0">
      <text>
        <r>
          <rPr>
            <b/>
            <sz val="12"/>
            <rFont val="宋体"/>
            <charset val="134"/>
          </rPr>
          <t>Administrator:</t>
        </r>
        <r>
          <rPr>
            <sz val="12"/>
            <rFont val="宋体"/>
            <charset val="134"/>
          </rPr>
          <t xml:space="preserve">
1601265 1/23 504pcs 华兴一B3
</t>
        </r>
      </text>
    </comment>
    <comment ref="AD310" authorId="0">
      <text>
        <r>
          <rPr>
            <b/>
            <sz val="12"/>
            <rFont val="宋体"/>
            <charset val="134"/>
          </rPr>
          <t>Administrator:</t>
        </r>
        <r>
          <rPr>
            <sz val="12"/>
            <rFont val="宋体"/>
            <charset val="134"/>
          </rPr>
          <t xml:space="preserve">
1405635 2/3 1200pcs 华兴一A5</t>
        </r>
      </text>
    </comment>
    <comment ref="AF310" authorId="0">
      <text>
        <r>
          <rPr>
            <b/>
            <sz val="12"/>
            <rFont val="宋体"/>
            <charset val="134"/>
          </rPr>
          <t>Administrator:</t>
        </r>
        <r>
          <rPr>
            <sz val="12"/>
            <rFont val="宋体"/>
            <charset val="134"/>
          </rPr>
          <t xml:space="preserve">
1/5 上客供价格贴纸 1260pcs</t>
        </r>
      </text>
    </comment>
    <comment ref="AD311" authorId="0">
      <text>
        <r>
          <rPr>
            <b/>
            <sz val="12"/>
            <rFont val="宋体"/>
            <charset val="134"/>
          </rPr>
          <t>Administrator:</t>
        </r>
        <r>
          <rPr>
            <sz val="12"/>
            <rFont val="宋体"/>
            <charset val="134"/>
          </rPr>
          <t xml:space="preserve">
1405642 2/3 3408pcs 华兴一A5</t>
        </r>
      </text>
    </comment>
    <comment ref="AF311" authorId="0">
      <text>
        <r>
          <rPr>
            <b/>
            <sz val="12"/>
            <rFont val="宋体"/>
            <charset val="134"/>
          </rPr>
          <t>Administrator:</t>
        </r>
        <r>
          <rPr>
            <sz val="12"/>
            <rFont val="宋体"/>
            <charset val="134"/>
          </rPr>
          <t xml:space="preserve">
1/14 上客供价格贴纸 3579pcs</t>
        </r>
      </text>
    </comment>
    <comment ref="AD312" authorId="0">
      <text>
        <r>
          <rPr>
            <b/>
            <sz val="12"/>
            <rFont val="宋体"/>
            <charset val="134"/>
          </rPr>
          <t>Administrator:</t>
        </r>
        <r>
          <rPr>
            <sz val="12"/>
            <rFont val="宋体"/>
            <charset val="134"/>
          </rPr>
          <t xml:space="preserve">
1405642 2/3 4200pcs 华兴一A5</t>
        </r>
      </text>
    </comment>
    <comment ref="AF312" authorId="0">
      <text>
        <r>
          <rPr>
            <b/>
            <sz val="12"/>
            <rFont val="宋体"/>
            <charset val="134"/>
          </rPr>
          <t>Administrator:</t>
        </r>
        <r>
          <rPr>
            <sz val="12"/>
            <rFont val="宋体"/>
            <charset val="134"/>
          </rPr>
          <t xml:space="preserve">
1/14 上客供价格贴纸 4410pcs</t>
        </r>
      </text>
    </comment>
    <comment ref="AD313" authorId="0">
      <text>
        <r>
          <rPr>
            <b/>
            <sz val="12"/>
            <rFont val="宋体"/>
            <charset val="134"/>
          </rPr>
          <t>Administrator:</t>
        </r>
        <r>
          <rPr>
            <sz val="12"/>
            <rFont val="宋体"/>
            <charset val="134"/>
          </rPr>
          <t xml:space="preserve">
1405642 2/3 3408pcs 华兴一A5</t>
        </r>
      </text>
    </comment>
    <comment ref="AF313" authorId="0">
      <text>
        <r>
          <rPr>
            <b/>
            <sz val="12"/>
            <rFont val="宋体"/>
            <charset val="134"/>
          </rPr>
          <t>Administrator:</t>
        </r>
        <r>
          <rPr>
            <sz val="12"/>
            <rFont val="宋体"/>
            <charset val="134"/>
          </rPr>
          <t xml:space="preserve">
1/14 上客供价格贴纸 3579pcs</t>
        </r>
      </text>
    </comment>
    <comment ref="AD314" authorId="0">
      <text>
        <r>
          <rPr>
            <b/>
            <sz val="12"/>
            <rFont val="宋体"/>
            <charset val="134"/>
          </rPr>
          <t>Administrator:</t>
        </r>
        <r>
          <rPr>
            <sz val="12"/>
            <rFont val="宋体"/>
            <charset val="134"/>
          </rPr>
          <t xml:space="preserve">
1405642 2/3  720pcs 华兴一A5
1405620 2/4 2280pcs 华兴一A1</t>
        </r>
      </text>
    </comment>
    <comment ref="AF314" authorId="0">
      <text>
        <r>
          <rPr>
            <b/>
            <sz val="12"/>
            <rFont val="宋体"/>
            <charset val="134"/>
          </rPr>
          <t>Administrator:</t>
        </r>
        <r>
          <rPr>
            <sz val="12"/>
            <rFont val="宋体"/>
            <charset val="134"/>
          </rPr>
          <t xml:space="preserve">
1/14 上客供价格贴纸 3150pcs</t>
        </r>
      </text>
    </comment>
    <comment ref="AD315" authorId="0">
      <text>
        <r>
          <rPr>
            <b/>
            <sz val="12"/>
            <rFont val="宋体"/>
            <charset val="134"/>
          </rPr>
          <t>Administrator:</t>
        </r>
        <r>
          <rPr>
            <sz val="12"/>
            <rFont val="宋体"/>
            <charset val="134"/>
          </rPr>
          <t xml:space="preserve">
1405556 2/7 600pcs B4楼A2区</t>
        </r>
      </text>
    </comment>
    <comment ref="AD316" authorId="0">
      <text>
        <r>
          <rPr>
            <b/>
            <sz val="12"/>
            <rFont val="宋体"/>
            <charset val="134"/>
          </rPr>
          <t>Administrator:</t>
        </r>
        <r>
          <rPr>
            <sz val="12"/>
            <rFont val="宋体"/>
            <charset val="134"/>
          </rPr>
          <t xml:space="preserve">
1405543 2/9 648pcs 华兴一A5</t>
        </r>
      </text>
    </comment>
    <comment ref="AF316" authorId="0">
      <text>
        <r>
          <rPr>
            <b/>
            <sz val="12"/>
            <rFont val="宋体"/>
            <charset val="134"/>
          </rPr>
          <t>Administrator:</t>
        </r>
        <r>
          <rPr>
            <sz val="12"/>
            <rFont val="宋体"/>
            <charset val="134"/>
          </rPr>
          <t xml:space="preserve">
1/22 上环保标贴纸 1128pcs
190805/190813共用
1/26 上亚马逊外箱贴纸 27pcs</t>
        </r>
      </text>
    </comment>
    <comment ref="AD317" authorId="0">
      <text>
        <r>
          <rPr>
            <b/>
            <sz val="12"/>
            <rFont val="宋体"/>
            <charset val="134"/>
          </rPr>
          <t>Administrator:</t>
        </r>
        <r>
          <rPr>
            <sz val="12"/>
            <rFont val="宋体"/>
            <charset val="134"/>
          </rPr>
          <t xml:space="preserve">
1405543 2/9 480pcs 华兴一A5</t>
        </r>
      </text>
    </comment>
    <comment ref="AF317" authorId="0">
      <text>
        <r>
          <rPr>
            <b/>
            <sz val="12"/>
            <rFont val="宋体"/>
            <charset val="134"/>
          </rPr>
          <t>Administrator:</t>
        </r>
        <r>
          <rPr>
            <sz val="12"/>
            <rFont val="宋体"/>
            <charset val="134"/>
          </rPr>
          <t xml:space="preserve">
1/22 上环保标贴纸 1128pcs
190805/190813共用
1/29 上亚马逊外箱贴纸 20pcs</t>
        </r>
      </text>
    </comment>
    <comment ref="AD318" authorId="0">
      <text>
        <r>
          <rPr>
            <b/>
            <sz val="12"/>
            <rFont val="宋体"/>
            <charset val="134"/>
          </rPr>
          <t>Administrator:</t>
        </r>
        <r>
          <rPr>
            <sz val="12"/>
            <rFont val="宋体"/>
            <charset val="134"/>
          </rPr>
          <t xml:space="preserve">
1405515 2/25 1500pcs</t>
        </r>
      </text>
    </comment>
    <comment ref="AF318" authorId="0">
      <text>
        <r>
          <rPr>
            <b/>
            <sz val="12"/>
            <rFont val="宋体"/>
            <charset val="134"/>
          </rPr>
          <t>Administrator:</t>
        </r>
        <r>
          <rPr>
            <sz val="12"/>
            <rFont val="宋体"/>
            <charset val="134"/>
          </rPr>
          <t xml:space="preserve">
1/30 上UPC条码贴纸 1500pcs</t>
        </r>
      </text>
    </comment>
    <comment ref="AF319" authorId="0">
      <text>
        <r>
          <rPr>
            <b/>
            <sz val="12"/>
            <rFont val="宋体"/>
            <charset val="134"/>
          </rPr>
          <t>Administrator:</t>
        </r>
        <r>
          <rPr>
            <sz val="12"/>
            <rFont val="宋体"/>
            <charset val="134"/>
          </rPr>
          <t xml:space="preserve">
1/30 上UPC条码贴纸 1500pcs</t>
        </r>
      </text>
    </comment>
  </commentList>
</comments>
</file>

<file path=xl/comments4.xml><?xml version="1.0" encoding="utf-8"?>
<comments xmlns="http://schemas.openxmlformats.org/spreadsheetml/2006/main">
  <authors>
    <author>Administrator</author>
    <author>admin</author>
  </authors>
  <commentList>
    <comment ref="X30" authorId="0">
      <text>
        <r>
          <rPr>
            <b/>
            <sz val="9"/>
            <rFont val="宋体"/>
            <charset val="134"/>
          </rPr>
          <t>Administrator:</t>
        </r>
        <r>
          <rPr>
            <sz val="9"/>
            <rFont val="宋体"/>
            <charset val="134"/>
          </rPr>
          <t xml:space="preserve">
32491</t>
        </r>
      </text>
    </comment>
    <comment ref="X38" authorId="0">
      <text>
        <r>
          <rPr>
            <b/>
            <sz val="9"/>
            <rFont val="宋体"/>
            <charset val="134"/>
          </rPr>
          <t>Administrator:</t>
        </r>
        <r>
          <rPr>
            <sz val="9"/>
            <rFont val="宋体"/>
            <charset val="134"/>
          </rPr>
          <t xml:space="preserve">
32491</t>
        </r>
      </text>
    </comment>
    <comment ref="X43" authorId="0">
      <text>
        <r>
          <rPr>
            <b/>
            <sz val="9"/>
            <rFont val="宋体"/>
            <charset val="134"/>
          </rPr>
          <t>Administrator:</t>
        </r>
        <r>
          <rPr>
            <sz val="9"/>
            <rFont val="宋体"/>
            <charset val="134"/>
          </rPr>
          <t xml:space="preserve">
32491</t>
        </r>
      </text>
    </comment>
    <comment ref="P87" authorId="0">
      <text>
        <r>
          <rPr>
            <b/>
            <sz val="9"/>
            <rFont val="宋体"/>
            <charset val="134"/>
          </rPr>
          <t>Administrator:</t>
        </r>
        <r>
          <rPr>
            <sz val="9"/>
            <rFont val="宋体"/>
            <charset val="134"/>
          </rPr>
          <t xml:space="preserve">
11/11 上客供BD贴纸472pcs</t>
        </r>
      </text>
    </comment>
    <comment ref="O95" authorId="0">
      <text>
        <r>
          <rPr>
            <b/>
            <sz val="9"/>
            <rFont val="宋体"/>
            <charset val="134"/>
          </rPr>
          <t>Administrator:</t>
        </r>
        <r>
          <rPr>
            <sz val="9"/>
            <rFont val="宋体"/>
            <charset val="134"/>
          </rPr>
          <t xml:space="preserve">
8/4  0000858:1104</t>
        </r>
      </text>
    </comment>
    <comment ref="P95" authorId="0">
      <text>
        <r>
          <rPr>
            <b/>
            <sz val="9"/>
            <rFont val="宋体"/>
            <charset val="134"/>
          </rPr>
          <t>Administrator:</t>
        </r>
        <r>
          <rPr>
            <sz val="9"/>
            <rFont val="宋体"/>
            <charset val="134"/>
          </rPr>
          <t xml:space="preserve">
6/7 产品贴纸
6/9 警告语贴纸
6/16 远东外箱贴纸
</t>
        </r>
      </text>
    </comment>
    <comment ref="R95" authorId="0">
      <text>
        <r>
          <rPr>
            <b/>
            <sz val="9"/>
            <rFont val="宋体"/>
            <charset val="134"/>
          </rPr>
          <t>Administrator:</t>
        </r>
        <r>
          <rPr>
            <sz val="9"/>
            <rFont val="宋体"/>
            <charset val="134"/>
          </rPr>
          <t xml:space="preserve">
原7/2验货退测试
第三方验</t>
        </r>
      </text>
    </comment>
    <comment ref="O96" authorId="0">
      <text>
        <r>
          <rPr>
            <b/>
            <sz val="9"/>
            <rFont val="宋体"/>
            <charset val="134"/>
          </rPr>
          <t>Administrator:</t>
        </r>
        <r>
          <rPr>
            <sz val="9"/>
            <rFont val="宋体"/>
            <charset val="134"/>
          </rPr>
          <t xml:space="preserve">
8/4 00000858:66</t>
        </r>
      </text>
    </comment>
    <comment ref="R96" authorId="0">
      <text>
        <r>
          <rPr>
            <b/>
            <sz val="9"/>
            <rFont val="宋体"/>
            <charset val="134"/>
          </rPr>
          <t>Administrator:</t>
        </r>
        <r>
          <rPr>
            <sz val="9"/>
            <rFont val="宋体"/>
            <charset val="134"/>
          </rPr>
          <t xml:space="preserve">
原7/2验货退测试
第三方验</t>
        </r>
      </text>
    </comment>
    <comment ref="P97" authorId="0">
      <text>
        <r>
          <rPr>
            <b/>
            <sz val="9"/>
            <rFont val="宋体"/>
            <charset val="134"/>
          </rPr>
          <t>Administrator:</t>
        </r>
        <r>
          <rPr>
            <sz val="9"/>
            <rFont val="宋体"/>
            <charset val="134"/>
          </rPr>
          <t xml:space="preserve">
7/28 进口商贴纸</t>
        </r>
      </text>
    </comment>
    <comment ref="O98" authorId="0">
      <text>
        <r>
          <rPr>
            <b/>
            <sz val="9"/>
            <rFont val="宋体"/>
            <charset val="134"/>
          </rPr>
          <t>Administrator:</t>
        </r>
        <r>
          <rPr>
            <sz val="9"/>
            <rFont val="宋体"/>
            <charset val="134"/>
          </rPr>
          <t xml:space="preserve">
9/23 0008820:270</t>
        </r>
      </text>
    </comment>
    <comment ref="P98" authorId="0">
      <text>
        <r>
          <rPr>
            <b/>
            <sz val="9"/>
            <rFont val="宋体"/>
            <charset val="134"/>
          </rPr>
          <t>Administrator:</t>
        </r>
        <r>
          <rPr>
            <sz val="9"/>
            <rFont val="宋体"/>
            <charset val="134"/>
          </rPr>
          <t xml:space="preserve">
7/21 客人警告语贴纸
+客版电池说明书</t>
        </r>
      </text>
    </comment>
    <comment ref="U99" authorId="0">
      <text>
        <r>
          <rPr>
            <b/>
            <sz val="9"/>
            <rFont val="宋体"/>
            <charset val="134"/>
          </rPr>
          <t>Administrator:</t>
        </r>
        <r>
          <rPr>
            <sz val="9"/>
            <rFont val="宋体"/>
            <charset val="134"/>
          </rPr>
          <t xml:space="preserve">
7/28收到
</t>
        </r>
      </text>
    </comment>
    <comment ref="Q100" authorId="0">
      <text>
        <r>
          <rPr>
            <b/>
            <sz val="9"/>
            <rFont val="宋体"/>
            <charset val="134"/>
          </rPr>
          <t>Administrator:</t>
        </r>
        <r>
          <rPr>
            <sz val="9"/>
            <rFont val="宋体"/>
            <charset val="134"/>
          </rPr>
          <t xml:space="preserve">
7/22 邮包盒UPC贴纸</t>
        </r>
      </text>
    </comment>
    <comment ref="O101" authorId="0">
      <text>
        <r>
          <rPr>
            <b/>
            <sz val="9"/>
            <rFont val="宋体"/>
            <charset val="134"/>
          </rPr>
          <t>Administrator:</t>
        </r>
        <r>
          <rPr>
            <sz val="9"/>
            <rFont val="宋体"/>
            <charset val="134"/>
          </rPr>
          <t xml:space="preserve">
5/25 0007083:2100
5/28退回湖南返工</t>
        </r>
      </text>
    </comment>
    <comment ref="O102" authorId="0">
      <text>
        <r>
          <rPr>
            <b/>
            <sz val="9"/>
            <rFont val="宋体"/>
            <charset val="134"/>
          </rPr>
          <t>Administrator:</t>
        </r>
        <r>
          <rPr>
            <sz val="9"/>
            <rFont val="宋体"/>
            <charset val="134"/>
          </rPr>
          <t xml:space="preserve">
4/12 0001997:2976
4/12 0002001:1224</t>
        </r>
      </text>
    </comment>
    <comment ref="O103" authorId="0">
      <text>
        <r>
          <rPr>
            <b/>
            <sz val="9"/>
            <rFont val="宋体"/>
            <charset val="134"/>
          </rPr>
          <t>Administrator:</t>
        </r>
        <r>
          <rPr>
            <sz val="9"/>
            <rFont val="宋体"/>
            <charset val="134"/>
          </rPr>
          <t xml:space="preserve">
5/13 0007321:3600</t>
        </r>
      </text>
    </comment>
    <comment ref="O104" authorId="0">
      <text>
        <r>
          <rPr>
            <b/>
            <sz val="9"/>
            <rFont val="宋体"/>
            <charset val="134"/>
          </rPr>
          <t>Administrator:</t>
        </r>
        <r>
          <rPr>
            <sz val="9"/>
            <rFont val="宋体"/>
            <charset val="134"/>
          </rPr>
          <t xml:space="preserve">
9/23 0007382:1104</t>
        </r>
      </text>
    </comment>
    <comment ref="Q106" authorId="0">
      <text>
        <r>
          <rPr>
            <b/>
            <sz val="9"/>
            <rFont val="宋体"/>
            <charset val="134"/>
          </rPr>
          <t>Administrator:</t>
        </r>
        <r>
          <rPr>
            <sz val="9"/>
            <rFont val="宋体"/>
            <charset val="134"/>
          </rPr>
          <t xml:space="preserve">
7/22 警告语贴纸</t>
        </r>
      </text>
    </comment>
    <comment ref="O111" authorId="0">
      <text>
        <r>
          <rPr>
            <b/>
            <sz val="9"/>
            <rFont val="宋体"/>
            <charset val="134"/>
          </rPr>
          <t>Administrator:</t>
        </r>
        <r>
          <rPr>
            <sz val="9"/>
            <rFont val="宋体"/>
            <charset val="134"/>
          </rPr>
          <t xml:space="preserve">
9/10 0002902:620+620+620</t>
        </r>
      </text>
    </comment>
    <comment ref="Q111" authorId="0">
      <text>
        <r>
          <rPr>
            <b/>
            <sz val="9"/>
            <rFont val="宋体"/>
            <charset val="134"/>
          </rPr>
          <t>Administrator:</t>
        </r>
        <r>
          <rPr>
            <sz val="9"/>
            <rFont val="宋体"/>
            <charset val="134"/>
          </rPr>
          <t xml:space="preserve">
8/11 进口商贴纸</t>
        </r>
      </text>
    </comment>
    <comment ref="Q113" authorId="0">
      <text>
        <r>
          <rPr>
            <b/>
            <sz val="9"/>
            <rFont val="宋体"/>
            <charset val="134"/>
          </rPr>
          <t>Administrator:</t>
        </r>
        <r>
          <rPr>
            <sz val="9"/>
            <rFont val="宋体"/>
            <charset val="134"/>
          </rPr>
          <t xml:space="preserve">
</t>
        </r>
        <r>
          <rPr>
            <sz val="11"/>
            <rFont val="宋体"/>
            <charset val="134"/>
          </rPr>
          <t>11/15 上UPC贴纸498pcs</t>
        </r>
      </text>
    </comment>
    <comment ref="W117" authorId="0">
      <text>
        <r>
          <rPr>
            <b/>
            <sz val="9"/>
            <rFont val="宋体"/>
            <charset val="134"/>
          </rPr>
          <t>Administrator:</t>
        </r>
        <r>
          <rPr>
            <sz val="9"/>
            <rFont val="宋体"/>
            <charset val="134"/>
          </rPr>
          <t xml:space="preserve">
12/3 收到客版包装资料
</t>
        </r>
      </text>
    </comment>
    <comment ref="W118" authorId="0">
      <text>
        <r>
          <rPr>
            <b/>
            <sz val="9"/>
            <rFont val="宋体"/>
            <charset val="134"/>
          </rPr>
          <t>Administrator:</t>
        </r>
        <r>
          <rPr>
            <sz val="9"/>
            <rFont val="宋体"/>
            <charset val="134"/>
          </rPr>
          <t xml:space="preserve">
12/3 收到客版包装资料
</t>
        </r>
      </text>
    </comment>
    <comment ref="W119" authorId="0">
      <text>
        <r>
          <rPr>
            <b/>
            <sz val="9"/>
            <rFont val="宋体"/>
            <charset val="134"/>
          </rPr>
          <t>Administrator:</t>
        </r>
        <r>
          <rPr>
            <sz val="9"/>
            <rFont val="宋体"/>
            <charset val="134"/>
          </rPr>
          <t xml:space="preserve">
12/3 收到客版包装资料
</t>
        </r>
      </text>
    </comment>
    <comment ref="W120" authorId="0">
      <text>
        <r>
          <rPr>
            <b/>
            <sz val="9"/>
            <rFont val="宋体"/>
            <charset val="134"/>
          </rPr>
          <t>Administrator:</t>
        </r>
        <r>
          <rPr>
            <sz val="9"/>
            <rFont val="宋体"/>
            <charset val="134"/>
          </rPr>
          <t xml:space="preserve">
12/3 收到客版包装资料
</t>
        </r>
      </text>
    </comment>
    <comment ref="W121" authorId="0">
      <text>
        <r>
          <rPr>
            <b/>
            <sz val="9"/>
            <rFont val="宋体"/>
            <charset val="134"/>
          </rPr>
          <t>Administrator:</t>
        </r>
        <r>
          <rPr>
            <sz val="9"/>
            <rFont val="宋体"/>
            <charset val="134"/>
          </rPr>
          <t xml:space="preserve">
12/3 收到客版包装资料
</t>
        </r>
      </text>
    </comment>
    <comment ref="W122" authorId="0">
      <text>
        <r>
          <rPr>
            <b/>
            <sz val="9"/>
            <rFont val="宋体"/>
            <charset val="134"/>
          </rPr>
          <t>Administrator:</t>
        </r>
        <r>
          <rPr>
            <sz val="9"/>
            <rFont val="宋体"/>
            <charset val="134"/>
          </rPr>
          <t xml:space="preserve">
12/3 收到客版包装资料
</t>
        </r>
      </text>
    </comment>
    <comment ref="W123" authorId="0">
      <text>
        <r>
          <rPr>
            <b/>
            <sz val="9"/>
            <rFont val="宋体"/>
            <charset val="134"/>
          </rPr>
          <t>Administrator:</t>
        </r>
        <r>
          <rPr>
            <sz val="9"/>
            <rFont val="宋体"/>
            <charset val="134"/>
          </rPr>
          <t xml:space="preserve">
12/3 收到客版包装资料
</t>
        </r>
      </text>
    </comment>
    <comment ref="AC156" authorId="0">
      <text>
        <r>
          <rPr>
            <b/>
            <sz val="11"/>
            <rFont val="宋体"/>
            <charset val="134"/>
          </rPr>
          <t>Administrator:</t>
        </r>
        <r>
          <rPr>
            <sz val="11"/>
            <rFont val="宋体"/>
            <charset val="134"/>
          </rPr>
          <t xml:space="preserve">
6/6 上UPC贴纸 5784pcs</t>
        </r>
      </text>
    </comment>
    <comment ref="AC157" authorId="0">
      <text>
        <r>
          <rPr>
            <b/>
            <sz val="11"/>
            <rFont val="宋体"/>
            <charset val="134"/>
          </rPr>
          <t>Administrator:</t>
        </r>
        <r>
          <rPr>
            <sz val="11"/>
            <rFont val="宋体"/>
            <charset val="134"/>
          </rPr>
          <t xml:space="preserve">
6/6 上UPC贴纸 5322pcs</t>
        </r>
      </text>
    </comment>
    <comment ref="AC158" authorId="0">
      <text>
        <r>
          <rPr>
            <b/>
            <sz val="11"/>
            <rFont val="宋体"/>
            <charset val="134"/>
          </rPr>
          <t>Administrator:</t>
        </r>
        <r>
          <rPr>
            <sz val="11"/>
            <rFont val="宋体"/>
            <charset val="134"/>
          </rPr>
          <t xml:space="preserve">
6/6 上UPC贴纸 6198pcs</t>
        </r>
      </text>
    </comment>
    <comment ref="AA159" authorId="0">
      <text>
        <r>
          <rPr>
            <b/>
            <sz val="11"/>
            <rFont val="宋体"/>
            <charset val="134"/>
          </rPr>
          <t>Administrator:</t>
        </r>
        <r>
          <rPr>
            <sz val="11"/>
            <rFont val="宋体"/>
            <charset val="134"/>
          </rPr>
          <t xml:space="preserve">
0005777 6/9 876 pcs</t>
        </r>
      </text>
    </comment>
    <comment ref="AC159" authorId="0">
      <text>
        <r>
          <rPr>
            <b/>
            <sz val="11"/>
            <rFont val="宋体"/>
            <charset val="134"/>
          </rPr>
          <t>Administrator:</t>
        </r>
        <r>
          <rPr>
            <sz val="11"/>
            <rFont val="宋体"/>
            <charset val="134"/>
          </rPr>
          <t xml:space="preserve">
5/27 上大白方防盗贴纸 900pcs
6/1 上价格贴纸 4956pcs（共用）
</t>
        </r>
      </text>
    </comment>
    <comment ref="AA160" authorId="0">
      <text>
        <r>
          <rPr>
            <b/>
            <sz val="11"/>
            <rFont val="宋体"/>
            <charset val="134"/>
          </rPr>
          <t>Administrator:</t>
        </r>
        <r>
          <rPr>
            <sz val="11"/>
            <rFont val="宋体"/>
            <charset val="134"/>
          </rPr>
          <t xml:space="preserve">
0002237 6/13 1284pcs 张文加二A5</t>
        </r>
      </text>
    </comment>
    <comment ref="AC160" authorId="0">
      <text>
        <r>
          <rPr>
            <b/>
            <sz val="11"/>
            <rFont val="宋体"/>
            <charset val="134"/>
          </rPr>
          <t>Administrator:</t>
        </r>
        <r>
          <rPr>
            <sz val="11"/>
            <rFont val="宋体"/>
            <charset val="134"/>
          </rPr>
          <t xml:space="preserve">
5/27 上大白方防盗贴纸 1310pcs
6/1 上价格贴纸 4956pcs（共用）</t>
        </r>
      </text>
    </comment>
    <comment ref="AA161" authorId="0">
      <text>
        <r>
          <rPr>
            <b/>
            <sz val="11"/>
            <rFont val="宋体"/>
            <charset val="134"/>
          </rPr>
          <t>Administrator:</t>
        </r>
        <r>
          <rPr>
            <sz val="11"/>
            <rFont val="宋体"/>
            <charset val="134"/>
          </rPr>
          <t xml:space="preserve">
0002237 6/13 1050pcs 张文加二A5</t>
        </r>
      </text>
    </comment>
    <comment ref="AC161" authorId="0">
      <text>
        <r>
          <rPr>
            <b/>
            <sz val="11"/>
            <rFont val="宋体"/>
            <charset val="134"/>
          </rPr>
          <t>Administrator:</t>
        </r>
        <r>
          <rPr>
            <sz val="11"/>
            <rFont val="宋体"/>
            <charset val="134"/>
          </rPr>
          <t xml:space="preserve">
5/27 上大白方防盗贴纸 1075pcs
6/1 上价格贴纸 4956pcs（共用）
</t>
        </r>
      </text>
    </comment>
    <comment ref="AC162" authorId="0">
      <text>
        <r>
          <rPr>
            <b/>
            <sz val="11"/>
            <rFont val="宋体"/>
            <charset val="134"/>
          </rPr>
          <t>Administrator:</t>
        </r>
        <r>
          <rPr>
            <sz val="11"/>
            <rFont val="宋体"/>
            <charset val="134"/>
          </rPr>
          <t xml:space="preserve">
5/27 上大白方防盗贴纸 905pcs
6/1 上价格贴纸 4956pcs（共用）
</t>
        </r>
      </text>
    </comment>
    <comment ref="AC163" authorId="0">
      <text>
        <r>
          <rPr>
            <b/>
            <sz val="11"/>
            <rFont val="宋体"/>
            <charset val="134"/>
          </rPr>
          <t>Administrator:</t>
        </r>
        <r>
          <rPr>
            <sz val="11"/>
            <rFont val="宋体"/>
            <charset val="134"/>
          </rPr>
          <t xml:space="preserve">
5/27 上大白方防盗贴纸 885pcs
6/1 上价格贴纸 4956pcs（共用）
</t>
        </r>
      </text>
    </comment>
    <comment ref="AD167" authorId="0">
      <text>
        <r>
          <rPr>
            <b/>
            <sz val="11"/>
            <rFont val="宋体"/>
            <charset val="134"/>
          </rPr>
          <t>Administrator:</t>
        </r>
        <r>
          <rPr>
            <sz val="11"/>
            <rFont val="宋体"/>
            <charset val="134"/>
          </rPr>
          <t xml:space="preserve">
10/26 收到SSCC贴纸118pcs</t>
        </r>
      </text>
    </comment>
    <comment ref="P168" authorId="0">
      <text>
        <r>
          <rPr>
            <b/>
            <sz val="9"/>
            <rFont val="宋体"/>
            <charset val="134"/>
          </rPr>
          <t>Administrator:</t>
        </r>
        <r>
          <rPr>
            <sz val="9"/>
            <rFont val="宋体"/>
            <charset val="134"/>
          </rPr>
          <t xml:space="preserve">
12/30 出货
</t>
        </r>
      </text>
    </comment>
    <comment ref="Z168" authorId="0">
      <text>
        <r>
          <rPr>
            <b/>
            <sz val="10"/>
            <rFont val="宋体"/>
            <charset val="134"/>
          </rPr>
          <t>Admini</t>
        </r>
        <r>
          <rPr>
            <b/>
            <sz val="14"/>
            <rFont val="宋体"/>
            <charset val="134"/>
          </rPr>
          <t>strator:</t>
        </r>
        <r>
          <rPr>
            <sz val="10"/>
            <rFont val="宋体"/>
            <charset val="134"/>
          </rPr>
          <t xml:space="preserve">
0010742  12/20 372
补19箱二b10
  64394 3600  换箱成64413
  12/30 出3444  pcs</t>
        </r>
      </text>
    </comment>
    <comment ref="Z204" authorId="0">
      <text>
        <r>
          <rPr>
            <b/>
            <sz val="9"/>
            <rFont val="宋体"/>
            <charset val="134"/>
          </rPr>
          <t>Administrator:</t>
        </r>
        <r>
          <rPr>
            <sz val="9"/>
            <rFont val="宋体"/>
            <charset val="134"/>
          </rPr>
          <t xml:space="preserve">
东莞A车间生产</t>
        </r>
      </text>
    </comment>
    <comment ref="AD204" authorId="0">
      <text>
        <r>
          <rPr>
            <b/>
            <sz val="9"/>
            <rFont val="宋体"/>
            <charset val="134"/>
          </rPr>
          <t>Administrator:</t>
        </r>
        <r>
          <rPr>
            <sz val="9"/>
            <rFont val="宋体"/>
            <charset val="134"/>
          </rPr>
          <t xml:space="preserve">
11/18 EAN条码贴纸警告语贴纸 480 pcs</t>
        </r>
      </text>
    </comment>
    <comment ref="Z205" authorId="0">
      <text>
        <r>
          <rPr>
            <b/>
            <sz val="10"/>
            <rFont val="宋体"/>
            <charset val="134"/>
          </rPr>
          <t>Administrator:</t>
        </r>
        <r>
          <rPr>
            <sz val="10"/>
            <rFont val="宋体"/>
            <charset val="134"/>
          </rPr>
          <t xml:space="preserve">
0000874 12/9 480 pcs 张文加 C3</t>
        </r>
      </text>
    </comment>
    <comment ref="AD205" authorId="0">
      <text>
        <r>
          <rPr>
            <b/>
            <sz val="9"/>
            <rFont val="宋体"/>
            <charset val="134"/>
          </rPr>
          <t>Administrator:</t>
        </r>
        <r>
          <rPr>
            <sz val="9"/>
            <rFont val="宋体"/>
            <charset val="134"/>
          </rPr>
          <t xml:space="preserve">
11/18 EAN条码贴纸警告语贴纸 480 pcs</t>
        </r>
      </text>
    </comment>
    <comment ref="K206" authorId="1">
      <text>
        <r>
          <rPr>
            <b/>
            <sz val="9"/>
            <rFont val="宋体"/>
            <charset val="134"/>
          </rPr>
          <t xml:space="preserve">此单纸箱消耗18pcs于4500092387-25253中
</t>
        </r>
      </text>
    </comment>
    <comment ref="Z206" authorId="0">
      <text>
        <r>
          <rPr>
            <b/>
            <sz val="12"/>
            <rFont val="宋体"/>
            <charset val="134"/>
          </rPr>
          <t>Administrator:</t>
        </r>
        <r>
          <rPr>
            <sz val="9"/>
            <rFont val="宋体"/>
            <charset val="134"/>
          </rPr>
          <t xml:space="preserve">
0000881 12/10 480 pcs 张文加 A3</t>
        </r>
      </text>
    </comment>
    <comment ref="AD206" authorId="0">
      <text>
        <r>
          <rPr>
            <b/>
            <sz val="9"/>
            <rFont val="宋体"/>
            <charset val="134"/>
          </rPr>
          <t>Administrator:</t>
        </r>
        <r>
          <rPr>
            <sz val="9"/>
            <rFont val="宋体"/>
            <charset val="134"/>
          </rPr>
          <t xml:space="preserve">
11/18 EAN条码贴纸警告语贴纸 480 pcs</t>
        </r>
      </text>
    </comment>
    <comment ref="Z207" authorId="0">
      <text>
        <r>
          <rPr>
            <b/>
            <sz val="9"/>
            <rFont val="宋体"/>
            <charset val="134"/>
          </rPr>
          <t>Administrator:</t>
        </r>
        <r>
          <rPr>
            <sz val="9"/>
            <rFont val="宋体"/>
            <charset val="134"/>
          </rPr>
          <t xml:space="preserve">
东莞A车间生产一款鳄鱼160 pcs
0000881 12/10 320 pcs 张文加 B4</t>
        </r>
      </text>
    </comment>
    <comment ref="AD207" authorId="0">
      <text>
        <r>
          <rPr>
            <b/>
            <sz val="9"/>
            <rFont val="宋体"/>
            <charset val="134"/>
          </rPr>
          <t>Administrator:</t>
        </r>
        <r>
          <rPr>
            <sz val="9"/>
            <rFont val="宋体"/>
            <charset val="134"/>
          </rPr>
          <t xml:space="preserve">
11/18 EAN条码贴纸警告语贴纸 480 pcs</t>
        </r>
      </text>
    </comment>
    <comment ref="AB208" authorId="0">
      <text>
        <r>
          <rPr>
            <b/>
            <sz val="9"/>
            <rFont val="宋体"/>
            <charset val="134"/>
          </rPr>
          <t>Administrator:</t>
        </r>
        <r>
          <rPr>
            <sz val="9"/>
            <rFont val="宋体"/>
            <charset val="134"/>
          </rPr>
          <t xml:space="preserve">
河源生产
0151337 12/7 480 pcs 莫还军 A栋一楼</t>
        </r>
      </text>
    </comment>
    <comment ref="AC208" authorId="0">
      <text>
        <r>
          <rPr>
            <b/>
            <sz val="9"/>
            <rFont val="宋体"/>
            <charset val="134"/>
          </rPr>
          <t>Administrator:</t>
        </r>
        <r>
          <rPr>
            <sz val="9"/>
            <rFont val="宋体"/>
            <charset val="134"/>
          </rPr>
          <t xml:space="preserve">
11/18 EAN贴纸 480 pcs
      警告语 480 pcs</t>
        </r>
      </text>
    </comment>
    <comment ref="AB211" authorId="0">
      <text>
        <r>
          <rPr>
            <b/>
            <sz val="11"/>
            <rFont val="宋体"/>
            <charset val="134"/>
          </rPr>
          <t>Administrator:</t>
        </r>
        <r>
          <rPr>
            <sz val="11"/>
            <rFont val="宋体"/>
            <charset val="134"/>
          </rPr>
          <t xml:space="preserve">
0009709 4/22 5004pcs 莫海军B4楼</t>
        </r>
      </text>
    </comment>
    <comment ref="AD211" authorId="0">
      <text>
        <r>
          <rPr>
            <b/>
            <sz val="11"/>
            <rFont val="宋体"/>
            <charset val="134"/>
          </rPr>
          <t>Administrator:</t>
        </r>
        <r>
          <rPr>
            <sz val="11"/>
            <rFont val="宋体"/>
            <charset val="134"/>
          </rPr>
          <t xml:space="preserve">
4/12 上客版贴纸 5004pcs</t>
        </r>
      </text>
    </comment>
    <comment ref="AD218" authorId="0">
      <text>
        <r>
          <rPr>
            <b/>
            <sz val="11"/>
            <rFont val="宋体"/>
            <charset val="134"/>
          </rPr>
          <t>Administrator:</t>
        </r>
        <r>
          <rPr>
            <sz val="11"/>
            <rFont val="宋体"/>
            <charset val="134"/>
          </rPr>
          <t xml:space="preserve">
6/2 上UPC贴纸 432pcs
    上内含物贴纸 432pcs</t>
        </r>
      </text>
    </comment>
    <comment ref="AD221" authorId="0">
      <text>
        <r>
          <rPr>
            <b/>
            <sz val="11"/>
            <rFont val="宋体"/>
            <charset val="134"/>
          </rPr>
          <t>Administrator:</t>
        </r>
        <r>
          <rPr>
            <sz val="11"/>
            <rFont val="宋体"/>
            <charset val="134"/>
          </rPr>
          <t xml:space="preserve">
6/13 上内涵物贴纸 360pcs
     上UPC贴纸 360pcs</t>
        </r>
      </text>
    </comment>
    <comment ref="AE238" authorId="0">
      <text>
        <r>
          <rPr>
            <b/>
            <sz val="11"/>
            <rFont val="宋体"/>
            <charset val="134"/>
          </rPr>
          <t>Administrator:</t>
        </r>
        <r>
          <rPr>
            <sz val="11"/>
            <rFont val="宋体"/>
            <charset val="134"/>
          </rPr>
          <t xml:space="preserve">
7/6 上UPC贴纸 1296pcs
    上内含物贴纸 1296pcs</t>
        </r>
      </text>
    </comment>
    <comment ref="AE239" authorId="0">
      <text>
        <r>
          <rPr>
            <b/>
            <sz val="11"/>
            <rFont val="宋体"/>
            <charset val="134"/>
          </rPr>
          <t>Administrator:</t>
        </r>
        <r>
          <rPr>
            <sz val="11"/>
            <rFont val="宋体"/>
            <charset val="134"/>
          </rPr>
          <t xml:space="preserve">
7/7 上UPC贴纸 168pcs
    上内含物贴纸 168pcs</t>
        </r>
      </text>
    </comment>
    <comment ref="AE243" authorId="0">
      <text>
        <r>
          <rPr>
            <b/>
            <sz val="11"/>
            <rFont val="宋体"/>
            <charset val="134"/>
          </rPr>
          <t>Administrator:</t>
        </r>
        <r>
          <rPr>
            <sz val="11"/>
            <rFont val="宋体"/>
            <charset val="134"/>
          </rPr>
          <t xml:space="preserve">
6/21 上SSCC外箱贴纸 14pcs</t>
        </r>
      </text>
    </comment>
    <comment ref="AE244" authorId="0">
      <text>
        <r>
          <rPr>
            <b/>
            <sz val="11"/>
            <rFont val="宋体"/>
            <charset val="134"/>
          </rPr>
          <t>Administrator:</t>
        </r>
        <r>
          <rPr>
            <sz val="11"/>
            <rFont val="宋体"/>
            <charset val="134"/>
          </rPr>
          <t xml:space="preserve">
6/21 上SSCC外箱贴纸 101pcs</t>
        </r>
      </text>
    </comment>
    <comment ref="AE245" authorId="0">
      <text>
        <r>
          <rPr>
            <b/>
            <sz val="11"/>
            <rFont val="宋体"/>
            <charset val="134"/>
          </rPr>
          <t>Administrator:</t>
        </r>
        <r>
          <rPr>
            <sz val="11"/>
            <rFont val="宋体"/>
            <charset val="134"/>
          </rPr>
          <t xml:space="preserve">
6/28 上SSCC外箱贴纸 71pcs</t>
        </r>
      </text>
    </comment>
    <comment ref="AE246" authorId="0">
      <text>
        <r>
          <rPr>
            <b/>
            <sz val="11"/>
            <rFont val="宋体"/>
            <charset val="134"/>
          </rPr>
          <t>Administrator:</t>
        </r>
        <r>
          <rPr>
            <sz val="11"/>
            <rFont val="宋体"/>
            <charset val="134"/>
          </rPr>
          <t xml:space="preserve">
6/28 上SSCC外箱贴纸 13pcs</t>
        </r>
      </text>
    </comment>
    <comment ref="AC247" authorId="0">
      <text>
        <r>
          <rPr>
            <b/>
            <sz val="11"/>
            <rFont val="宋体"/>
            <charset val="134"/>
          </rPr>
          <t>Administrator:</t>
        </r>
        <r>
          <rPr>
            <sz val="11"/>
            <rFont val="宋体"/>
            <charset val="134"/>
          </rPr>
          <t xml:space="preserve">
0010348 6/16 1512pcs 文本云三B9</t>
        </r>
      </text>
    </comment>
    <comment ref="AE247" authorId="0">
      <text>
        <r>
          <rPr>
            <b/>
            <sz val="11"/>
            <rFont val="宋体"/>
            <charset val="134"/>
          </rPr>
          <t>Administrator:</t>
        </r>
        <r>
          <rPr>
            <sz val="11"/>
            <rFont val="宋体"/>
            <charset val="134"/>
          </rPr>
          <t xml:space="preserve">
6/13 上SSCC外箱贴纸 126pcs</t>
        </r>
      </text>
    </comment>
    <comment ref="AB248" authorId="0">
      <text>
        <r>
          <rPr>
            <b/>
            <sz val="12"/>
            <rFont val="宋体"/>
            <charset val="134"/>
          </rPr>
          <t>Administrator:</t>
        </r>
        <r>
          <rPr>
            <sz val="9"/>
            <rFont val="宋体"/>
            <charset val="134"/>
          </rPr>
          <t xml:space="preserve">
MA-842 新IC</t>
        </r>
      </text>
    </comment>
    <comment ref="AC248" authorId="0">
      <text>
        <r>
          <rPr>
            <b/>
            <sz val="11"/>
            <rFont val="宋体"/>
            <charset val="134"/>
          </rPr>
          <t>Administrator:</t>
        </r>
        <r>
          <rPr>
            <sz val="11"/>
            <rFont val="宋体"/>
            <charset val="134"/>
          </rPr>
          <t xml:space="preserve">
0010348 6/16 36pcs 文本云三楼</t>
        </r>
      </text>
    </comment>
    <comment ref="AE248" authorId="0">
      <text>
        <r>
          <rPr>
            <b/>
            <sz val="11"/>
            <rFont val="宋体"/>
            <charset val="134"/>
          </rPr>
          <t>Administrator:</t>
        </r>
        <r>
          <rPr>
            <sz val="11"/>
            <rFont val="宋体"/>
            <charset val="134"/>
          </rPr>
          <t xml:space="preserve">
6/13 上SSCC外箱贴纸 3pcs</t>
        </r>
      </text>
    </comment>
    <comment ref="AC249" authorId="0">
      <text>
        <r>
          <rPr>
            <b/>
            <sz val="11"/>
            <rFont val="宋体"/>
            <charset val="134"/>
          </rPr>
          <t>Administrator:</t>
        </r>
        <r>
          <rPr>
            <sz val="11"/>
            <rFont val="宋体"/>
            <charset val="134"/>
          </rPr>
          <t xml:space="preserve">
0010359 6/10 288pcs（每个颜色96pcs）文本云三B5
</t>
        </r>
      </text>
    </comment>
    <comment ref="AC250" authorId="0">
      <text>
        <r>
          <rPr>
            <b/>
            <sz val="11"/>
            <rFont val="宋体"/>
            <charset val="134"/>
          </rPr>
          <t>Administrator:</t>
        </r>
        <r>
          <rPr>
            <sz val="11"/>
            <rFont val="宋体"/>
            <charset val="134"/>
          </rPr>
          <t xml:space="preserve">
0010359 6/10 720pcs 文本云三B4
</t>
        </r>
      </text>
    </comment>
    <comment ref="AE250" authorId="0">
      <text>
        <r>
          <rPr>
            <b/>
            <sz val="11"/>
            <rFont val="宋体"/>
            <charset val="134"/>
          </rPr>
          <t>Administrator:</t>
        </r>
        <r>
          <rPr>
            <sz val="11"/>
            <rFont val="宋体"/>
            <charset val="134"/>
          </rPr>
          <t xml:space="preserve">
5/17 上客供警语进口商贴纸 748pcs
       上客供电池警告贴纸 747pcs
         上客供中文说明书 744pcs</t>
        </r>
      </text>
    </comment>
    <comment ref="AC251" authorId="0">
      <text>
        <r>
          <rPr>
            <b/>
            <sz val="11"/>
            <rFont val="宋体"/>
            <charset val="134"/>
          </rPr>
          <t>Administrator:</t>
        </r>
        <r>
          <rPr>
            <sz val="11"/>
            <rFont val="宋体"/>
            <charset val="134"/>
          </rPr>
          <t xml:space="preserve">
0010311 6/24 180pcs 文本云三A9
</t>
        </r>
      </text>
    </comment>
    <comment ref="AE251" authorId="0">
      <text>
        <r>
          <rPr>
            <b/>
            <sz val="11"/>
            <rFont val="宋体"/>
            <charset val="134"/>
          </rPr>
          <t>Administrator:</t>
        </r>
        <r>
          <rPr>
            <sz val="11"/>
            <rFont val="宋体"/>
            <charset val="134"/>
          </rPr>
          <t xml:space="preserve">
6/7 上SSCC外箱贴纸 15pcs</t>
        </r>
      </text>
    </comment>
    <comment ref="AC252" authorId="0">
      <text>
        <r>
          <rPr>
            <b/>
            <sz val="11"/>
            <rFont val="宋体"/>
            <charset val="134"/>
          </rPr>
          <t>Administrator:</t>
        </r>
        <r>
          <rPr>
            <sz val="11"/>
            <rFont val="宋体"/>
            <charset val="134"/>
          </rPr>
          <t xml:space="preserve">
0010311 6/24 828pcs 文本云三A9</t>
        </r>
      </text>
    </comment>
    <comment ref="AE252" authorId="0">
      <text>
        <r>
          <rPr>
            <b/>
            <sz val="11"/>
            <rFont val="宋体"/>
            <charset val="134"/>
          </rPr>
          <t>Administrator:</t>
        </r>
        <r>
          <rPr>
            <sz val="11"/>
            <rFont val="宋体"/>
            <charset val="134"/>
          </rPr>
          <t xml:space="preserve">
6/7 上SSCC外箱贴纸 69pcs</t>
        </r>
      </text>
    </comment>
    <comment ref="AC253" authorId="0">
      <text>
        <r>
          <rPr>
            <b/>
            <sz val="11"/>
            <rFont val="宋体"/>
            <charset val="134"/>
          </rPr>
          <t>Administrator:</t>
        </r>
        <r>
          <rPr>
            <sz val="11"/>
            <rFont val="宋体"/>
            <charset val="134"/>
          </rPr>
          <t xml:space="preserve">
0010317 6/26 1020pcs  文本云三B3
</t>
        </r>
      </text>
    </comment>
    <comment ref="AE253" authorId="0">
      <text>
        <r>
          <rPr>
            <b/>
            <sz val="11"/>
            <rFont val="宋体"/>
            <charset val="134"/>
          </rPr>
          <t>Administrator:</t>
        </r>
        <r>
          <rPr>
            <sz val="11"/>
            <rFont val="宋体"/>
            <charset val="134"/>
          </rPr>
          <t xml:space="preserve">
6/26 收到SSCC外箱贴纸 85pcs</t>
        </r>
      </text>
    </comment>
    <comment ref="AC254" authorId="0">
      <text>
        <r>
          <rPr>
            <b/>
            <sz val="11"/>
            <rFont val="宋体"/>
            <charset val="134"/>
          </rPr>
          <t>Administrator:</t>
        </r>
        <r>
          <rPr>
            <sz val="11"/>
            <rFont val="宋体"/>
            <charset val="134"/>
          </rPr>
          <t xml:space="preserve">
0010361 6/10 528pcs 文本云三B3
</t>
        </r>
      </text>
    </comment>
    <comment ref="AE254" authorId="0">
      <text>
        <r>
          <rPr>
            <b/>
            <sz val="11"/>
            <rFont val="宋体"/>
            <charset val="134"/>
          </rPr>
          <t>Administrator:</t>
        </r>
        <r>
          <rPr>
            <sz val="11"/>
            <rFont val="宋体"/>
            <charset val="134"/>
          </rPr>
          <t xml:space="preserve">
6/2 上UPC贴纸 744pcs
    上内含物贴纸 744pcs</t>
        </r>
      </text>
    </comment>
    <comment ref="AC255" authorId="0">
      <text>
        <r>
          <rPr>
            <b/>
            <sz val="11"/>
            <rFont val="宋体"/>
            <charset val="134"/>
          </rPr>
          <t>Administrator:</t>
        </r>
        <r>
          <rPr>
            <sz val="11"/>
            <rFont val="宋体"/>
            <charset val="134"/>
          </rPr>
          <t xml:space="preserve">
0010361 6/10 72pcs 文本云三B3
</t>
        </r>
      </text>
    </comment>
    <comment ref="AE255" authorId="0">
      <text>
        <r>
          <rPr>
            <b/>
            <sz val="11"/>
            <rFont val="宋体"/>
            <charset val="134"/>
          </rPr>
          <t>Administrator:</t>
        </r>
        <r>
          <rPr>
            <sz val="11"/>
            <rFont val="宋体"/>
            <charset val="134"/>
          </rPr>
          <t xml:space="preserve">
6/2 上UPC贴纸 744pcs
    上内含物贴纸 744pcs</t>
        </r>
      </text>
    </comment>
    <comment ref="AC256" authorId="0">
      <text>
        <r>
          <rPr>
            <b/>
            <sz val="11"/>
            <rFont val="宋体"/>
            <charset val="134"/>
          </rPr>
          <t>Administrator:</t>
        </r>
        <r>
          <rPr>
            <sz val="11"/>
            <rFont val="宋体"/>
            <charset val="134"/>
          </rPr>
          <t xml:space="preserve">
0010361 6/10 24pcs 文本云三B3</t>
        </r>
      </text>
    </comment>
    <comment ref="AE256" authorId="0">
      <text>
        <r>
          <rPr>
            <b/>
            <sz val="11"/>
            <rFont val="宋体"/>
            <charset val="134"/>
          </rPr>
          <t>Administrator:</t>
        </r>
        <r>
          <rPr>
            <sz val="11"/>
            <rFont val="宋体"/>
            <charset val="134"/>
          </rPr>
          <t xml:space="preserve">
6/2 上UPC贴纸 744pcs
    上内含物贴纸 744pcs</t>
        </r>
      </text>
    </comment>
    <comment ref="AC257" authorId="0">
      <text>
        <r>
          <rPr>
            <b/>
            <sz val="11"/>
            <rFont val="宋体"/>
            <charset val="134"/>
          </rPr>
          <t>Administrator:</t>
        </r>
        <r>
          <rPr>
            <sz val="11"/>
            <rFont val="宋体"/>
            <charset val="134"/>
          </rPr>
          <t xml:space="preserve">
0010367 6/3 120pcs 铁D1</t>
        </r>
      </text>
    </comment>
    <comment ref="AE257" authorId="0">
      <text>
        <r>
          <rPr>
            <b/>
            <sz val="11"/>
            <rFont val="宋体"/>
            <charset val="134"/>
          </rPr>
          <t>Administrator:</t>
        </r>
        <r>
          <rPr>
            <sz val="11"/>
            <rFont val="宋体"/>
            <charset val="134"/>
          </rPr>
          <t xml:space="preserve">
6/2 上UPC贴纸 744pcs
    上内含物贴纸 744pcs</t>
        </r>
      </text>
    </comment>
    <comment ref="AC258" authorId="0">
      <text>
        <r>
          <rPr>
            <b/>
            <sz val="11"/>
            <rFont val="宋体"/>
            <charset val="134"/>
          </rPr>
          <t>Administrator:</t>
        </r>
        <r>
          <rPr>
            <sz val="11"/>
            <rFont val="宋体"/>
            <charset val="134"/>
          </rPr>
          <t xml:space="preserve">
0010367 6/3 624pcs 铁D1</t>
        </r>
      </text>
    </comment>
    <comment ref="AE258" authorId="0">
      <text>
        <r>
          <rPr>
            <b/>
            <sz val="11"/>
            <rFont val="宋体"/>
            <charset val="134"/>
          </rPr>
          <t>Administrator:</t>
        </r>
        <r>
          <rPr>
            <sz val="11"/>
            <rFont val="宋体"/>
            <charset val="134"/>
          </rPr>
          <t xml:space="preserve">
6/2 上UPC贴纸 2184pcs
    上内含物贴纸 2184pcs</t>
        </r>
      </text>
    </comment>
    <comment ref="AC259" authorId="0">
      <text>
        <r>
          <rPr>
            <b/>
            <sz val="11"/>
            <rFont val="宋体"/>
            <charset val="134"/>
          </rPr>
          <t>Administrator:</t>
        </r>
        <r>
          <rPr>
            <sz val="11"/>
            <rFont val="宋体"/>
            <charset val="134"/>
          </rPr>
          <t xml:space="preserve">
0010367 6/3 984pcs 铁D1</t>
        </r>
      </text>
    </comment>
    <comment ref="AE259" authorId="0">
      <text>
        <r>
          <rPr>
            <b/>
            <sz val="11"/>
            <rFont val="宋体"/>
            <charset val="134"/>
          </rPr>
          <t>Administrator:</t>
        </r>
        <r>
          <rPr>
            <sz val="11"/>
            <rFont val="宋体"/>
            <charset val="134"/>
          </rPr>
          <t xml:space="preserve">
6/2 上UPC贴纸 2184pcs
    上内含物贴纸 2184pcs</t>
        </r>
      </text>
    </comment>
    <comment ref="AC260" authorId="0">
      <text>
        <r>
          <rPr>
            <b/>
            <sz val="11"/>
            <rFont val="宋体"/>
            <charset val="134"/>
          </rPr>
          <t>Administrator:</t>
        </r>
        <r>
          <rPr>
            <sz val="11"/>
            <rFont val="宋体"/>
            <charset val="134"/>
          </rPr>
          <t xml:space="preserve">
0010339 6/13 576pcs 文本云三A6</t>
        </r>
      </text>
    </comment>
    <comment ref="AE260" authorId="0">
      <text>
        <r>
          <rPr>
            <b/>
            <sz val="11"/>
            <rFont val="宋体"/>
            <charset val="134"/>
          </rPr>
          <t>Administrator:</t>
        </r>
        <r>
          <rPr>
            <sz val="11"/>
            <rFont val="宋体"/>
            <charset val="134"/>
          </rPr>
          <t xml:space="preserve">
6/2 上UPC贴纸 2184pcs
    上内含物贴纸 2184pcs</t>
        </r>
      </text>
    </comment>
    <comment ref="AC261" authorId="0">
      <text>
        <r>
          <rPr>
            <b/>
            <sz val="11"/>
            <rFont val="宋体"/>
            <charset val="134"/>
          </rPr>
          <t>Administrator:</t>
        </r>
        <r>
          <rPr>
            <sz val="11"/>
            <rFont val="宋体"/>
            <charset val="134"/>
          </rPr>
          <t xml:space="preserve">
0004179 7/7 72pcs 文本云三A10</t>
        </r>
      </text>
    </comment>
    <comment ref="AC262" authorId="0">
      <text>
        <r>
          <rPr>
            <b/>
            <sz val="11"/>
            <rFont val="宋体"/>
            <charset val="134"/>
          </rPr>
          <t>Administrator:</t>
        </r>
        <r>
          <rPr>
            <sz val="11"/>
            <rFont val="宋体"/>
            <charset val="134"/>
          </rPr>
          <t xml:space="preserve">
0004179 7/7 1152pcs 文本云三A10</t>
        </r>
      </text>
    </comment>
    <comment ref="AE262" authorId="0">
      <text>
        <r>
          <rPr>
            <b/>
            <sz val="11"/>
            <rFont val="宋体"/>
            <charset val="134"/>
          </rPr>
          <t>Administrator:</t>
        </r>
        <r>
          <rPr>
            <sz val="11"/>
            <rFont val="宋体"/>
            <charset val="134"/>
          </rPr>
          <t xml:space="preserve">
6/7 上UPC贴纸 1152pcs
    上内含物贴纸 1152pcs</t>
        </r>
      </text>
    </comment>
    <comment ref="AE263" authorId="0">
      <text>
        <r>
          <rPr>
            <b/>
            <sz val="11"/>
            <rFont val="宋体"/>
            <charset val="134"/>
          </rPr>
          <t>Administrator:</t>
        </r>
        <r>
          <rPr>
            <sz val="11"/>
            <rFont val="宋体"/>
            <charset val="134"/>
          </rPr>
          <t xml:space="preserve">
6/29 上客供价格贴纸 681pcs</t>
        </r>
      </text>
    </comment>
    <comment ref="AB264" authorId="0">
      <text>
        <r>
          <rPr>
            <b/>
            <sz val="11"/>
            <rFont val="宋体"/>
            <charset val="134"/>
          </rPr>
          <t>Administrator:</t>
        </r>
        <r>
          <rPr>
            <sz val="11"/>
            <rFont val="宋体"/>
            <charset val="134"/>
          </rPr>
          <t xml:space="preserve">
取消单105413 720pcs      
      103369 6660pcs
      107489 1500pcs
      104388 804pcs</t>
        </r>
      </text>
    </comment>
    <comment ref="AE264" authorId="0">
      <text>
        <r>
          <rPr>
            <b/>
            <sz val="11"/>
            <rFont val="宋体"/>
            <charset val="134"/>
          </rPr>
          <t>Administrator:</t>
        </r>
        <r>
          <rPr>
            <sz val="11"/>
            <rFont val="宋体"/>
            <charset val="134"/>
          </rPr>
          <t xml:space="preserve">
6/29 上客供价格贴纸 1223pcs</t>
        </r>
      </text>
    </comment>
    <comment ref="AE265" authorId="0">
      <text>
        <r>
          <rPr>
            <b/>
            <sz val="11"/>
            <rFont val="宋体"/>
            <charset val="134"/>
          </rPr>
          <t>Administrator:</t>
        </r>
        <r>
          <rPr>
            <sz val="11"/>
            <rFont val="宋体"/>
            <charset val="134"/>
          </rPr>
          <t xml:space="preserve">
6/6 上客供RFID贴纸 320pcs</t>
        </r>
      </text>
    </comment>
    <comment ref="AE267" authorId="0">
      <text>
        <r>
          <rPr>
            <b/>
            <sz val="11"/>
            <rFont val="宋体"/>
            <charset val="134"/>
          </rPr>
          <t>Administrator:</t>
        </r>
        <r>
          <rPr>
            <sz val="11"/>
            <rFont val="宋体"/>
            <charset val="134"/>
          </rPr>
          <t xml:space="preserve">
6/6 上客供RFID贴纸 320pcs</t>
        </r>
      </text>
    </comment>
    <comment ref="AE269" authorId="0">
      <text>
        <r>
          <rPr>
            <b/>
            <sz val="11"/>
            <rFont val="宋体"/>
            <charset val="134"/>
          </rPr>
          <t>Administrator:</t>
        </r>
        <r>
          <rPr>
            <sz val="11"/>
            <rFont val="宋体"/>
            <charset val="134"/>
          </rPr>
          <t xml:space="preserve">
6/29 上EAN/警告语贴纸 720pcs
7/12 收到退回EAN/警告语贴纸 720pcs
</t>
        </r>
      </text>
    </comment>
    <comment ref="AE270" authorId="0">
      <text>
        <r>
          <rPr>
            <b/>
            <sz val="11"/>
            <rFont val="宋体"/>
            <charset val="134"/>
          </rPr>
          <t>Administrator:</t>
        </r>
        <r>
          <rPr>
            <sz val="11"/>
            <rFont val="宋体"/>
            <charset val="134"/>
          </rPr>
          <t xml:space="preserve">
7/10 上进口商贴纸 804pcs
7/12 收到退回进口商贴纸 804pcs
</t>
        </r>
      </text>
    </comment>
    <comment ref="AC271" authorId="0">
      <text>
        <r>
          <rPr>
            <b/>
            <sz val="11"/>
            <rFont val="宋体"/>
            <charset val="134"/>
          </rPr>
          <t>Administrator:</t>
        </r>
        <r>
          <rPr>
            <sz val="11"/>
            <rFont val="宋体"/>
            <charset val="134"/>
          </rPr>
          <t xml:space="preserve">
0010289 7/12 640pcs 铁C2</t>
        </r>
      </text>
    </comment>
    <comment ref="AE271" authorId="0">
      <text>
        <r>
          <rPr>
            <b/>
            <sz val="11"/>
            <rFont val="宋体"/>
            <charset val="134"/>
          </rPr>
          <t>Administrator:</t>
        </r>
        <r>
          <rPr>
            <sz val="11"/>
            <rFont val="宋体"/>
            <charset val="134"/>
          </rPr>
          <t xml:space="preserve">
6/6 上客供RFID贴纸 640pcs</t>
        </r>
      </text>
    </comment>
    <comment ref="AC273" authorId="0">
      <text>
        <r>
          <rPr>
            <b/>
            <sz val="11"/>
            <rFont val="宋体"/>
            <charset val="134"/>
          </rPr>
          <t>Administrator:</t>
        </r>
        <r>
          <rPr>
            <sz val="11"/>
            <rFont val="宋体"/>
            <charset val="134"/>
          </rPr>
          <t xml:space="preserve">
0010249 7/15 1276pcs 文本云三A2
0010204 7/20 4pcs  文本云三A2</t>
        </r>
      </text>
    </comment>
    <comment ref="AE273" authorId="0">
      <text>
        <r>
          <rPr>
            <b/>
            <sz val="11"/>
            <rFont val="宋体"/>
            <charset val="134"/>
          </rPr>
          <t>Administrator:</t>
        </r>
        <r>
          <rPr>
            <sz val="11"/>
            <rFont val="宋体"/>
            <charset val="134"/>
          </rPr>
          <t xml:space="preserve">
6/6 上客供RFID贴纸 1280pcs</t>
        </r>
      </text>
    </comment>
    <comment ref="AC275" authorId="0">
      <text>
        <r>
          <rPr>
            <b/>
            <sz val="11"/>
            <rFont val="宋体"/>
            <charset val="134"/>
          </rPr>
          <t>Administrator:</t>
        </r>
        <r>
          <rPr>
            <sz val="11"/>
            <rFont val="宋体"/>
            <charset val="134"/>
          </rPr>
          <t xml:space="preserve">
0010251 7/17 1280pcs 文本云三A2</t>
        </r>
      </text>
    </comment>
    <comment ref="AE275" authorId="0">
      <text>
        <r>
          <rPr>
            <b/>
            <sz val="11"/>
            <rFont val="宋体"/>
            <charset val="134"/>
          </rPr>
          <t>Administrator:</t>
        </r>
        <r>
          <rPr>
            <sz val="11"/>
            <rFont val="宋体"/>
            <charset val="134"/>
          </rPr>
          <t xml:space="preserve">
6/6 上客供RFID贴纸 1280pcs</t>
        </r>
      </text>
    </comment>
    <comment ref="AC277" authorId="0">
      <text>
        <r>
          <rPr>
            <b/>
            <sz val="11"/>
            <rFont val="宋体"/>
            <charset val="134"/>
          </rPr>
          <t>Administrator:</t>
        </r>
        <r>
          <rPr>
            <sz val="11"/>
            <rFont val="宋体"/>
            <charset val="134"/>
          </rPr>
          <t xml:space="preserve">
0010288 7/14 640pcs 铁A1</t>
        </r>
      </text>
    </comment>
    <comment ref="AE277" authorId="0">
      <text>
        <r>
          <rPr>
            <b/>
            <sz val="11"/>
            <rFont val="宋体"/>
            <charset val="134"/>
          </rPr>
          <t>Administrator:</t>
        </r>
        <r>
          <rPr>
            <sz val="11"/>
            <rFont val="宋体"/>
            <charset val="134"/>
          </rPr>
          <t xml:space="preserve">
6/6 上客供RFID贴纸 1280pcs</t>
        </r>
      </text>
    </comment>
    <comment ref="AC279" authorId="0">
      <text>
        <r>
          <rPr>
            <b/>
            <sz val="11"/>
            <rFont val="宋体"/>
            <charset val="134"/>
          </rPr>
          <t>Administrator:</t>
        </r>
        <r>
          <rPr>
            <sz val="11"/>
            <rFont val="宋体"/>
            <charset val="134"/>
          </rPr>
          <t xml:space="preserve">
0010249 7/15 640pcs 文本云三A2</t>
        </r>
      </text>
    </comment>
    <comment ref="AE279" authorId="0">
      <text>
        <r>
          <rPr>
            <b/>
            <sz val="11"/>
            <rFont val="宋体"/>
            <charset val="134"/>
          </rPr>
          <t>Administrator:</t>
        </r>
        <r>
          <rPr>
            <sz val="11"/>
            <rFont val="宋体"/>
            <charset val="134"/>
          </rPr>
          <t xml:space="preserve">
6/6 上客供RFID贴纸 1280pcs</t>
        </r>
      </text>
    </comment>
    <comment ref="AC281" authorId="0">
      <text>
        <r>
          <rPr>
            <b/>
            <sz val="11"/>
            <rFont val="宋体"/>
            <charset val="134"/>
          </rPr>
          <t>Administrator:</t>
        </r>
        <r>
          <rPr>
            <sz val="11"/>
            <rFont val="宋体"/>
            <charset val="134"/>
          </rPr>
          <t xml:space="preserve">
0010249 7/15 640pcs 文本云三A2</t>
        </r>
      </text>
    </comment>
    <comment ref="AE281" authorId="0">
      <text>
        <r>
          <rPr>
            <b/>
            <sz val="11"/>
            <rFont val="宋体"/>
            <charset val="134"/>
          </rPr>
          <t>Administrator:</t>
        </r>
        <r>
          <rPr>
            <sz val="11"/>
            <rFont val="宋体"/>
            <charset val="134"/>
          </rPr>
          <t xml:space="preserve">
6/6 上客供RFID贴纸 640pcs</t>
        </r>
      </text>
    </comment>
    <comment ref="AC283" authorId="0">
      <text>
        <r>
          <rPr>
            <b/>
            <sz val="11"/>
            <rFont val="宋体"/>
            <charset val="134"/>
          </rPr>
          <t>Administrator:</t>
        </r>
        <r>
          <rPr>
            <sz val="11"/>
            <rFont val="宋体"/>
            <charset val="134"/>
          </rPr>
          <t xml:space="preserve">
0010288 7/14 960pcs 铁A1</t>
        </r>
      </text>
    </comment>
    <comment ref="AE283" authorId="0">
      <text>
        <r>
          <rPr>
            <b/>
            <sz val="11"/>
            <rFont val="宋体"/>
            <charset val="134"/>
          </rPr>
          <t>Administrator:</t>
        </r>
        <r>
          <rPr>
            <sz val="11"/>
            <rFont val="宋体"/>
            <charset val="134"/>
          </rPr>
          <t xml:space="preserve">
6/6 上客供RFID贴纸 960pcs</t>
        </r>
      </text>
    </comment>
    <comment ref="AC285" authorId="0">
      <text>
        <r>
          <rPr>
            <b/>
            <sz val="11"/>
            <rFont val="宋体"/>
            <charset val="134"/>
          </rPr>
          <t>Administrator:</t>
        </r>
        <r>
          <rPr>
            <sz val="11"/>
            <rFont val="宋体"/>
            <charset val="134"/>
          </rPr>
          <t xml:space="preserve">
0010288 7/14 320pcs 铁A1</t>
        </r>
      </text>
    </comment>
    <comment ref="AE285" authorId="0">
      <text>
        <r>
          <rPr>
            <b/>
            <sz val="11"/>
            <rFont val="宋体"/>
            <charset val="134"/>
          </rPr>
          <t>Administrator:</t>
        </r>
        <r>
          <rPr>
            <sz val="11"/>
            <rFont val="宋体"/>
            <charset val="134"/>
          </rPr>
          <t xml:space="preserve">
6/6 上客供RFID贴纸 320pcs</t>
        </r>
      </text>
    </comment>
    <comment ref="AC288" authorId="0">
      <text>
        <r>
          <rPr>
            <b/>
            <sz val="11"/>
            <rFont val="宋体"/>
            <charset val="134"/>
          </rPr>
          <t>Administrator:</t>
        </r>
        <r>
          <rPr>
            <sz val="11"/>
            <rFont val="宋体"/>
            <charset val="134"/>
          </rPr>
          <t xml:space="preserve">
0010248 7/15 2364pcs 东莞装箱</t>
        </r>
      </text>
    </comment>
    <comment ref="AE288" authorId="0">
      <text>
        <r>
          <rPr>
            <b/>
            <sz val="11"/>
            <rFont val="宋体"/>
            <charset val="134"/>
          </rPr>
          <t>Administrator:</t>
        </r>
        <r>
          <rPr>
            <sz val="11"/>
            <rFont val="宋体"/>
            <charset val="134"/>
          </rPr>
          <t xml:space="preserve">
6/20 上客供价格贴纸 6993pcs
7/12 收到退回的价格贴纸 6993pcs</t>
        </r>
      </text>
    </comment>
    <comment ref="AC289" authorId="0">
      <text>
        <r>
          <rPr>
            <b/>
            <sz val="11"/>
            <rFont val="宋体"/>
            <charset val="134"/>
          </rPr>
          <t>Administrator:</t>
        </r>
        <r>
          <rPr>
            <sz val="11"/>
            <rFont val="宋体"/>
            <charset val="134"/>
          </rPr>
          <t xml:space="preserve">
0010282 7/11 1512pcs  文本云三B7
0010289 7/12 1992pcs  文本云三B7</t>
        </r>
      </text>
    </comment>
    <comment ref="AE289" authorId="0">
      <text>
        <r>
          <rPr>
            <b/>
            <sz val="11"/>
            <rFont val="宋体"/>
            <charset val="134"/>
          </rPr>
          <t>Administrator:</t>
        </r>
        <r>
          <rPr>
            <sz val="11"/>
            <rFont val="宋体"/>
            <charset val="134"/>
          </rPr>
          <t xml:space="preserve">
6/20 上客供价格贴纸 3855pcs</t>
        </r>
      </text>
    </comment>
    <comment ref="AC290" authorId="0">
      <text>
        <r>
          <rPr>
            <b/>
            <sz val="11"/>
            <rFont val="宋体"/>
            <charset val="134"/>
          </rPr>
          <t>Administrator:</t>
        </r>
        <r>
          <rPr>
            <sz val="11"/>
            <rFont val="宋体"/>
            <charset val="134"/>
          </rPr>
          <t xml:space="preserve">
0010285 7/13 1488pcs 一A5
0010249 7/15 708pcs  一A5</t>
        </r>
      </text>
    </comment>
    <comment ref="AE290" authorId="0">
      <text>
        <r>
          <rPr>
            <b/>
            <sz val="11"/>
            <rFont val="宋体"/>
            <charset val="134"/>
          </rPr>
          <t>Administrator:</t>
        </r>
        <r>
          <rPr>
            <sz val="11"/>
            <rFont val="宋体"/>
            <charset val="134"/>
          </rPr>
          <t xml:space="preserve">
6/20 上客供价格贴纸 2416pcs</t>
        </r>
      </text>
    </comment>
    <comment ref="AC291" authorId="0">
      <text>
        <r>
          <rPr>
            <b/>
            <sz val="11"/>
            <rFont val="宋体"/>
            <charset val="134"/>
          </rPr>
          <t>Administrator:</t>
        </r>
        <r>
          <rPr>
            <sz val="11"/>
            <rFont val="宋体"/>
            <charset val="134"/>
          </rPr>
          <t xml:space="preserve">
0010285 7/13 3996pcs 一B6</t>
        </r>
      </text>
    </comment>
    <comment ref="AE291" authorId="0">
      <text>
        <r>
          <rPr>
            <b/>
            <sz val="11"/>
            <rFont val="宋体"/>
            <charset val="134"/>
          </rPr>
          <t>Administrator:</t>
        </r>
        <r>
          <rPr>
            <sz val="11"/>
            <rFont val="宋体"/>
            <charset val="134"/>
          </rPr>
          <t xml:space="preserve">
6/20 上客供价格贴纸 4396pcs</t>
        </r>
      </text>
    </comment>
    <comment ref="AC292" authorId="0">
      <text>
        <r>
          <rPr>
            <b/>
            <sz val="11"/>
            <rFont val="宋体"/>
            <charset val="134"/>
          </rPr>
          <t>Administrator:</t>
        </r>
        <r>
          <rPr>
            <sz val="11"/>
            <rFont val="宋体"/>
            <charset val="134"/>
          </rPr>
          <t xml:space="preserve">
0010249 7/15 2796pcs 文本云三B12</t>
        </r>
      </text>
    </comment>
    <comment ref="AE292" authorId="0">
      <text>
        <r>
          <rPr>
            <b/>
            <sz val="11"/>
            <rFont val="宋体"/>
            <charset val="134"/>
          </rPr>
          <t>Administrator:</t>
        </r>
        <r>
          <rPr>
            <sz val="11"/>
            <rFont val="宋体"/>
            <charset val="134"/>
          </rPr>
          <t xml:space="preserve">
6/20 上客供价格贴纸 3076pcs</t>
        </r>
      </text>
    </comment>
    <comment ref="AD314" authorId="0">
      <text>
        <r>
          <rPr>
            <b/>
            <sz val="14"/>
            <rFont val="宋体"/>
            <charset val="134"/>
          </rPr>
          <t>Administrator:</t>
        </r>
        <r>
          <rPr>
            <sz val="14"/>
            <rFont val="宋体"/>
            <charset val="134"/>
          </rPr>
          <t xml:space="preserve">
0002289 5/29 864 pcs 文本云华兴三楼A14</t>
        </r>
      </text>
    </comment>
    <comment ref="AD315" authorId="0">
      <text>
        <r>
          <rPr>
            <b/>
            <sz val="14"/>
            <rFont val="宋体"/>
            <charset val="134"/>
          </rPr>
          <t>Administrator:</t>
        </r>
        <r>
          <rPr>
            <sz val="14"/>
            <rFont val="宋体"/>
            <charset val="134"/>
          </rPr>
          <t xml:space="preserve">
0002289 5/29 336 pcs 文本云华兴三楼A14
</t>
        </r>
      </text>
    </comment>
    <comment ref="AF318" authorId="0">
      <text>
        <r>
          <rPr>
            <b/>
            <sz val="12"/>
            <rFont val="宋体"/>
            <charset val="134"/>
          </rPr>
          <t>Administrator:</t>
        </r>
        <r>
          <rPr>
            <sz val="12"/>
            <rFont val="宋体"/>
            <charset val="134"/>
          </rPr>
          <t xml:space="preserve">
5/11 上客供RFID贴纸 640pcs</t>
        </r>
      </text>
    </comment>
    <comment ref="AF320" authorId="0">
      <text>
        <r>
          <rPr>
            <b/>
            <sz val="12"/>
            <rFont val="宋体"/>
            <charset val="134"/>
          </rPr>
          <t>Administrator:</t>
        </r>
        <r>
          <rPr>
            <sz val="12"/>
            <rFont val="宋体"/>
            <charset val="134"/>
          </rPr>
          <t xml:space="preserve">
5/11 上客供RFID贴纸 640pcs</t>
        </r>
      </text>
    </comment>
    <comment ref="AF322" authorId="0">
      <text>
        <r>
          <rPr>
            <b/>
            <sz val="12"/>
            <rFont val="宋体"/>
            <charset val="134"/>
          </rPr>
          <t>Administrator:</t>
        </r>
        <r>
          <rPr>
            <sz val="12"/>
            <rFont val="宋体"/>
            <charset val="134"/>
          </rPr>
          <t xml:space="preserve">
5/11 上客供RFID贴纸 640pcs</t>
        </r>
      </text>
    </comment>
    <comment ref="AD329" authorId="0">
      <text>
        <r>
          <rPr>
            <b/>
            <sz val="12"/>
            <rFont val="宋体"/>
            <charset val="134"/>
          </rPr>
          <t>Administrator:</t>
        </r>
        <r>
          <rPr>
            <sz val="12"/>
            <rFont val="宋体"/>
            <charset val="134"/>
          </rPr>
          <t xml:space="preserve">
0001766 11/29 3618pcs 华兴二A27</t>
        </r>
      </text>
    </comment>
    <comment ref="AF329" authorId="0">
      <text>
        <r>
          <rPr>
            <b/>
            <sz val="12"/>
            <rFont val="宋体"/>
            <charset val="134"/>
          </rPr>
          <t>Administrator:</t>
        </r>
        <r>
          <rPr>
            <sz val="12"/>
            <rFont val="宋体"/>
            <charset val="134"/>
          </rPr>
          <t xml:space="preserve">
11/19 上WIC贴纸 18072pcs</t>
        </r>
      </text>
    </comment>
    <comment ref="AD330" authorId="0">
      <text>
        <r>
          <rPr>
            <b/>
            <sz val="12"/>
            <rFont val="宋体"/>
            <charset val="134"/>
          </rPr>
          <t>Administrator:</t>
        </r>
        <r>
          <rPr>
            <sz val="12"/>
            <rFont val="宋体"/>
            <charset val="134"/>
          </rPr>
          <t xml:space="preserve">
0000609 12/26 10836pcs 华兴一A5</t>
        </r>
      </text>
    </comment>
    <comment ref="AF330" authorId="0">
      <text>
        <r>
          <rPr>
            <b/>
            <sz val="12"/>
            <rFont val="宋体"/>
            <charset val="134"/>
          </rPr>
          <t>Administrator:</t>
        </r>
        <r>
          <rPr>
            <sz val="12"/>
            <rFont val="宋体"/>
            <charset val="134"/>
          </rPr>
          <t xml:space="preserve">
11/19 上WIC贴纸 18072pcs</t>
        </r>
      </text>
    </comment>
    <comment ref="AD331" authorId="0">
      <text>
        <r>
          <rPr>
            <b/>
            <sz val="12"/>
            <rFont val="宋体"/>
            <charset val="134"/>
          </rPr>
          <t>Administrator:</t>
        </r>
        <r>
          <rPr>
            <sz val="12"/>
            <rFont val="宋体"/>
            <charset val="134"/>
          </rPr>
          <t xml:space="preserve">
0000928 12/31 3618pcs 华兴一A5</t>
        </r>
      </text>
    </comment>
    <comment ref="AF331" authorId="0">
      <text>
        <r>
          <rPr>
            <b/>
            <sz val="12"/>
            <rFont val="宋体"/>
            <charset val="134"/>
          </rPr>
          <t>Administrator:</t>
        </r>
        <r>
          <rPr>
            <sz val="12"/>
            <rFont val="宋体"/>
            <charset val="134"/>
          </rPr>
          <t xml:space="preserve">
11/19 上WIC贴纸 18072pcs</t>
        </r>
      </text>
    </comment>
    <comment ref="AF332" authorId="0">
      <text>
        <r>
          <rPr>
            <b/>
            <sz val="12"/>
            <rFont val="宋体"/>
            <charset val="134"/>
          </rPr>
          <t>Administrator:</t>
        </r>
        <r>
          <rPr>
            <sz val="12"/>
            <rFont val="宋体"/>
            <charset val="134"/>
          </rPr>
          <t xml:space="preserve">
12/18 上德语callout贴纸 2004pcs
      上UPC条码贴纸 2004pcs
149776/149777共用</t>
        </r>
      </text>
    </comment>
    <comment ref="AF333" authorId="0">
      <text>
        <r>
          <rPr>
            <b/>
            <sz val="12"/>
            <rFont val="宋体"/>
            <charset val="134"/>
          </rPr>
          <t>Administrator:</t>
        </r>
        <r>
          <rPr>
            <sz val="12"/>
            <rFont val="宋体"/>
            <charset val="134"/>
          </rPr>
          <t xml:space="preserve">
12/18 上德语callout贴纸 2112pcs
149776/149777共用</t>
        </r>
      </text>
    </comment>
    <comment ref="AF334" authorId="0">
      <text>
        <r>
          <rPr>
            <b/>
            <sz val="12"/>
            <rFont val="宋体"/>
            <charset val="134"/>
          </rPr>
          <t>Administrator:</t>
        </r>
        <r>
          <rPr>
            <sz val="12"/>
            <rFont val="宋体"/>
            <charset val="134"/>
          </rPr>
          <t xml:space="preserve">
12/18 上德语callout贴纸 2004pcs
      上UPC条码贴纸 2004pcs
149776/149777共用</t>
        </r>
      </text>
    </comment>
    <comment ref="AF335" authorId="0">
      <text>
        <r>
          <rPr>
            <b/>
            <sz val="12"/>
            <rFont val="宋体"/>
            <charset val="134"/>
          </rPr>
          <t>Administrator:</t>
        </r>
        <r>
          <rPr>
            <sz val="12"/>
            <rFont val="宋体"/>
            <charset val="134"/>
          </rPr>
          <t xml:space="preserve">
12/18 上德语callout贴纸 1500pcs
      上UPC条码贴纸 1500pcs
</t>
        </r>
      </text>
    </comment>
    <comment ref="AF336" authorId="0">
      <text>
        <r>
          <rPr>
            <b/>
            <sz val="12"/>
            <rFont val="宋体"/>
            <charset val="134"/>
          </rPr>
          <t>Administrator:</t>
        </r>
        <r>
          <rPr>
            <sz val="12"/>
            <rFont val="宋体"/>
            <charset val="134"/>
          </rPr>
          <t xml:space="preserve">
12/18 上德语callout贴纸 2112pcs
149776/149777共用</t>
        </r>
      </text>
    </comment>
    <comment ref="AF341" authorId="0">
      <text>
        <r>
          <rPr>
            <b/>
            <sz val="12"/>
            <rFont val="宋体"/>
            <charset val="134"/>
          </rPr>
          <t>Administrator:</t>
        </r>
        <r>
          <rPr>
            <sz val="12"/>
            <rFont val="宋体"/>
            <charset val="134"/>
          </rPr>
          <t xml:space="preserve">
3/5 上客供价格贴纸 1200pcs</t>
        </r>
      </text>
    </comment>
    <comment ref="AB344" authorId="0">
      <text>
        <r>
          <rPr>
            <b/>
            <sz val="16"/>
            <rFont val="宋体"/>
            <charset val="134"/>
          </rPr>
          <t>Administrator:</t>
        </r>
        <r>
          <rPr>
            <sz val="16"/>
            <rFont val="宋体"/>
            <charset val="134"/>
          </rPr>
          <t xml:space="preserve">
0001095 1/16 96 pcs 华兴三楼B15</t>
        </r>
      </text>
    </comment>
    <comment ref="AF344" authorId="0">
      <text>
        <r>
          <rPr>
            <b/>
            <sz val="16"/>
            <rFont val="宋体"/>
            <charset val="134"/>
          </rPr>
          <t>Administrator:</t>
        </r>
        <r>
          <rPr>
            <sz val="16"/>
            <rFont val="宋体"/>
            <charset val="134"/>
          </rPr>
          <t xml:space="preserve">
12/3上 进口商贴纸 96 pcs
   EAN条码贴纸 96 pcs</t>
        </r>
      </text>
    </comment>
  </commentList>
</comments>
</file>

<file path=xl/comments5.xml><?xml version="1.0" encoding="utf-8"?>
<comments xmlns="http://schemas.openxmlformats.org/spreadsheetml/2006/main">
  <authors>
    <author>Administrator</author>
    <author>admin</author>
  </authors>
  <commentList>
    <comment ref="AQ89" authorId="0">
      <text>
        <r>
          <rPr>
            <b/>
            <sz val="9"/>
            <rFont val="宋体"/>
            <charset val="134"/>
          </rPr>
          <t>Administrator:</t>
        </r>
        <r>
          <rPr>
            <sz val="9"/>
            <rFont val="宋体"/>
            <charset val="134"/>
          </rPr>
          <t xml:space="preserve">
工厂多备35000PCS A版说明书，优先使用A版
</t>
        </r>
      </text>
    </comment>
    <comment ref="R113" authorId="0">
      <text>
        <r>
          <rPr>
            <b/>
            <sz val="9"/>
            <rFont val="宋体"/>
            <charset val="134"/>
          </rPr>
          <t>Administrator:</t>
        </r>
        <r>
          <rPr>
            <sz val="9"/>
            <rFont val="宋体"/>
            <charset val="134"/>
          </rPr>
          <t xml:space="preserve">
此数量只用于打发票扣数，不安排订购</t>
        </r>
      </text>
    </comment>
    <comment ref="S113" authorId="0">
      <text>
        <r>
          <rPr>
            <b/>
            <sz val="9"/>
            <rFont val="宋体"/>
            <charset val="134"/>
          </rPr>
          <t>Administrator:</t>
        </r>
        <r>
          <rPr>
            <sz val="9"/>
            <rFont val="宋体"/>
            <charset val="134"/>
          </rPr>
          <t xml:space="preserve">
此数量只用于打发票扣数，不安排订购</t>
        </r>
      </text>
    </comment>
    <comment ref="BP753" authorId="1">
      <text>
        <r>
          <rPr>
            <b/>
            <sz val="9"/>
            <rFont val="宋体"/>
            <charset val="134"/>
          </rPr>
          <t xml:space="preserve">自行多备，如有单后续消耗
</t>
        </r>
      </text>
    </comment>
    <comment ref="F798" authorId="0">
      <text>
        <r>
          <rPr>
            <b/>
            <sz val="9"/>
            <rFont val="宋体"/>
            <charset val="134"/>
          </rPr>
          <t>Administrator:</t>
        </r>
      </text>
    </comment>
  </commentList>
</comments>
</file>

<file path=xl/comments6.xml><?xml version="1.0" encoding="utf-8"?>
<comments xmlns="http://schemas.openxmlformats.org/spreadsheetml/2006/main">
  <authors>
    <author>Administrator</author>
    <author>Jinn</author>
    <author>admin</author>
  </authors>
  <commentList>
    <comment ref="S17" authorId="0">
      <text>
        <r>
          <rPr>
            <b/>
            <sz val="9"/>
            <rFont val="宋体"/>
            <charset val="134"/>
          </rPr>
          <t>Administrator:</t>
        </r>
        <r>
          <rPr>
            <sz val="9"/>
            <rFont val="宋体"/>
            <charset val="134"/>
          </rPr>
          <t xml:space="preserve">
2019 结存数有2000pcs
2019/12/3</t>
        </r>
      </text>
    </comment>
    <comment ref="S51" authorId="0">
      <text>
        <r>
          <rPr>
            <b/>
            <sz val="9"/>
            <rFont val="宋体"/>
            <charset val="134"/>
          </rPr>
          <t>Administrator:</t>
        </r>
        <r>
          <rPr>
            <sz val="9"/>
            <rFont val="宋体"/>
            <charset val="134"/>
          </rPr>
          <t xml:space="preserve">
交38612</t>
        </r>
      </text>
    </comment>
    <comment ref="S53" authorId="0">
      <text>
        <r>
          <rPr>
            <b/>
            <sz val="9"/>
            <rFont val="宋体"/>
            <charset val="134"/>
          </rPr>
          <t>Administrator:</t>
        </r>
        <r>
          <rPr>
            <sz val="9"/>
            <rFont val="宋体"/>
            <charset val="134"/>
          </rPr>
          <t xml:space="preserve">
交42000
</t>
        </r>
      </text>
    </comment>
    <comment ref="V55" authorId="0">
      <text>
        <r>
          <rPr>
            <b/>
            <sz val="9"/>
            <rFont val="宋体"/>
            <charset val="134"/>
          </rPr>
          <t>Administrator:</t>
        </r>
        <r>
          <rPr>
            <sz val="9"/>
            <rFont val="宋体"/>
            <charset val="134"/>
          </rPr>
          <t xml:space="preserve">
已回93888pcs</t>
        </r>
      </text>
    </comment>
    <comment ref="W55" authorId="0">
      <text>
        <r>
          <rPr>
            <b/>
            <sz val="9"/>
            <rFont val="宋体"/>
            <charset val="134"/>
          </rPr>
          <t>Administrator:</t>
        </r>
        <r>
          <rPr>
            <sz val="9"/>
            <rFont val="宋体"/>
            <charset val="134"/>
          </rPr>
          <t xml:space="preserve">
已回84417pcs
</t>
        </r>
      </text>
    </comment>
    <comment ref="X56" authorId="0">
      <text>
        <r>
          <rPr>
            <b/>
            <sz val="9"/>
            <rFont val="宋体"/>
            <charset val="134"/>
          </rPr>
          <t>Administrator:</t>
        </r>
        <r>
          <rPr>
            <sz val="9"/>
            <rFont val="宋体"/>
            <charset val="134"/>
          </rPr>
          <t xml:space="preserve">
11/5更新
</t>
        </r>
      </text>
    </comment>
    <comment ref="X58" authorId="0">
      <text>
        <r>
          <rPr>
            <b/>
            <sz val="9"/>
            <rFont val="宋体"/>
            <charset val="134"/>
          </rPr>
          <t>Administrator:</t>
        </r>
        <r>
          <rPr>
            <sz val="9"/>
            <rFont val="宋体"/>
            <charset val="134"/>
          </rPr>
          <t xml:space="preserve">
OTP IC，预计12/16号交货
3/25 加多36000 OTP IC
原本 1880000差4697未交
3/24更新MA数量</t>
        </r>
      </text>
    </comment>
    <comment ref="X59" authorId="0">
      <text>
        <r>
          <rPr>
            <b/>
            <sz val="9"/>
            <rFont val="宋体"/>
            <charset val="134"/>
          </rPr>
          <t>Administrator:</t>
        </r>
        <r>
          <rPr>
            <sz val="9"/>
            <rFont val="宋体"/>
            <charset val="134"/>
          </rPr>
          <t xml:space="preserve">
原110000，差38075未交
3/24更新MA</t>
        </r>
      </text>
    </comment>
    <comment ref="S63" authorId="0">
      <text>
        <r>
          <rPr>
            <b/>
            <sz val="9"/>
            <rFont val="宋体"/>
            <charset val="134"/>
          </rPr>
          <t>Administrator:</t>
        </r>
        <r>
          <rPr>
            <sz val="9"/>
            <rFont val="宋体"/>
            <charset val="134"/>
          </rPr>
          <t xml:space="preserve">
2/14更新为94000</t>
        </r>
      </text>
    </comment>
    <comment ref="J66" authorId="1">
      <text>
        <r>
          <rPr>
            <b/>
            <sz val="9"/>
            <rFont val="宋体"/>
            <charset val="134"/>
          </rPr>
          <t>Jinn:</t>
        </r>
        <r>
          <rPr>
            <sz val="9"/>
            <rFont val="宋体"/>
            <charset val="134"/>
          </rPr>
          <t xml:space="preserve">
显达硅胶从此批MA开始加价（收回ZURU）
另外客人通知备多53万套，总共70万套</t>
        </r>
      </text>
    </comment>
    <comment ref="B67" authorId="0">
      <text>
        <r>
          <rPr>
            <b/>
            <sz val="9"/>
            <rFont val="宋体"/>
            <charset val="134"/>
          </rPr>
          <t>Administrator:</t>
        </r>
        <r>
          <rPr>
            <sz val="9"/>
            <rFont val="宋体"/>
            <charset val="134"/>
          </rPr>
          <t xml:space="preserve">
11/5下单/12/1更新数量</t>
        </r>
      </text>
    </comment>
    <comment ref="G73" authorId="0">
      <text>
        <r>
          <rPr>
            <b/>
            <sz val="9"/>
            <rFont val="宋体"/>
            <charset val="134"/>
          </rPr>
          <t>Administrator:</t>
        </r>
        <r>
          <rPr>
            <sz val="9"/>
            <rFont val="宋体"/>
            <charset val="134"/>
          </rPr>
          <t xml:space="preserve">
MA-648 总数量143000，分新旧胶件数量
，此处为旧件</t>
        </r>
      </text>
    </comment>
    <comment ref="I73" authorId="0">
      <text>
        <r>
          <rPr>
            <b/>
            <sz val="9"/>
            <rFont val="宋体"/>
            <charset val="134"/>
          </rPr>
          <t>Administrator:</t>
        </r>
        <r>
          <rPr>
            <sz val="9"/>
            <rFont val="宋体"/>
            <charset val="134"/>
          </rPr>
          <t xml:space="preserve">
MA-648 总数量87000，分新旧胶件数量，此处为旧件</t>
        </r>
      </text>
    </comment>
    <comment ref="J73" authorId="0">
      <text>
        <r>
          <rPr>
            <b/>
            <sz val="9"/>
            <rFont val="宋体"/>
            <charset val="134"/>
          </rPr>
          <t>Administrator:</t>
        </r>
        <r>
          <rPr>
            <sz val="9"/>
            <rFont val="宋体"/>
            <charset val="134"/>
          </rPr>
          <t xml:space="preserve">
啤旧胶件数量</t>
        </r>
      </text>
    </comment>
    <comment ref="G74" authorId="0">
      <text>
        <r>
          <rPr>
            <b/>
            <sz val="9"/>
            <rFont val="宋体"/>
            <charset val="134"/>
          </rPr>
          <t>Administrator:</t>
        </r>
        <r>
          <rPr>
            <sz val="9"/>
            <rFont val="宋体"/>
            <charset val="134"/>
          </rPr>
          <t xml:space="preserve">
MA-648 总数量143000，分新旧胶件数量，此处为新件</t>
        </r>
      </text>
    </comment>
    <comment ref="I74" authorId="0">
      <text>
        <r>
          <rPr>
            <b/>
            <sz val="9"/>
            <rFont val="宋体"/>
            <charset val="134"/>
          </rPr>
          <t>Administrator:</t>
        </r>
        <r>
          <rPr>
            <sz val="9"/>
            <rFont val="宋体"/>
            <charset val="134"/>
          </rPr>
          <t xml:space="preserve">
MA-648 总数量87000，分新旧胶件数量
，此处为新件</t>
        </r>
      </text>
    </comment>
    <comment ref="J74" authorId="0">
      <text>
        <r>
          <rPr>
            <b/>
            <sz val="9"/>
            <rFont val="宋体"/>
            <charset val="134"/>
          </rPr>
          <t>Administrator:</t>
        </r>
        <r>
          <rPr>
            <sz val="9"/>
            <rFont val="宋体"/>
            <charset val="134"/>
          </rPr>
          <t xml:space="preserve">
新胶件啤数量</t>
        </r>
      </text>
    </comment>
    <comment ref="H79" authorId="0">
      <text>
        <r>
          <rPr>
            <b/>
            <sz val="9"/>
            <rFont val="宋体"/>
            <charset val="134"/>
          </rPr>
          <t>Administrator:</t>
        </r>
        <r>
          <rPr>
            <sz val="9"/>
            <rFont val="宋体"/>
            <charset val="134"/>
          </rPr>
          <t xml:space="preserve">
</t>
        </r>
        <r>
          <rPr>
            <sz val="10"/>
            <rFont val="宋体"/>
            <charset val="134"/>
          </rPr>
          <t>10/7号啤4.8万蓝色鲨鱼，蓝色鲨鱼剩余MA 5万</t>
        </r>
      </text>
    </comment>
    <comment ref="O79" authorId="0">
      <text>
        <r>
          <rPr>
            <b/>
            <sz val="9"/>
            <rFont val="宋体"/>
            <charset val="134"/>
          </rPr>
          <t>Administrator:</t>
        </r>
        <r>
          <rPr>
            <sz val="9"/>
            <rFont val="宋体"/>
            <charset val="134"/>
          </rPr>
          <t xml:space="preserve">
</t>
        </r>
        <r>
          <rPr>
            <sz val="10"/>
            <rFont val="宋体"/>
            <charset val="134"/>
          </rPr>
          <t>9/20和经理讨论，待通知备料</t>
        </r>
      </text>
    </comment>
    <comment ref="C82" authorId="2">
      <text>
        <r>
          <rPr>
            <b/>
            <sz val="9"/>
            <rFont val="宋体"/>
            <charset val="134"/>
          </rPr>
          <t>待通知备料</t>
        </r>
      </text>
    </comment>
    <comment ref="E82" authorId="2">
      <text>
        <r>
          <rPr>
            <sz val="9"/>
            <rFont val="宋体"/>
            <charset val="134"/>
          </rPr>
          <t>11/28下单备第一批10000PCS
12/8下单备第二批10000PCS</t>
        </r>
      </text>
    </comment>
    <comment ref="M83" authorId="2">
      <text>
        <r>
          <rPr>
            <b/>
            <sz val="9"/>
            <rFont val="宋体"/>
            <charset val="134"/>
          </rPr>
          <t xml:space="preserve">待通知备料
</t>
        </r>
      </text>
    </comment>
    <comment ref="N83" authorId="2">
      <text>
        <r>
          <rPr>
            <b/>
            <sz val="9"/>
            <rFont val="宋体"/>
            <charset val="134"/>
          </rPr>
          <t xml:space="preserve">待通知备料
</t>
        </r>
      </text>
    </comment>
    <comment ref="G104" authorId="0">
      <text>
        <r>
          <rPr>
            <b/>
            <sz val="9"/>
            <rFont val="宋体"/>
            <charset val="134"/>
          </rPr>
          <t>Administrator:</t>
        </r>
        <r>
          <rPr>
            <sz val="9"/>
            <rFont val="宋体"/>
            <charset val="134"/>
          </rPr>
          <t xml:space="preserve">
12/19 微信通知增加数量 
</t>
        </r>
      </text>
    </comment>
    <comment ref="I105" authorId="0">
      <text>
        <r>
          <rPr>
            <b/>
            <sz val="9"/>
            <rFont val="宋体"/>
            <charset val="134"/>
          </rPr>
          <t>Administrator:</t>
        </r>
        <r>
          <rPr>
            <sz val="9"/>
            <rFont val="宋体"/>
            <charset val="134"/>
          </rPr>
          <t xml:space="preserve">
12/19 微信通知增加数量 
</t>
        </r>
      </text>
    </comment>
    <comment ref="H106" authorId="0">
      <text>
        <r>
          <rPr>
            <b/>
            <sz val="9"/>
            <rFont val="宋体"/>
            <charset val="134"/>
          </rPr>
          <t>Administrator:</t>
        </r>
        <r>
          <rPr>
            <sz val="9"/>
            <rFont val="宋体"/>
            <charset val="134"/>
          </rPr>
          <t xml:space="preserve">
12/19 微信通知增加数量 
</t>
        </r>
      </text>
    </comment>
    <comment ref="J120" authorId="0">
      <text>
        <r>
          <rPr>
            <b/>
            <sz val="9"/>
            <rFont val="宋体"/>
            <charset val="134"/>
          </rPr>
          <t>Administrator:</t>
        </r>
        <r>
          <rPr>
            <sz val="9"/>
            <rFont val="宋体"/>
            <charset val="134"/>
          </rPr>
          <t xml:space="preserve">
鲨鱼电池门开始用新模</t>
        </r>
      </text>
    </comment>
    <comment ref="G173" authorId="0">
      <text>
        <r>
          <rPr>
            <sz val="9"/>
            <rFont val="宋体"/>
            <charset val="134"/>
          </rPr>
          <t xml:space="preserve">
旧鲨鱼库存数</t>
        </r>
      </text>
    </comment>
    <comment ref="H173" authorId="0">
      <text>
        <r>
          <rPr>
            <sz val="9"/>
            <rFont val="宋体"/>
            <charset val="134"/>
          </rPr>
          <t xml:space="preserve">
旧鲨鱼库存数</t>
        </r>
      </text>
    </comment>
    <comment ref="I173" authorId="0">
      <text>
        <r>
          <rPr>
            <sz val="9"/>
            <rFont val="宋体"/>
            <charset val="134"/>
          </rPr>
          <t xml:space="preserve">
旧鲨鱼库存数</t>
        </r>
      </text>
    </comment>
    <comment ref="L173" authorId="2">
      <text>
        <r>
          <rPr>
            <b/>
            <sz val="9"/>
            <rFont val="宋体"/>
            <charset val="134"/>
          </rPr>
          <t>报废数量</t>
        </r>
      </text>
    </comment>
    <comment ref="M173" authorId="2">
      <text>
        <r>
          <rPr>
            <b/>
            <sz val="9"/>
            <rFont val="宋体"/>
            <charset val="134"/>
          </rPr>
          <t>admin:</t>
        </r>
        <r>
          <rPr>
            <sz val="9"/>
            <rFont val="宋体"/>
            <charset val="134"/>
          </rPr>
          <t xml:space="preserve">
报废数量</t>
        </r>
      </text>
    </comment>
    <comment ref="N173" authorId="2">
      <text>
        <r>
          <rPr>
            <b/>
            <sz val="9"/>
            <rFont val="宋体"/>
            <charset val="134"/>
          </rPr>
          <t>admin:</t>
        </r>
        <r>
          <rPr>
            <sz val="9"/>
            <rFont val="宋体"/>
            <charset val="134"/>
          </rPr>
          <t xml:space="preserve">
报废数量</t>
        </r>
      </text>
    </comment>
  </commentList>
</comments>
</file>

<file path=xl/comments7.xml><?xml version="1.0" encoding="utf-8"?>
<comments xmlns="http://schemas.openxmlformats.org/spreadsheetml/2006/main">
  <authors>
    <author>Administrator</author>
  </authors>
  <commentList>
    <comment ref="AA7" authorId="0">
      <text>
        <r>
          <rPr>
            <b/>
            <sz val="9"/>
            <rFont val="宋体"/>
            <charset val="134"/>
          </rPr>
          <t>Administrator:</t>
        </r>
        <r>
          <rPr>
            <sz val="9"/>
            <rFont val="宋体"/>
            <charset val="134"/>
          </rPr>
          <t xml:space="preserve">
0010623 12/9 360pcs
糖果厂
</t>
        </r>
      </text>
    </comment>
    <comment ref="AB7" authorId="0">
      <text>
        <r>
          <rPr>
            <b/>
            <sz val="9"/>
            <rFont val="宋体"/>
            <charset val="134"/>
          </rPr>
          <t>Administrator:</t>
        </r>
        <r>
          <rPr>
            <sz val="9"/>
            <rFont val="宋体"/>
            <charset val="134"/>
          </rPr>
          <t xml:space="preserve">
11/11 上客人EAN贴纸360pcs
  外箱贴纸120pcs</t>
        </r>
      </text>
    </comment>
    <comment ref="T8" authorId="0">
      <text>
        <r>
          <rPr>
            <b/>
            <sz val="9"/>
            <rFont val="宋体"/>
            <charset val="134"/>
          </rPr>
          <t>Administrator:</t>
        </r>
        <r>
          <rPr>
            <sz val="9"/>
            <rFont val="宋体"/>
            <charset val="134"/>
          </rPr>
          <t xml:space="preserve">
12/3 收到客版包装资料
</t>
        </r>
      </text>
    </comment>
    <comment ref="AA8" authorId="0">
      <text>
        <r>
          <rPr>
            <b/>
            <sz val="9"/>
            <rFont val="宋体"/>
            <charset val="134"/>
          </rPr>
          <t>Administrator:</t>
        </r>
        <r>
          <rPr>
            <sz val="9"/>
            <rFont val="宋体"/>
            <charset val="134"/>
          </rPr>
          <t xml:space="preserve">
</t>
        </r>
        <r>
          <rPr>
            <sz val="14"/>
            <rFont val="宋体"/>
            <charset val="134"/>
          </rPr>
          <t xml:space="preserve"> 0001159  2-11  6588 pcs 张文加 c5</t>
        </r>
      </text>
    </comment>
    <comment ref="AC8" authorId="0">
      <text>
        <r>
          <rPr>
            <b/>
            <sz val="9"/>
            <rFont val="宋体"/>
            <charset val="134"/>
          </rPr>
          <t>Administrator:</t>
        </r>
        <r>
          <rPr>
            <sz val="9"/>
            <rFont val="宋体"/>
            <charset val="134"/>
          </rPr>
          <t xml:space="preserve">
</t>
        </r>
        <r>
          <rPr>
            <sz val="14"/>
            <rFont val="宋体"/>
            <charset val="134"/>
          </rPr>
          <t>22010603  1/6  10040 pcs</t>
        </r>
      </text>
    </comment>
    <comment ref="T9" authorId="0">
      <text>
        <r>
          <rPr>
            <b/>
            <sz val="9"/>
            <rFont val="宋体"/>
            <charset val="134"/>
          </rPr>
          <t>Administrator:</t>
        </r>
        <r>
          <rPr>
            <sz val="9"/>
            <rFont val="宋体"/>
            <charset val="134"/>
          </rPr>
          <t xml:space="preserve">
12/3 收到客版包装资料
</t>
        </r>
      </text>
    </comment>
    <comment ref="AA9" authorId="0">
      <text>
        <r>
          <rPr>
            <b/>
            <sz val="9"/>
            <rFont val="宋体"/>
            <charset val="134"/>
          </rPr>
          <t>Ad</t>
        </r>
        <r>
          <rPr>
            <b/>
            <sz val="12"/>
            <rFont val="宋体"/>
            <charset val="134"/>
          </rPr>
          <t xml:space="preserve">ministrator:
0001162 2/16 7644pcs张文加 c1
</t>
        </r>
      </text>
    </comment>
    <comment ref="T10" authorId="0">
      <text>
        <r>
          <rPr>
            <b/>
            <sz val="9"/>
            <rFont val="宋体"/>
            <charset val="134"/>
          </rPr>
          <t>Administrator:</t>
        </r>
        <r>
          <rPr>
            <sz val="9"/>
            <rFont val="宋体"/>
            <charset val="134"/>
          </rPr>
          <t xml:space="preserve">
12/3 收到客版包装资料
</t>
        </r>
      </text>
    </comment>
    <comment ref="AA10" authorId="0">
      <text>
        <r>
          <rPr>
            <b/>
            <sz val="9"/>
            <rFont val="宋体"/>
            <charset val="134"/>
          </rPr>
          <t>Administrator:</t>
        </r>
        <r>
          <rPr>
            <sz val="9"/>
            <rFont val="宋体"/>
            <charset val="134"/>
          </rPr>
          <t xml:space="preserve">
</t>
        </r>
        <r>
          <rPr>
            <sz val="14"/>
            <rFont val="宋体"/>
            <charset val="134"/>
          </rPr>
          <t>0003543 2/24 4158 pcs 
张文加 二c3
0003545 2/25 2430 pcs张文加 二c3</t>
        </r>
      </text>
    </comment>
    <comment ref="T11" authorId="0">
      <text>
        <r>
          <rPr>
            <b/>
            <sz val="9"/>
            <rFont val="宋体"/>
            <charset val="134"/>
          </rPr>
          <t>Administrator:</t>
        </r>
        <r>
          <rPr>
            <sz val="9"/>
            <rFont val="宋体"/>
            <charset val="134"/>
          </rPr>
          <t xml:space="preserve">
12/3 收到客版包装资料
</t>
        </r>
      </text>
    </comment>
    <comment ref="AA11" authorId="0">
      <text>
        <r>
          <rPr>
            <b/>
            <sz val="9"/>
            <rFont val="宋体"/>
            <charset val="134"/>
          </rPr>
          <t>Administrator:</t>
        </r>
        <r>
          <rPr>
            <sz val="9"/>
            <rFont val="宋体"/>
            <charset val="134"/>
          </rPr>
          <t xml:space="preserve">
</t>
        </r>
        <r>
          <rPr>
            <b/>
            <sz val="10"/>
            <rFont val="宋体"/>
            <charset val="134"/>
          </rPr>
          <t>0000224 3/5 3456 pcs 二C3
0001164 2/16 210 pcs糖果厂 2楼 0003549 2/26  1890 pcs张文加 C3
0000227 3/7 2088 pcs</t>
        </r>
      </text>
    </comment>
    <comment ref="T12" authorId="0">
      <text>
        <r>
          <rPr>
            <b/>
            <sz val="9"/>
            <rFont val="宋体"/>
            <charset val="134"/>
          </rPr>
          <t>Administrator:</t>
        </r>
        <r>
          <rPr>
            <sz val="9"/>
            <rFont val="宋体"/>
            <charset val="134"/>
          </rPr>
          <t xml:space="preserve">
12/3 收到客版包装资料
</t>
        </r>
      </text>
    </comment>
    <comment ref="AA12" authorId="0">
      <text>
        <r>
          <rPr>
            <b/>
            <sz val="9"/>
            <rFont val="宋体"/>
            <charset val="134"/>
          </rPr>
          <t>Administrator:</t>
        </r>
        <r>
          <rPr>
            <sz val="9"/>
            <rFont val="宋体"/>
            <charset val="134"/>
          </rPr>
          <t xml:space="preserve">
</t>
        </r>
        <r>
          <rPr>
            <b/>
            <sz val="12"/>
            <rFont val="宋体"/>
            <charset val="134"/>
          </rPr>
          <t>0000227 3/7 1368 pcs 张文加 二c6
0000235 3/10 3324 pcs
张文加二c6
0000237 3/10 1728 pcs
张文加二c6
0000246 3/11 1224 pcs张文加二C6</t>
        </r>
      </text>
    </comment>
    <comment ref="T13" authorId="0">
      <text>
        <r>
          <rPr>
            <b/>
            <sz val="9"/>
            <rFont val="宋体"/>
            <charset val="134"/>
          </rPr>
          <t>Administrator:</t>
        </r>
        <r>
          <rPr>
            <sz val="9"/>
            <rFont val="宋体"/>
            <charset val="134"/>
          </rPr>
          <t xml:space="preserve">
12/3 收到客版包装资料
</t>
        </r>
      </text>
    </comment>
    <comment ref="AA13" authorId="0">
      <text>
        <r>
          <rPr>
            <b/>
            <sz val="9"/>
            <rFont val="宋体"/>
            <charset val="134"/>
          </rPr>
          <t>Administrator:</t>
        </r>
        <r>
          <rPr>
            <sz val="9"/>
            <rFont val="宋体"/>
            <charset val="134"/>
          </rPr>
          <t xml:space="preserve">
</t>
        </r>
        <r>
          <rPr>
            <b/>
            <sz val="12"/>
            <rFont val="宋体"/>
            <charset val="134"/>
          </rPr>
          <t>0001205 3/15 972 pcs
张文加 二A9
0000253 3/15 3696 pcs
张文加 二A9
0001209  3/15  972 pcs
张文加 二A9
0000252  3/15 1704 pcs张文加 二A9
0001213 3/18 300 pcs张文加 A9</t>
        </r>
      </text>
    </comment>
    <comment ref="T14" authorId="0">
      <text>
        <r>
          <rPr>
            <b/>
            <sz val="9"/>
            <rFont val="宋体"/>
            <charset val="134"/>
          </rPr>
          <t>Administrator:</t>
        </r>
        <r>
          <rPr>
            <sz val="9"/>
            <rFont val="宋体"/>
            <charset val="134"/>
          </rPr>
          <t xml:space="preserve">
12/3 收到客版包装资料
</t>
        </r>
      </text>
    </comment>
    <comment ref="AA14" authorId="0">
      <text>
        <r>
          <rPr>
            <b/>
            <sz val="14"/>
            <rFont val="宋体"/>
            <charset val="134"/>
          </rPr>
          <t>Administrator:</t>
        </r>
        <r>
          <rPr>
            <sz val="14"/>
            <rFont val="宋体"/>
            <charset val="134"/>
          </rPr>
          <t xml:space="preserve">
0000181 3/21 6588 pcs张文加铁D4</t>
        </r>
      </text>
    </comment>
    <comment ref="T15" authorId="0">
      <text>
        <r>
          <rPr>
            <b/>
            <sz val="9"/>
            <rFont val="宋体"/>
            <charset val="134"/>
          </rPr>
          <t>Administrator:</t>
        </r>
        <r>
          <rPr>
            <sz val="9"/>
            <rFont val="宋体"/>
            <charset val="134"/>
          </rPr>
          <t xml:space="preserve">
12/3 收到客版包装资料
</t>
        </r>
      </text>
    </comment>
    <comment ref="AA15" authorId="0">
      <text>
        <r>
          <rPr>
            <b/>
            <sz val="9"/>
            <rFont val="宋体"/>
            <charset val="134"/>
          </rPr>
          <t>Administrator:</t>
        </r>
        <r>
          <rPr>
            <sz val="9"/>
            <rFont val="宋体"/>
            <charset val="134"/>
          </rPr>
          <t xml:space="preserve">
</t>
        </r>
        <r>
          <rPr>
            <sz val="14"/>
            <rFont val="宋体"/>
            <charset val="134"/>
          </rPr>
          <t>0000186 3/22 1680 pcs
张文加 二B13
0000190 3/23 2688 pcs
张文加 二B13
0003580 3/23 2142 pcs
张文加 二B13
0000188 3/23 1008 pcs张文加 二B13
0000193 3/25 126 pcs张文加</t>
        </r>
      </text>
    </comment>
    <comment ref="T16" authorId="0">
      <text>
        <r>
          <rPr>
            <b/>
            <sz val="9"/>
            <rFont val="宋体"/>
            <charset val="134"/>
          </rPr>
          <t>Administrator:</t>
        </r>
        <r>
          <rPr>
            <sz val="9"/>
            <rFont val="宋体"/>
            <charset val="134"/>
          </rPr>
          <t xml:space="preserve">
12/3 收到客版包装资料
</t>
        </r>
      </text>
    </comment>
    <comment ref="AA16" authorId="0">
      <text>
        <r>
          <rPr>
            <b/>
            <sz val="9"/>
            <rFont val="宋体"/>
            <charset val="134"/>
          </rPr>
          <t>Administrator:</t>
        </r>
        <r>
          <rPr>
            <sz val="9"/>
            <rFont val="宋体"/>
            <charset val="134"/>
          </rPr>
          <t xml:space="preserve">
0000081 3/25 3456  pcs
张文加 二C12
0000063 3/26 3132 pcs张文加 二C12</t>
        </r>
      </text>
    </comment>
    <comment ref="T17" authorId="0">
      <text>
        <r>
          <rPr>
            <b/>
            <sz val="9"/>
            <rFont val="宋体"/>
            <charset val="134"/>
          </rPr>
          <t>Administrator:</t>
        </r>
        <r>
          <rPr>
            <sz val="9"/>
            <rFont val="宋体"/>
            <charset val="134"/>
          </rPr>
          <t xml:space="preserve">
12/3 收到客版包装资料
</t>
        </r>
      </text>
    </comment>
    <comment ref="AA17" authorId="0">
      <text>
        <r>
          <rPr>
            <b/>
            <sz val="9"/>
            <rFont val="宋体"/>
            <charset val="134"/>
          </rPr>
          <t>Administrator:</t>
        </r>
        <r>
          <rPr>
            <sz val="9"/>
            <rFont val="宋体"/>
            <charset val="134"/>
          </rPr>
          <t xml:space="preserve">
0000067 3/28 1722 pcs
张文加 A9
0000071 3/29 2328 pcs
0001243 3/29 3594 pcs</t>
        </r>
      </text>
    </comment>
  </commentList>
</comments>
</file>

<file path=xl/sharedStrings.xml><?xml version="1.0" encoding="utf-8"?>
<sst xmlns="http://schemas.openxmlformats.org/spreadsheetml/2006/main" count="19924" uniqueCount="4700">
  <si>
    <r>
      <rPr>
        <b/>
        <sz val="14"/>
        <rFont val="宋体"/>
        <charset val="0"/>
      </rPr>
      <t xml:space="preserve">ZURU  </t>
    </r>
    <r>
      <rPr>
        <b/>
        <sz val="14"/>
        <rFont val="宋体"/>
        <charset val="134"/>
      </rPr>
      <t>游水动物生产排期表</t>
    </r>
  </si>
  <si>
    <t>訂單數量</t>
  </si>
  <si>
    <t>說明書</t>
  </si>
  <si>
    <r>
      <rPr>
        <b/>
        <sz val="14"/>
        <rFont val="宋体"/>
        <charset val="0"/>
      </rPr>
      <t>MA A</t>
    </r>
    <r>
      <rPr>
        <b/>
        <sz val="14"/>
        <rFont val="宋体"/>
        <charset val="134"/>
      </rPr>
      <t>版本彩盒</t>
    </r>
    <r>
      <rPr>
        <b/>
        <sz val="14"/>
        <rFont val="宋体"/>
        <charset val="0"/>
      </rPr>
      <t>2000set</t>
    </r>
  </si>
  <si>
    <r>
      <rPr>
        <b/>
        <sz val="14"/>
        <rFont val="宋体"/>
        <charset val="0"/>
      </rPr>
      <t>MA B</t>
    </r>
    <r>
      <rPr>
        <b/>
        <sz val="14"/>
        <rFont val="宋体"/>
        <charset val="134"/>
      </rPr>
      <t>版本彩盒</t>
    </r>
  </si>
  <si>
    <r>
      <rPr>
        <b/>
        <sz val="14"/>
        <rFont val="宋体"/>
        <charset val="0"/>
      </rPr>
      <t>MA C/D</t>
    </r>
    <r>
      <rPr>
        <b/>
        <sz val="14"/>
        <rFont val="宋体"/>
        <charset val="134"/>
      </rPr>
      <t>版本彩盒</t>
    </r>
  </si>
  <si>
    <t>MA E版本彩盒</t>
  </si>
  <si>
    <t>客版包装</t>
  </si>
  <si>
    <t>香港接单日期</t>
  </si>
  <si>
    <t>第三方客户名称</t>
  </si>
  <si>
    <t>走货国家</t>
  </si>
  <si>
    <t>ZURU PO NO#</t>
  </si>
  <si>
    <r>
      <rPr>
        <b/>
        <sz val="14"/>
        <color rgb="FF000000"/>
        <rFont val="宋体"/>
        <charset val="134"/>
      </rPr>
      <t>第三方客户</t>
    </r>
    <r>
      <rPr>
        <b/>
        <sz val="14"/>
        <color rgb="FF000000"/>
        <rFont val="宋体"/>
        <charset val="0"/>
      </rPr>
      <t xml:space="preserve">
 PO NO#</t>
    </r>
  </si>
  <si>
    <r>
      <rPr>
        <b/>
        <sz val="14"/>
        <color rgb="FF000000"/>
        <rFont val="宋体"/>
        <charset val="0"/>
      </rPr>
      <t>SUK</t>
    </r>
    <r>
      <rPr>
        <b/>
        <sz val="14"/>
        <color rgb="FF000000"/>
        <rFont val="宋体"/>
        <charset val="134"/>
      </rPr>
      <t>号</t>
    </r>
  </si>
  <si>
    <t>系统货号</t>
  </si>
  <si>
    <t>ITEM#</t>
  </si>
  <si>
    <t>中文名</t>
  </si>
  <si>
    <r>
      <rPr>
        <b/>
        <sz val="14"/>
        <color rgb="FF000000"/>
        <rFont val="宋体"/>
        <charset val="0"/>
      </rPr>
      <t>PO</t>
    </r>
    <r>
      <rPr>
        <b/>
        <sz val="14"/>
        <color rgb="FF000000"/>
        <rFont val="宋体"/>
        <charset val="134"/>
      </rPr>
      <t>数量</t>
    </r>
    <r>
      <rPr>
        <b/>
        <sz val="14"/>
        <color rgb="FF000000"/>
        <rFont val="宋体"/>
        <charset val="0"/>
      </rPr>
      <t xml:space="preserve">
(pcs)</t>
    </r>
  </si>
  <si>
    <r>
      <rPr>
        <b/>
        <sz val="14"/>
        <color rgb="FF000000"/>
        <rFont val="宋体"/>
        <charset val="134"/>
      </rPr>
      <t>外箱装箱数量</t>
    </r>
    <r>
      <rPr>
        <b/>
        <sz val="14"/>
        <color rgb="FF000000"/>
        <rFont val="宋体"/>
        <charset val="0"/>
      </rPr>
      <t>(pcs)</t>
    </r>
  </si>
  <si>
    <t>总箱数</t>
  </si>
  <si>
    <t>计划出货期</t>
  </si>
  <si>
    <t>计划验货期</t>
  </si>
  <si>
    <t>第三方客户公证行验货</t>
  </si>
  <si>
    <t>驗貨結果</t>
  </si>
  <si>
    <r>
      <rPr>
        <b/>
        <sz val="14"/>
        <color rgb="FF000000"/>
        <rFont val="宋体"/>
        <charset val="0"/>
      </rPr>
      <t>ZURU</t>
    </r>
    <r>
      <rPr>
        <b/>
        <sz val="14"/>
        <color rgb="FF000000"/>
        <rFont val="宋体"/>
        <charset val="134"/>
      </rPr>
      <t>确认走货日期</t>
    </r>
  </si>
  <si>
    <r>
      <rPr>
        <b/>
        <sz val="14"/>
        <color rgb="FF000000"/>
        <rFont val="宋体"/>
        <charset val="134"/>
      </rPr>
      <t>箱唛资料</t>
    </r>
    <r>
      <rPr>
        <b/>
        <sz val="14"/>
        <color rgb="FF000000"/>
        <rFont val="宋体"/>
        <charset val="0"/>
      </rPr>
      <t>(</t>
    </r>
    <r>
      <rPr>
        <b/>
        <sz val="14"/>
        <color rgb="FF000000"/>
        <rFont val="宋体"/>
        <charset val="134"/>
      </rPr>
      <t>收到日期</t>
    </r>
    <r>
      <rPr>
        <b/>
        <sz val="14"/>
        <color rgb="FF000000"/>
        <rFont val="宋体"/>
        <charset val="0"/>
      </rPr>
      <t>)</t>
    </r>
  </si>
  <si>
    <t>外箱贴纸</t>
  </si>
  <si>
    <r>
      <rPr>
        <b/>
        <sz val="14"/>
        <color rgb="FF000000"/>
        <rFont val="宋体"/>
        <charset val="134"/>
      </rPr>
      <t>客供贴纸</t>
    </r>
    <r>
      <rPr>
        <b/>
        <sz val="14"/>
        <color rgb="FF000000"/>
        <rFont val="宋体"/>
        <charset val="0"/>
      </rPr>
      <t>AI(</t>
    </r>
    <r>
      <rPr>
        <b/>
        <sz val="14"/>
        <color rgb="FF000000"/>
        <rFont val="宋体"/>
        <charset val="134"/>
      </rPr>
      <t>收到日期</t>
    </r>
    <r>
      <rPr>
        <b/>
        <sz val="14"/>
        <color rgb="FF000000"/>
        <rFont val="宋体"/>
        <charset val="0"/>
      </rPr>
      <t>)</t>
    </r>
  </si>
  <si>
    <t>包装</t>
  </si>
  <si>
    <t>备注</t>
  </si>
  <si>
    <r>
      <rPr>
        <b/>
        <sz val="14"/>
        <color rgb="FF000000"/>
        <rFont val="宋体"/>
        <charset val="0"/>
      </rPr>
      <t xml:space="preserve">ZURU </t>
    </r>
    <r>
      <rPr>
        <b/>
        <sz val="14"/>
        <color rgb="FF000000"/>
        <rFont val="宋体"/>
        <charset val="134"/>
      </rPr>
      <t>跟单</t>
    </r>
  </si>
  <si>
    <r>
      <rPr>
        <b/>
        <sz val="14"/>
        <color rgb="FF000000"/>
        <rFont val="宋体"/>
        <charset val="134"/>
      </rPr>
      <t>单价</t>
    </r>
    <r>
      <rPr>
        <b/>
        <sz val="14"/>
        <color rgb="FF000000"/>
        <rFont val="宋体"/>
        <charset val="0"/>
      </rPr>
      <t>USD</t>
    </r>
  </si>
  <si>
    <r>
      <rPr>
        <b/>
        <sz val="14"/>
        <color rgb="FF000000"/>
        <rFont val="宋体"/>
        <charset val="134"/>
      </rPr>
      <t>金额</t>
    </r>
    <r>
      <rPr>
        <b/>
        <sz val="14"/>
        <color rgb="FF000000"/>
        <rFont val="宋体"/>
        <charset val="0"/>
      </rPr>
      <t>USD</t>
    </r>
  </si>
  <si>
    <t>發票號</t>
  </si>
  <si>
    <t>送货情况</t>
  </si>
  <si>
    <t>欠数</t>
  </si>
  <si>
    <t>贴纸</t>
  </si>
  <si>
    <t>是否入系统</t>
  </si>
  <si>
    <t>系统出单</t>
  </si>
  <si>
    <t>纸箱</t>
  </si>
  <si>
    <r>
      <rPr>
        <b/>
        <sz val="14"/>
        <color rgb="FF000000"/>
        <rFont val="宋体"/>
        <charset val="0"/>
      </rPr>
      <t>#25251</t>
    </r>
    <r>
      <rPr>
        <b/>
        <sz val="14"/>
        <color rgb="FF000000"/>
        <rFont val="宋体"/>
        <charset val="134"/>
      </rPr>
      <t>鴨子</t>
    </r>
  </si>
  <si>
    <t>#25252鱷魚</t>
  </si>
  <si>
    <r>
      <rPr>
        <b/>
        <sz val="14"/>
        <color rgb="FF000000"/>
        <rFont val="宋体"/>
        <charset val="0"/>
      </rPr>
      <t>#25253</t>
    </r>
    <r>
      <rPr>
        <b/>
        <sz val="14"/>
        <color rgb="FF000000"/>
        <rFont val="宋体"/>
        <charset val="134"/>
      </rPr>
      <t>金魚</t>
    </r>
  </si>
  <si>
    <r>
      <rPr>
        <b/>
        <sz val="14"/>
        <color rgb="FF000000"/>
        <rFont val="宋体"/>
        <charset val="0"/>
      </rPr>
      <t>MA</t>
    </r>
    <r>
      <rPr>
        <b/>
        <sz val="14"/>
        <color rgb="FF000000"/>
        <rFont val="宋体"/>
        <charset val="134"/>
      </rPr>
      <t>说明书</t>
    </r>
  </si>
  <si>
    <t>MA说明书D版本</t>
  </si>
  <si>
    <t>客版說明書</t>
  </si>
  <si>
    <t>#25251鴨子</t>
  </si>
  <si>
    <t>#25253金魚</t>
  </si>
  <si>
    <r>
      <rPr>
        <b/>
        <sz val="14"/>
        <color rgb="FF000000"/>
        <rFont val="宋体"/>
        <charset val="0"/>
      </rPr>
      <t>#25252</t>
    </r>
    <r>
      <rPr>
        <b/>
        <sz val="14"/>
        <color rgb="FF000000"/>
        <rFont val="宋体"/>
        <charset val="134"/>
      </rPr>
      <t>鱷魚</t>
    </r>
  </si>
  <si>
    <t>总数</t>
  </si>
  <si>
    <t>相差</t>
  </si>
  <si>
    <t>ZURU</t>
  </si>
  <si>
    <t>库有</t>
  </si>
  <si>
    <t>ZMPO24898</t>
  </si>
  <si>
    <t>25251-S001</t>
  </si>
  <si>
    <t>鸭子</t>
  </si>
  <si>
    <t>Pass</t>
  </si>
  <si>
    <t>周转箱</t>
  </si>
  <si>
    <t>无</t>
  </si>
  <si>
    <t>大货最新版本</t>
  </si>
  <si>
    <t>Remark:大货最新版本/请用大货标准箱装箱/箱唛请参照邮件附件                                                                                                                                                           备注：收到样品订单后尽快安排 ，注意样板品质质量要求要高于大货品质要求 ，送货时必须要附带送货单(没有送货单和QC检验合格报告的仓库一律拒绝收货)，请知悉，谢谢！</t>
  </si>
  <si>
    <t xml:space="preserve">Angus </t>
  </si>
  <si>
    <t>94395-2.27</t>
  </si>
  <si>
    <t>已入</t>
  </si>
  <si>
    <t>25252-S001</t>
  </si>
  <si>
    <t>鱷魚</t>
  </si>
  <si>
    <t>25253-S001</t>
  </si>
  <si>
    <t>金魚</t>
  </si>
  <si>
    <t>CARREFOUR CORA</t>
  </si>
  <si>
    <t>法国</t>
  </si>
  <si>
    <t>48STY25CORA0091</t>
  </si>
  <si>
    <t>4500147031-10</t>
  </si>
  <si>
    <t>25251-S001-6</t>
  </si>
  <si>
    <t>PET吸塑</t>
  </si>
  <si>
    <t>1/3出</t>
  </si>
  <si>
    <t>空白纸箱+双坑纸箱</t>
  </si>
  <si>
    <t>EAN条码贴纸翻4500144921</t>
  </si>
  <si>
    <t>25251: MA E_1L-23L彩卡+客版说明书(EN/FR/RO), -翻PO#4500144921</t>
  </si>
  <si>
    <t>日期码格式：ZURU INC(BVI) 标准格式 日期：按实际生产日期
Packaging Info: 25251: MA E_1L-23L彩卡+EAN条码贴纸+法国环保logo+客版说明书(EN/FR/RO), -翻PO#4500144921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
7. 客人系统外箱尺寸:
25251: 42*39.5*45.5CM</t>
  </si>
  <si>
    <t>Ula Zhao</t>
  </si>
  <si>
    <t>88833-1.2</t>
  </si>
  <si>
    <t>ok</t>
  </si>
  <si>
    <t>4500147031-20</t>
  </si>
  <si>
    <t>25252-S001-3</t>
  </si>
  <si>
    <t>25252: MA E_1L-23L彩卡+客版说明书(EN/FR/RO), -翻PO#4500144921</t>
  </si>
  <si>
    <t>日期码格式：ZURU INC(BVI) 标准格式 日期：按实际生产日期
Packaging Info: 
25252: MA E_1L-23L彩卡+EAN条码贴纸+法国环保logo+客版说明书(EN/FR/RO), -翻PO#4500144921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
7. 客人系统外箱尺寸:
25252: 42*39.5*45.5CM</t>
  </si>
  <si>
    <t>4500147031-30</t>
  </si>
  <si>
    <t>25253-S001-3</t>
  </si>
  <si>
    <t>25253: MA E_1L-23L彩卡+客版说明书(EN/FR/RO), -翻PO#4500144921</t>
  </si>
  <si>
    <t>日期码格式：ZURU INC(BVI) 标准格式 日期：按实际生产日期
Packaging Info: 
25253: MA E_1L-23L彩卡+EAN条码贴纸+法国环保logo+客版说明书(EN/FR/RO), 翻PO#4500144921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
7. 客人系统外箱尺寸:
25253: 42*39.5*45.5CM</t>
  </si>
  <si>
    <t>WAL-MART STORES INC. USA</t>
  </si>
  <si>
    <t>美国</t>
  </si>
  <si>
    <t>0870169770</t>
  </si>
  <si>
    <t>4500148810-10</t>
  </si>
  <si>
    <t>25251-S002</t>
  </si>
  <si>
    <t>12/20 BV（自检）</t>
  </si>
  <si>
    <t>1/6出</t>
  </si>
  <si>
    <t>外箱四面印刷RFID箱唛 + 顶部ZURU logo黑色色带。主唛右下角加印 MADE IN CHINA</t>
  </si>
  <si>
    <t>11/29-RFID贴纸</t>
  </si>
  <si>
    <t>最新扶正ZURU LOGO客版彩盒</t>
  </si>
  <si>
    <t>日期码格式：DGYYYYMMDD(日期避开周末和法定节假日) 日期：按实际生产日期
Packaging Info: 翻单：4500147361
1.包装方式：
25251：最新扶正ZURU LOGO客版彩盒（客版UPC）1L+23L警告语 + MA D版1L说明书
Remark: 2. 外箱四面印刷青色RFID箱唛 + 顶部ZURU logo黑色色带。
主唛左前下角印刷艾利贴纸替代标箱唛(ITF-14格式)，条码只印刷一面。
主唛右下角加印 MADE IN CHINA
3. WM#25251 NEW UPC：193052056092
4. Include 3pcs AAA carbon batteries;
5.此单需要验货，请自行多备包装物料。
6.在产品上和包装上要有日期码、MADE IN CHINA和ZURU字样。
7.此批单都为散箱出货
8.每PCS要加RFID 贴纸，严格按照我们提供的位置图，不可擅自调整位置，贴纸也不可有任何破损或折坏，不可淋湿!!（如缺数请及时告知）</t>
  </si>
  <si>
    <t>Nikki Mo</t>
  </si>
  <si>
    <t>88868-1.4</t>
  </si>
  <si>
    <t>0870169797</t>
  </si>
  <si>
    <t>4500148811-10</t>
  </si>
  <si>
    <t>1/21出</t>
  </si>
  <si>
    <t>94185-2.8</t>
  </si>
  <si>
    <t>0870169800</t>
  </si>
  <si>
    <t>4500148812-10</t>
  </si>
  <si>
    <t>1/14出</t>
  </si>
  <si>
    <t>94041-1.15</t>
  </si>
  <si>
    <t>DM LLC</t>
  </si>
  <si>
    <t>俄罗斯联邦</t>
  </si>
  <si>
    <t>出Bekasovo 2</t>
  </si>
  <si>
    <t>4500150264-10</t>
  </si>
  <si>
    <t>12/28出</t>
  </si>
  <si>
    <t>11/14收到</t>
  </si>
  <si>
    <t>11/22收到进口商贴纸+ EAN条码贴纸</t>
  </si>
  <si>
    <t>日期码格式：外包装/外箱不要打ZURU标准日期码</t>
  </si>
  <si>
    <t>日期码格式：外包装/外箱不要打ZURU标准日期码 日期：
Packaging Info: 注意 ：外包装 (指: 收缩膜/彩卡/铝箔袋/挂卡/PDQ) /外箱不要打ZURU标准日期码！胶件可以打日期码 .
25252 ： MA 彩卡+ 进口商贴纸+ EAN条码贴纸， MA 说明书 ：
Remark: 标准配比 ；
请按期完货， 会有罚金。
出港口Bekasovo 2.</t>
  </si>
  <si>
    <t>Ann Zhang</t>
  </si>
  <si>
    <t>94035-1.15</t>
  </si>
  <si>
    <t>Smyths Toys HQ UC UK</t>
  </si>
  <si>
    <t>英国</t>
  </si>
  <si>
    <t>4500149773-10</t>
  </si>
  <si>
    <t>25251-S001-5</t>
  </si>
  <si>
    <t>1/15出</t>
  </si>
  <si>
    <t>11/25收到</t>
  </si>
  <si>
    <t>德语&lt;(&gt;&amp;&lt;)&gt;法语callout贴纸和位置图翻4500138425</t>
  </si>
  <si>
    <t>客版说明书都翻PO#4500138425</t>
  </si>
  <si>
    <t>日期码格式：ZURU INC(BVI) 标准格式 日期：按实际生产日期
Packaging Info: 1.25251: MA 1L-23L Warning+德语&lt;(&gt;&amp;&lt;)&gt;法语callout贴纸+客版说明书（英法德意荷语言)
贴纸和位置图/客版说明书都翻PO#4500138425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3）订单必须经过ZURU QC验货并且通过后方可出货
4) 需要符合欧洲标准不能含有闪粉和微塑料，否则不和法规会有客诉产生</t>
  </si>
  <si>
    <t>Amy Ding</t>
  </si>
  <si>
    <t>88975-1.10</t>
  </si>
  <si>
    <t>TJX COMPANIES, INC</t>
  </si>
  <si>
    <t>Marshalls
DC#881-168PCS
,
DC#884-132PCS
,
DC#886-180PCS
,
DC#887-156PCS
,
DC#888-168PCS</t>
  </si>
  <si>
    <t>4500152570-20</t>
  </si>
  <si>
    <t>12/6-客供价格贴纸</t>
  </si>
  <si>
    <t>MA UPC包装</t>
  </si>
  <si>
    <t>日期码格式：ZURU INC(BVI) 标准格式 日期：按实际生产日期
Packaging Info: MA UPC包装+价格贴纸，价格贴纸客供。
Remark: 1. 产品和包装上印刷tracking code信息，格式为ZURU常规格式。
2. 分5个DC出货，每款产品每个DC的箱唛资料不同。具体分DC数量，请参考后面行项目备注。
3. ZURU QC验货。
Order</t>
  </si>
  <si>
    <t>Emily Wu</t>
  </si>
  <si>
    <t>94168-1.23</t>
  </si>
  <si>
    <t>0870169764</t>
  </si>
  <si>
    <t>4500148814-10</t>
  </si>
  <si>
    <t>12/27 BV（自检）</t>
  </si>
  <si>
    <t>12/10-RFID贴纸</t>
  </si>
  <si>
    <t>94028-1.14</t>
  </si>
  <si>
    <t>Marshalls
DC#881-216PCS
,
DC#884-156PCS
,
DC#886-228PCS
,
DC#887-192PCS
,
DC#888-204PCS</t>
  </si>
  <si>
    <t>4500152572-10</t>
  </si>
  <si>
    <t>1/8出</t>
  </si>
  <si>
    <t>日期码格式：ZURU INC(BVI) 标准格式 日期：按实际生产日期
Packaging Info: MA UPC包装+价格贴纸，价格贴纸客供。
Remark: 1. 产品和包装上印刷tracking code信息，格式为ZURU常规格式。
2. 分5个DC出货，每款产品每个DC的箱唛资料不同。具体分DC数量，请参考后面行项目备注。
3. ZURU QC验货。</t>
  </si>
  <si>
    <t>94165-1.23</t>
  </si>
  <si>
    <t>TJ MAXX
DC#891-240PCS
,
DC#894-204PCS
,
DC#896-192PCS
,
DC#897-372PCS
,
DC#898-192PCS</t>
  </si>
  <si>
    <t>4500152573-10</t>
  </si>
  <si>
    <t>94173-1.23</t>
  </si>
  <si>
    <t>4500152575-20</t>
  </si>
  <si>
    <t>94172-1.23</t>
  </si>
  <si>
    <t>4500152574-20</t>
  </si>
  <si>
    <t>94167-1.23</t>
  </si>
  <si>
    <t>0870169815</t>
  </si>
  <si>
    <t>4500149172-10</t>
  </si>
  <si>
    <t>1/3  BV（自检）</t>
  </si>
  <si>
    <t>1/13出</t>
  </si>
  <si>
    <t>94186-2.8</t>
  </si>
  <si>
    <t>0869333766</t>
  </si>
  <si>
    <t>4500152364-10</t>
  </si>
  <si>
    <t>1/16出</t>
  </si>
  <si>
    <t>日期码格式：DGYYYYMMDD(日期避开周末和法定节假日) 日期：按实际生产日期 
Packaging Info: 翻单：4500147361
 1.包装方式：
 25251：最新扶正ZURU LOGO客版彩盒（客版UPC）1L+23L警告语 + MA D版1L说明书
Remark: 2. 外箱四面印刷青色RFID箱唛 + 顶部ZURU logo黑色色带
主唛左前下角印刷艾利贴纸替代标箱唛(ITF-14格式)，条码只印刷一面
 主唛右下角加印 MADE IN CHINA，对角线位置加贴一张粉色MOD艾利贴纸（工厂自行打印或订购）
 3. WM#25251 NEW UPC：193052056092
 4. Include 3pcs AAA carbon batteries;
 5.此单需要验货，请自行多备包装物料。
 6.在产品上和包装上要有日期码、MADE IN CHINA和ZURU字样。
 7.此批单都为散箱出货
 8.每PCS要加RFID 贴纸，严格按照我们提供的位置图，不可擅自调整位置，贴纸也不可有任何破损或折坏，不可淋湿!!（如缺数请及时告知）</t>
  </si>
  <si>
    <t>94073-1.17</t>
  </si>
  <si>
    <t>0869333777</t>
  </si>
  <si>
    <t>4500152363-10</t>
  </si>
  <si>
    <t>1/18出</t>
  </si>
  <si>
    <t>日期码格式：DGYYYYMMDD(日期避开周末和法定节假日) 日期：按实际生产日期
Packaging Info: 翻单：4500147361
 1.包装方式：
 25251：最新扶正ZURU LOGO客版彩盒（客版UPC）1L+23L警告语 + MA D版1L说明书
Remark: 2. 外箱四面印刷青色RFID箱唛 + 顶部ZURU logo黑色色带
主唛左前下角印刷艾利贴纸替代标箱唛(ITF-14格式)，条码只印刷一面
 主唛右下角加印 MADE IN CHINA，对角线位置加贴一张粉色MOD艾利贴纸（工厂自行打印或订购）
 3. WM#25251 NEW UPC：193052056092
 4. Include 3pcs AAA carbon batteries;
 5.此单需要验货，请自行多备包装物料。
 6.在产品上和包装上要有日期码、MADE IN CHINA和ZURU字样。
 7.此批单都为散箱出货
 8.每PCS要加RFID 贴纸，严格按照我们提供的位置图，不可擅自调整位置，贴纸也不可有任何破损或折坏，不可淋湿!!（如缺数请及时告知）</t>
  </si>
  <si>
    <t>94074-1.17</t>
  </si>
  <si>
    <t>0869333761</t>
  </si>
  <si>
    <t>4500152365-10</t>
  </si>
  <si>
    <t>1/20出</t>
  </si>
  <si>
    <t>94056-1.16</t>
  </si>
  <si>
    <t>Smyths Toys HQ UC IE</t>
  </si>
  <si>
    <t>爱尔兰</t>
  </si>
  <si>
    <t>4500153056-20</t>
  </si>
  <si>
    <t>25253-S001-7</t>
  </si>
  <si>
    <t>12/3收到</t>
  </si>
  <si>
    <t>12/10-德语&lt;(&gt;&amp;&lt;)&gt;法语callout贴纸</t>
  </si>
  <si>
    <t>25253:MA 1L-23L Warning+客版说明书翻4500138425</t>
  </si>
  <si>
    <t>日期码格式：ZURU INC(BVI) 标准格式 日期：按实际生产日期
Packaging Info:
2.25253:MA 1L-23L Warning+德语&lt;(&gt;&amp;&lt;)&gt;法语callout贴纸+客版说明书（英法德意荷语言),客版说明书翻PO#4500138425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需要符合欧洲标准不能含有闪粉和微塑料，否则不和法规会有客诉产生</t>
  </si>
  <si>
    <t>88855-1.3</t>
  </si>
  <si>
    <t>4500149173-10</t>
  </si>
  <si>
    <t>1/7  BV（自检）</t>
  </si>
  <si>
    <t>94058-1.16</t>
  </si>
  <si>
    <t>0870169775</t>
  </si>
  <si>
    <t>4500149174-10</t>
  </si>
  <si>
    <t>1/27出</t>
  </si>
  <si>
    <t>94096-1.18</t>
  </si>
  <si>
    <t>0870169805</t>
  </si>
  <si>
    <t>4500149176-10</t>
  </si>
  <si>
    <t>94125-1.20</t>
  </si>
  <si>
    <t>0870169847</t>
  </si>
  <si>
    <t>4500149177-10</t>
  </si>
  <si>
    <t>94072-1.17</t>
  </si>
  <si>
    <t>0870169798</t>
  </si>
  <si>
    <t>4500149178-10</t>
  </si>
  <si>
    <t>94057-1.16</t>
  </si>
  <si>
    <t>0870169788</t>
  </si>
  <si>
    <t>4500149179-10</t>
  </si>
  <si>
    <t>94140-1.21</t>
  </si>
  <si>
    <t>0870169784</t>
  </si>
  <si>
    <t>4500149180-10</t>
  </si>
  <si>
    <t>1/7出</t>
  </si>
  <si>
    <t>94055-1.16</t>
  </si>
  <si>
    <t>AMAZON.COM.DEDC,LLC</t>
  </si>
  <si>
    <t>2AIAHAQL</t>
  </si>
  <si>
    <t>4500152379-110</t>
  </si>
  <si>
    <t>25253-S003-MTS</t>
  </si>
  <si>
    <t>25253-S003</t>
  </si>
  <si>
    <t>金魚（邮包盒新稿）</t>
  </si>
  <si>
    <t>pass</t>
  </si>
  <si>
    <t>2/7出</t>
  </si>
  <si>
    <t>12/20-外箱贴纸</t>
  </si>
  <si>
    <t>邮包盒图稿翻单4500131106-ZURU MA 1L</t>
  </si>
  <si>
    <t>日期码格式： 标准格式 日期：按实际生产日期
Packaging Info: 25253：MA入邮包盒，邮包盒图稿翻单4500131106.
Remark: 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</si>
  <si>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Kelly Shen</t>
  </si>
  <si>
    <t>94201-2.10</t>
  </si>
  <si>
    <t>2ASXTO3R</t>
  </si>
  <si>
    <t>4500152379-120</t>
  </si>
  <si>
    <t>2KTUDAOR</t>
  </si>
  <si>
    <t>4500152379-130</t>
  </si>
  <si>
    <t>5M78WMIT</t>
  </si>
  <si>
    <t>4500152657-10</t>
  </si>
  <si>
    <t>2/13出</t>
  </si>
  <si>
    <t>94229-2.12</t>
  </si>
  <si>
    <t>ROSS PROCUREMENT.INC</t>
  </si>
  <si>
    <t>4500150300-20</t>
  </si>
  <si>
    <t>1/17出</t>
  </si>
  <si>
    <t>2024/11/14收到</t>
  </si>
  <si>
    <t>12/2-客供价格贴纸</t>
  </si>
  <si>
    <t>ZURU MA UPC 现有版本包装</t>
  </si>
  <si>
    <t>日期码格式：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
6.#25251 和 #25253用英法包装，翻单4500132627</t>
  </si>
  <si>
    <t>Taylor Liao</t>
  </si>
  <si>
    <t>94097-1.18</t>
  </si>
  <si>
    <t>4500150300-30</t>
  </si>
  <si>
    <t>4500153057-10</t>
  </si>
  <si>
    <t>12/4收到</t>
  </si>
  <si>
    <t>德语&lt;(&gt;&amp;&lt;)&gt;法语callout贴纸翻4500153056</t>
  </si>
  <si>
    <t>日期码格式：ZURU INC(BVI) 标准格式 日期：按实际生产日期
Packaging Info:
2.25253:MA 1L-23L Warning+德语&lt;(&gt;&amp;&lt;)&gt;法语callout贴纸(贴纸及位置图翻PO#4500153056)+客版说明书（英法德意荷语言),客版说明书翻PO#4500138425
UPC#845218016432请先检查条码是否正确再安排做货如有问题请告知</t>
  </si>
  <si>
    <t>94098-1.18</t>
  </si>
  <si>
    <t>0870169836</t>
  </si>
  <si>
    <t>4500149181-10</t>
  </si>
  <si>
    <t>1/22  BV（自检）</t>
  </si>
  <si>
    <t>2/18出</t>
  </si>
  <si>
    <t>94270-2.18</t>
  </si>
  <si>
    <t>0869333773</t>
  </si>
  <si>
    <t>4500152367-10</t>
  </si>
  <si>
    <t>2/15出</t>
  </si>
  <si>
    <t>94243-2.14</t>
  </si>
  <si>
    <t>0869333776</t>
  </si>
  <si>
    <t>4500152368-10</t>
  </si>
  <si>
    <t>94242-2.14</t>
  </si>
  <si>
    <t>THE WAREHOUSE LIMITED</t>
  </si>
  <si>
    <t>新西兰</t>
  </si>
  <si>
    <t>4500152186-10</t>
  </si>
  <si>
    <t>2/11出</t>
  </si>
  <si>
    <t>MA UPC 英语包装</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</si>
  <si>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25251: 3PCS AAA Batteries(Include)</t>
  </si>
  <si>
    <t>Abby Liang</t>
  </si>
  <si>
    <t>94214-2.11</t>
  </si>
  <si>
    <t>4500152185-10</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</si>
  <si>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25251: 3PCS AAA Batteries(Include)</t>
  </si>
  <si>
    <t>94226-2.12</t>
  </si>
  <si>
    <t>TJ MAXX
DC#891-156PCS
,
DC#894-132PCS
,
DC#896-132PCS
,
DC#897-252PCS
,
DC#898-132PCS</t>
  </si>
  <si>
    <t>4500147801-90</t>
  </si>
  <si>
    <t>11/4收到</t>
  </si>
  <si>
    <t>12/20-客供价格贴纸</t>
  </si>
  <si>
    <t>94280-2.18</t>
  </si>
  <si>
    <t>4500147801-100</t>
  </si>
  <si>
    <t>Marshalls
DC#881-120PCS
,
DC#884-96PCS,
DC#886-144PCS
,
DC#887-120PCS
,
DC#888-120PCS</t>
  </si>
  <si>
    <t>4500147799-90</t>
  </si>
  <si>
    <t>2/14出</t>
  </si>
  <si>
    <t>94278-2.18</t>
  </si>
  <si>
    <t>Marshalls
DC#881-120PCS
,
DC#884-96PCS,
DC#886-132PCS
,
DC#887-120PCS
,
DC#888-132PCS</t>
  </si>
  <si>
    <t>4500147799-100</t>
  </si>
  <si>
    <t>4500151489-20</t>
  </si>
  <si>
    <t>3/12出</t>
  </si>
  <si>
    <t>指定箱唛格式</t>
  </si>
  <si>
    <t>1/3-客供价格贴纸</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</si>
  <si>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t>
  </si>
  <si>
    <t>94529-3.13</t>
  </si>
  <si>
    <t>4500151489-30</t>
  </si>
  <si>
    <t>4500147806-100</t>
  </si>
  <si>
    <t>2/21出</t>
  </si>
  <si>
    <t>94380-2.27</t>
  </si>
  <si>
    <t>4500147804-100</t>
  </si>
  <si>
    <t>94381-2.27</t>
  </si>
  <si>
    <t>0869333770</t>
  </si>
  <si>
    <t>4500152369-10</t>
  </si>
  <si>
    <t>2/10 BV（自检）</t>
  </si>
  <si>
    <t>94269-2.18</t>
  </si>
  <si>
    <t>0870169772</t>
  </si>
  <si>
    <t>4500152846-10</t>
  </si>
  <si>
    <t>2/28出</t>
  </si>
  <si>
    <t>日期码格式：DGYYYYMMDD(日期避开周末和法定节假日) 日期：按实际生产日期 
Packaging Info: 翻单：4500147361
 1.包装方式：
 25251：最新扶正ZURU LOGO客版彩盒（客版UPC）1L+23L警告语 + MA D版1L说明书
Remark: 2. 外箱四面印刷青色RFID箱唛 + 顶部ZURU logo黑色色带。
主唛左前下角印刷艾利贴纸替代标箱唛(ITF-14格式)，条码只印刷一面。
 主唛右下角加印 MADE IN CHINA
 3. WM#25251 NEW UPC：193052056092
 4. Include 3pcs AAA carbon batteries;
 5.此单需要验货，请自行多备包装物料。
 6.在产品上和包装上要有日期码、MADE IN CHINA和ZURU字样。
 7.此批单都为散箱出货
 8.每PCS要加RFID 贴纸，严格按照我们提供的位置图，不可擅自调整位置，贴纸也不可有任何破损或折坏，不可淋湿!!（如缺数请及时告知）</t>
  </si>
  <si>
    <t>94341-2.25</t>
  </si>
  <si>
    <t>0869333759</t>
  </si>
  <si>
    <t>4500152370-10</t>
  </si>
  <si>
    <t>2/13 BV（自检）</t>
  </si>
  <si>
    <t>2/22出</t>
  </si>
  <si>
    <t>94306-2.20</t>
  </si>
  <si>
    <t>0870169782</t>
  </si>
  <si>
    <t>4500152848-10</t>
  </si>
  <si>
    <t>2/19 BV（自检）</t>
  </si>
  <si>
    <t>2/27出</t>
  </si>
  <si>
    <t>94340-2.25</t>
  </si>
  <si>
    <t>0870169796</t>
  </si>
  <si>
    <t>4500152847-10</t>
  </si>
  <si>
    <t>3/7出</t>
  </si>
  <si>
    <t>94480-3.7</t>
  </si>
  <si>
    <t>0870169822</t>
  </si>
  <si>
    <t>4500152849-10</t>
  </si>
  <si>
    <t>2/24出</t>
  </si>
  <si>
    <t>94330-2.24</t>
  </si>
  <si>
    <t>4500147806-110</t>
  </si>
  <si>
    <t>4500147804-110</t>
  </si>
  <si>
    <t>4500155119-20</t>
  </si>
  <si>
    <t>1/2收到</t>
  </si>
  <si>
    <t>1/10-客供价格贴纸</t>
  </si>
  <si>
    <t>日期码格式：ZURU INC(BVI) 标准格式 日期：按实际生产日期 
Packaging Info: MA UPC包装+价格贴纸，价格贴纸客供。
Remark: 1. 产品和包装上印刷tracking code信息，格式为ZURU常规格式。
 2. 1个DC出货: Marshalls DC#882
 3. ZURU QC验货。</t>
  </si>
  <si>
    <t>Emily Wu</t>
  </si>
  <si>
    <t>94247-2.14</t>
  </si>
  <si>
    <t>OK</t>
  </si>
  <si>
    <t>TJ MAXX
DC#891-564PCS
,
DC#894-480PCS
,
DC#896-444PCS
,
DC#897-864PCS
,
DC#898-444PCS</t>
  </si>
  <si>
    <t>4500155120-20</t>
  </si>
  <si>
    <t>日期码格式：ZURU INC(BVI) 标准格式 日期：按实际生产日期 
Packaging Info: MA UPC包装+价格贴纸，价格贴纸客供。
Remark: 1. 产品和包装上印刷tracking code信息，格式为ZURU常规格式。
 2. 分5个DC出货，每款产品每个DC的箱唛资料不同。具体分DC数量，请参考后面行项目备注。
 3. ZURU QC验货。</t>
  </si>
  <si>
    <t>94378-2.27</t>
  </si>
  <si>
    <t>4500152768-10</t>
  </si>
  <si>
    <t>2/17出</t>
  </si>
  <si>
    <t>12/11收到</t>
  </si>
  <si>
    <t>德语法语callout贴纸翻4500138425</t>
  </si>
  <si>
    <t>日期码格式：ZURU INC(BVI) 标准格式 日期：按实际生产日期 
Packaging Info: 1.25251: MA 1L-23L Warning+德语&lt;(&gt;&amp;&lt;)&gt;法语callout贴纸+客版说明书（英法德意荷语言)
 贴纸和位置图/客版说明书都翻PO#4500138425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3）订单必须经过ZURU QC验货并且通过后方可出货
 4) 需要符合欧洲标准不能含有闪粉和微塑料，否则不和法规会有客诉产生</t>
  </si>
  <si>
    <t>94265-2.17</t>
  </si>
  <si>
    <t>4500155121-20</t>
  </si>
  <si>
    <t>日期码格式：ZURU INC(BVI) 标准格式 日期：按实际生产日期 Tracking Code:
Packaging Info: MA UPC包装+价格贴纸，价格贴纸客供。
Remark: 1. 产品和包装上印刷tracking code信息，格式为ZURU常规格式。
 2. 1个DC出货: Marshalls DC#882
 3. ZURU QC验货。</t>
  </si>
  <si>
    <t>94325-2.22</t>
  </si>
  <si>
    <t>TJ MAXX
DC#891-480PCS
,
DC#894-408PCS
,
DC#896-384PCS
,
DC#897-744PCS
,
DC#898-384PCS</t>
  </si>
  <si>
    <t>4500155123-20</t>
  </si>
  <si>
    <t>94379-2.27</t>
  </si>
  <si>
    <t>BURLINGTON COAT FACTORY</t>
  </si>
  <si>
    <t>4500153662-20</t>
  </si>
  <si>
    <t>收到S0</t>
  </si>
  <si>
    <t>1/3-客供价格贴纸+外箱贴纸</t>
  </si>
  <si>
    <t>ZURU MA （首选1L）UPC版本</t>
  </si>
  <si>
    <t>日期码格式：ZURU INC(BVI) 标准格式 日期：按实际生产日期 
Packaging Info: 1，ZURU MA （首选1L）UPC版本+客供价格贴纸+外箱贴纸，出口美国
Remark: 2，产品和包装上印刷ZURU 标准日期码；
 3，纸箱中间靠上沿印刷ZURU LOGO，见箱唛资料
 4、外箱UCC 条码贴纸，尺寸: 4*6inch，贴在其中一面正唛右下角，贴纸距离外箱底部3.5cm, 侧边距离3.5cm。外箱贴纸由跟单提供电子版, 工厂自行安排，不可用
 封箱胶覆盖贴纸条码，贴纸需要可以扫描且无损坏.
 5，每个产品有一个价格贴纸， 价格贴纸覆盖UPC条码上 （若UPC 条码太大，可以露出ITEM#, 覆盖条码即可），若价格贴纸覆盖UPC 会挡住文字/图案，在产品背面
 找空白处粘贴价格贴纸即可。贴的时候要是会覆盖包装上重要的信息和图案，需要告知跟单。</t>
  </si>
  <si>
    <t>Jessi Xu</t>
  </si>
  <si>
    <t>94318-2.21</t>
  </si>
  <si>
    <t>4500153662-30</t>
  </si>
  <si>
    <t>4500152768-20</t>
  </si>
  <si>
    <t>日期码格式：ZURU INC(BVI) 标准格式 日期：按实际生产日期 Tracking Code:
Packaging Info: 1.25251: MA 1L-23L Warning+德语&lt;(&gt;&amp;&lt;)&gt;法语callout贴纸+客版说明书（英法德意荷语言)
 贴纸和位置图/客版说明书都翻PO#4500138425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3）订单必须经过ZURU QC验货并且通过后方可出货
 4) 需要符合欧洲标准不能含有闪粉和微塑料，否则不和法规会有客诉产生</t>
  </si>
  <si>
    <t>94271-2.18</t>
  </si>
  <si>
    <t>4500151566-20</t>
  </si>
  <si>
    <t>3/14出</t>
  </si>
  <si>
    <t>1/22-客供价格贴纸</t>
  </si>
  <si>
    <t>日期码格式：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t>
  </si>
  <si>
    <t>94530-3.13</t>
  </si>
  <si>
    <t>54HP1UHU</t>
  </si>
  <si>
    <t>4500154101-10</t>
  </si>
  <si>
    <t>2/25出</t>
  </si>
  <si>
    <t>12/16收到</t>
  </si>
  <si>
    <t>1/17-外箱贴纸</t>
  </si>
  <si>
    <t>25253：MA入邮包盒，邮包盒图稿翻单4500131106</t>
  </si>
  <si>
    <t>日期码格式： 标准格式 日期：按实际生产日期 
Packaging Info: #25253：MA入邮包盒，邮包盒图稿翻单4500131106。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</si>
  <si>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kelly/Mia</t>
  </si>
  <si>
    <t>94337-2.24</t>
  </si>
  <si>
    <t>8UE7E2SF</t>
  </si>
  <si>
    <t>4500154032-10</t>
  </si>
  <si>
    <t>94313-2.21</t>
  </si>
  <si>
    <t>4P6HT29K</t>
  </si>
  <si>
    <t>4500154144-10</t>
  </si>
  <si>
    <t>94314-2.21</t>
  </si>
  <si>
    <t>8FACFEHM</t>
  </si>
  <si>
    <t>4500154124-90</t>
  </si>
  <si>
    <t>日期码格式：ZURU INC(BVI) 标准格式 日期：按实际生产日期
Packaging Info: #25253：MA入邮包盒，邮包盒图稿翻单4500131106。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</si>
  <si>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94315-2.21</t>
  </si>
  <si>
    <t>0870169808</t>
  </si>
  <si>
    <t>4500152850-10</t>
  </si>
  <si>
    <t>2/25 BV(自检）</t>
  </si>
  <si>
    <t>94557-3.14</t>
  </si>
  <si>
    <t>0870169818</t>
  </si>
  <si>
    <t>4500152851-10</t>
  </si>
  <si>
    <t>2/25 BV（自检）</t>
  </si>
  <si>
    <t>94415-3.3</t>
  </si>
  <si>
    <t>«Market Group» LLC</t>
  </si>
  <si>
    <t>4500154753-10</t>
  </si>
  <si>
    <t>25253-S006</t>
  </si>
  <si>
    <t>金鱼</t>
  </si>
  <si>
    <t>12/26收到</t>
  </si>
  <si>
    <t>1/13-进口商贴纸 +EAN贴纸</t>
  </si>
  <si>
    <t>25253：MA 彩卡</t>
  </si>
  <si>
    <t>日期码格式：ZURU INC(BVI) 标准格式 日期：按实际生产日期
Packaging Info: 1. 25253：MA 彩卡+ 进口商贴纸 +EAN贴纸,+MA说明书
 2. 货期不能延后，客人有罚金。
 3.需要安排3套大货样，请多备料。
Remark: 标准标配</t>
  </si>
  <si>
    <t>94386-2.27</t>
  </si>
  <si>
    <t>TOYS "R" US (CANADA) LTD.</t>
  </si>
  <si>
    <t>加拿大</t>
  </si>
  <si>
    <t>4500153261-10</t>
  </si>
  <si>
    <t>25257-S012</t>
  </si>
  <si>
    <t>二款混裝</t>
  </si>
  <si>
    <t>3/3第三方</t>
  </si>
  <si>
    <t>3/5-3/11出</t>
  </si>
  <si>
    <t>1/6收到</t>
  </si>
  <si>
    <t>#25257: 客版英法双语，彩盒说明书翻单4500113747</t>
  </si>
  <si>
    <t>日期码格式：ZURU INC(BVI) 标准格式 日期：按实际生产日期 
Packaging Info: 1. 出口加拿大市场
 #25257: 客版英法双语，彩盒说明书翻单4500113747。鳄鱼 UPC#845218016425， 鸭子 UPC#845218016418。included 3pcs AAA battery; #25251 Duck/ #25252
 Crocodile=6:6.
Remark: 2. 需要第三方SGS验货，验货时间暂定2025/02/26，每款每色请备1PC完整带包装样品供验货人员参考。用完后若无损坏可以放回大货里。</t>
  </si>
  <si>
    <t>Abby Mai, Lluviazeng</t>
  </si>
  <si>
    <t>94517-3.11</t>
  </si>
  <si>
    <t>0870169828</t>
  </si>
  <si>
    <t>4500155349-10</t>
  </si>
  <si>
    <t>3/7 BV（自检）</t>
  </si>
  <si>
    <t>3/24出</t>
  </si>
  <si>
    <t>2/18-RFID贴纸</t>
  </si>
  <si>
    <t>最新扶正ZURU LOGO客版彩盒（客版UPC）1L+23L警告语翻单：4500147361</t>
  </si>
  <si>
    <t>ZB00026-3.21</t>
  </si>
  <si>
    <t>0870169817</t>
  </si>
  <si>
    <t>4500155344-10</t>
  </si>
  <si>
    <t>3/18出</t>
  </si>
  <si>
    <t>94569-3.17</t>
  </si>
  <si>
    <t>4500155011-20</t>
  </si>
  <si>
    <t>3/21出</t>
  </si>
  <si>
    <t>12/31收到</t>
  </si>
  <si>
    <t>2/18-客供价格贴纸</t>
  </si>
  <si>
    <t>1.ZURU MA UPC 现有版本包装</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</si>
  <si>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t>
  </si>
  <si>
    <t>ZB00028-3.21</t>
  </si>
  <si>
    <t>4500155011-30</t>
  </si>
  <si>
    <t>PT.MAP Aktif Adiperkasa, Tbk</t>
  </si>
  <si>
    <t>印度尼西亚</t>
  </si>
  <si>
    <t>241227-2MAAJKTQ225-ZURU</t>
  </si>
  <si>
    <t>4500155574-30</t>
  </si>
  <si>
    <t>1/9收到</t>
  </si>
  <si>
    <t>2/6-进口商贴纸</t>
  </si>
  <si>
    <t>日期码格式：ZURU INC(BVI) 标准格式 日期：按实际生产日期 
Packaging Info: MA UPC包装（优先1L)+1张进口商贴纸,
 所有item使用含电池信息的进口商贴纸，贴纸待提供
 1.可能会被抽大货样做测试，请多备料，CRD前半个月会通知是否有抽到该订单中的item。
2.此订单送普通仓，送仓后会有第三方验货，所以需要按CRD准时完货。
Remark: 
 25253-3PCS AAA Batteries(Include)</t>
  </si>
  <si>
    <t>Emma Wu</t>
  </si>
  <si>
    <t>0870169767</t>
  </si>
  <si>
    <t>4500155352-10</t>
  </si>
  <si>
    <t>3/18 BV（自检）</t>
  </si>
  <si>
    <t>ZB00010-3.19</t>
  </si>
  <si>
    <t>0870169776</t>
  </si>
  <si>
    <t>4500155351-10</t>
  </si>
  <si>
    <t>ZB00048-3.26</t>
  </si>
  <si>
    <t>0870169821</t>
  </si>
  <si>
    <t>4500155350-10</t>
  </si>
  <si>
    <t>3/29出</t>
  </si>
  <si>
    <t>ZB00049-3.26</t>
  </si>
  <si>
    <t>0870169793</t>
  </si>
  <si>
    <t>4500155368-10</t>
  </si>
  <si>
    <t>3/26 BV（自检）</t>
  </si>
  <si>
    <t>ZB00075-3.29</t>
  </si>
  <si>
    <t>0870169779</t>
  </si>
  <si>
    <t>4500155353-10</t>
  </si>
  <si>
    <t>4/1出</t>
  </si>
  <si>
    <t>ZB00124-4.10</t>
  </si>
  <si>
    <t>Marshalls
DC#881-132PCS
,
DC#884-96PCS,
DC#886-144PCS
,
DC#887-108PCS
,
DC#888-120PCS</t>
  </si>
  <si>
    <t>4500157297-110</t>
  </si>
  <si>
    <t>3/27出</t>
  </si>
  <si>
    <t>2/13收到</t>
  </si>
  <si>
    <t>3/4-价格贴纸</t>
  </si>
  <si>
    <t>ZB00100-4.3/ZB00053-3.27</t>
  </si>
  <si>
    <t>Marshalls
DC#881-132PCS
,
DC#884-96PCS,
DC#886-132PCS
,
DC#887-120PCS,
DC#888-120PCS</t>
  </si>
  <si>
    <t>4500157297-120</t>
  </si>
  <si>
    <t>TJ MAXX
DC#891-168PCS
,
DC#894-132PCS
,
DC#896-120PCS
,
DC#897-252PCS
,
DC#898-132PCS</t>
  </si>
  <si>
    <t>4500157300-110</t>
  </si>
  <si>
    <t>3/31出</t>
  </si>
  <si>
    <t>3/6-价格贴纸</t>
  </si>
  <si>
    <t>ZB00099-4.3/ZB00060-3.28/ZB00074-3.29</t>
  </si>
  <si>
    <t>TJ MAXX DC#891-168PCS
,
DC#894-132PCS
,
DC#896-120PCS
,
DC#897-252PCS
,
DC#898-132PCS</t>
  </si>
  <si>
    <t>4500157300-120</t>
  </si>
  <si>
    <t>0870169786</t>
  </si>
  <si>
    <t>4500155356-10</t>
  </si>
  <si>
    <t>4/2 BV（自检）</t>
  </si>
  <si>
    <t>4/4-4/6出</t>
  </si>
  <si>
    <t>ZB00109-4.8</t>
  </si>
  <si>
    <t>0870169846</t>
  </si>
  <si>
    <t>4500155357-10</t>
  </si>
  <si>
    <t>4/16出</t>
  </si>
  <si>
    <t>ZB00139-4.16</t>
  </si>
  <si>
    <t>ICA Sverige AB</t>
  </si>
  <si>
    <t>751436/32407</t>
  </si>
  <si>
    <t>4500156207-10</t>
  </si>
  <si>
    <t>25257-S001-1</t>
  </si>
  <si>
    <t>25257-S001</t>
  </si>
  <si>
    <t>三款混裝</t>
  </si>
  <si>
    <t>4/8出</t>
  </si>
  <si>
    <t>2/24收到</t>
  </si>
  <si>
    <t>EAN贴纸翻4500145931</t>
  </si>
  <si>
    <t>2/20-客办收藏指南文档</t>
  </si>
  <si>
    <t>日期码格式：ZURU INC(BVI) 标准格式 日期：按实际生产日期
Packaging Info: 1.25257: (25251+25252+25253) MA 1L-23warning 包装+EAN贴纸(贴纸和位置图翻PO#4500145931)+客版说明书(英语/瑞典语/芬兰语/冰岛语/丹麦语)
 Duck/ Crocodile/ Fish=2:2:2
Remark: 1. 包装如含PVC,请改为PET并第一时间通知跟单
 2. 产品/包装要求无硼无香，出欧洲，微塑料需合规。
 3. ICA针对带电池出货的产品，都要用碱性电池
 4. 不能出带军事元素的产品，如有:请拿掉并告知跟单
 5.带电池出货的产品所用到的电池需要符合欧洲电池新规(EU) 2023-1542
 6.有胶袋的产品：要求产品的胶袋厚度要大于等于0.05mm
 7.关于贴纸，如果贴纸位置图的包装版本与大货不一致，请工厂第一时间提前提出。跟单会重新调整确认是否更新贴纸或调整位置图
 8.产品/包装不含PFAS成分
 9.产品条码如下: 请先检查条码是否正确再安排做货，如有问题请告知
 ZURU ITEM#&lt;(&gt;&amp;&lt;)&gt;Customer SKU#&lt;(&gt;&amp;&lt;)&gt;EAN#&lt;(&gt;&amp;&lt;)&gt;GTIN#
25257-S001&lt;(&gt;&amp;&lt;)&gt;616086&lt;(&gt;&amp;&lt;)&gt;6946441305844&lt;(&gt;&amp;&lt;)&gt;26946441305848</t>
  </si>
  <si>
    <t>Sheba Ye</t>
  </si>
  <si>
    <t>94708-4.7</t>
  </si>
  <si>
    <t>Smyths Toys EU HQ UC</t>
  </si>
  <si>
    <t>德国</t>
  </si>
  <si>
    <t>4500158935-30</t>
  </si>
  <si>
    <t>25251-S001-7</t>
  </si>
  <si>
    <t>3/4收到</t>
  </si>
  <si>
    <t>德语/法语callout贴纸翻4500138425+客版说明书+（英法德意荷含WEEE声明)</t>
  </si>
  <si>
    <t>所有电子产品身上需要加字唛，为ZURU FRANCE 地址 (如无电子产品，或者产品布标有此地址，可忽略此信息)
 ZURU France 1/3, Rue d'Argenteuil 95210 SAINT-GRATIEN, FRANCE</t>
  </si>
  <si>
    <t>日期码格式：ZURU INC(BVI) 标准格式 日期：按实际生产日期
Packaging Info: 
 25251: 最新MA 1L-23L Warning UPC版包装+德语/法语callout贴纸翻PO#4500138425+客版说明书（英法德意荷含WEEE声明)
 UPC#845218016418
Remark: 1. 此单出德国，需要满足Zuru Standard欧洲标准测试要求；
 2. 请准时出货，推期会有罚款；
 3. 出口欧洲，微塑料需符合法规。
 4. 大货样品一套
 5. 所有电子产品身上需要加字唛，为ZURU FRANCE 地址 (如无电子产品，或者产品布标有此地址，可忽略此信息)
 ZURU France 1/3, Rue d'Argenteuil 95210 SAINT-GRATIEN, FRANCE
 6. 标准配比
 7. 所有出往德国订单的电子产品需增加一张客版WEEE声明通用说明书纸，区分带电池和不带电池版本。如已做客版说明书可忽略此要求。</t>
  </si>
  <si>
    <t>Shirley Zhou</t>
  </si>
  <si>
    <t>94729-4.9</t>
  </si>
  <si>
    <t>包装要求参考4
500150271, 出
Bekasovo 2</t>
  </si>
  <si>
    <t>4500163959-10</t>
  </si>
  <si>
    <t>原4500150271 转单-注意不要重复生产</t>
  </si>
  <si>
    <t>4/28出</t>
  </si>
  <si>
    <t>11/26-进口商贴纸+ EAN条码贴纸</t>
  </si>
  <si>
    <t>日期码格式：外包装/外箱不要打ZURU标准日期码 日期：
Packaging Info: 取代4500150271/4500157991/4500146630/4500159461/4500158543中 对应的款 ;
包装要求参考4500150271/4500157991/4500146630/4500159461/4500158543
Remark:</t>
  </si>
  <si>
    <t>Ann</t>
  </si>
  <si>
    <t>94862-4.28</t>
  </si>
  <si>
    <t>TJX CANADA</t>
  </si>
  <si>
    <t>客户PO
30369077</t>
  </si>
  <si>
    <t>4500158924-30</t>
  </si>
  <si>
    <t>25252-S001-5</t>
  </si>
  <si>
    <t>3/31-客供价格贴纸</t>
  </si>
  <si>
    <t>3/13-客版英法包装（新稿）说明书翻单4500132627</t>
  </si>
  <si>
    <t>日期码格式：ZURU INC(BVI) 标准格式 日期：按实际生产日期
Packaging Info: 
25252 客版英法彩盒，说明书翻单4500132627。UPC号码845218016425
Remark: 出加拿大
有客供价格贴
每行对应不同的客户PO， 客户PO已分别备注
Zuru验货.日期跟踪码：产品外包装及产品本身都必须有日期跟踪码，ZURU标准格式
日期码</t>
  </si>
  <si>
    <t>Summer Mo</t>
  </si>
  <si>
    <t>94814-4.22</t>
  </si>
  <si>
    <t>4500158924-40</t>
  </si>
  <si>
    <t>日期码格式：ZURU INC(BVI) 标准格式 日期：按实际生产日期
Packaging Info: 
25253 客版英法彩盒，说明书翻单4500132627。UPC号码845218016432
Remark: 出加拿大
有客供价格贴
每行对应不同的客户PO， 客户PO已分别备注
Zuru验货.日期跟踪码：产品外包装及产品本身都必须有日期跟踪码，ZURU标准格式
日期码</t>
  </si>
  <si>
    <t>客户PO
30369179</t>
  </si>
  <si>
    <t>4500158924-130</t>
  </si>
  <si>
    <t>客户PO
30369212</t>
  </si>
  <si>
    <t>4500158924-140</t>
  </si>
  <si>
    <t>客户PO
30369320</t>
  </si>
  <si>
    <t>4500158924-240</t>
  </si>
  <si>
    <t>4500158924-250</t>
  </si>
  <si>
    <t>客户PO
35521213</t>
  </si>
  <si>
    <t>4500159075-80</t>
  </si>
  <si>
    <t>4/22出</t>
  </si>
  <si>
    <t>日期码格式： 标准格式 日期：按实际生产日期
Packaging Info: 
25252 客版英法彩盒，说明书翻单4500132627。UPC号码845218016425
Remark: 出加拿大
每行对应不同的客户PO， 客户PO已分别备注
Zuru验货.日期跟踪码：产品外包装及产品本身都必须有日期跟踪码，ZURU标准格式
日期码</t>
  </si>
  <si>
    <t>94816-4.22</t>
  </si>
  <si>
    <t>4500159075-90</t>
  </si>
  <si>
    <t>日期码格式： 标准格式 日期：按实际生产日期
Packaging Info:
25253 客版英法彩盒，说明书翻单4500132627。UPC号码845218016432
Remark: 出加拿大
每行对应不同的客户PO， 客户PO已分别备注
Zuru验货.日期跟踪码：产品外包装及产品本身都必须有日期跟踪码，ZURU标准格式
日期码</t>
  </si>
  <si>
    <t>客户PO
35521379</t>
  </si>
  <si>
    <t>4500159075-190</t>
  </si>
  <si>
    <t>客户PO
35521371</t>
  </si>
  <si>
    <t>4500159075-200</t>
  </si>
  <si>
    <t>客户PO
35521930</t>
  </si>
  <si>
    <t>4500159075-270</t>
  </si>
  <si>
    <t>4500159075-280</t>
  </si>
  <si>
    <t>客户PO
30369373</t>
  </si>
  <si>
    <t>4500158873-10</t>
  </si>
  <si>
    <t>日期码格式： 标准格式 日期：按实际生产日期
Packaging Info: 25252 客版英法彩盒，说明书翻单4500132627。UPC号码845218016425
Remark: 出加拿大
有客供价格贴
每行对应不同的客户PO， 客户PO已分别备注
Zuru验货.日期跟踪码：产品外包装及产品本身都必须有日期跟踪码，ZURU标准格式
日期码</t>
  </si>
  <si>
    <t>94805-4.21</t>
  </si>
  <si>
    <t>4500158873-20</t>
  </si>
  <si>
    <t>日期码格式： 标准格式 日期：按实际生产日期
Packaging Info: 
25253 客版英法彩盒，说明书翻单4500132627。UPC号码845218016432
Remark: 出加拿大
有客供价格贴
每行对应不同的客户PO， 客户PO已分别备注
Zuru验货.日期跟踪码：产品外包装及产品本身都必须有日期跟踪码，ZURU标准格式
日期码</t>
  </si>
  <si>
    <t>客户PO
30369517</t>
  </si>
  <si>
    <t>4500158873-90</t>
  </si>
  <si>
    <t>94815-4.22</t>
  </si>
  <si>
    <t>4500158873-100</t>
  </si>
  <si>
    <t>客户PO
30369736</t>
  </si>
  <si>
    <t>4500158873-190</t>
  </si>
  <si>
    <t>4500158873-200</t>
  </si>
  <si>
    <t>TJ MAXX
DC#891-120PCS
,
DC#894-216PCS
,
DC#896-72PCS,
DC#897-312PCS
,
DC#898-84PCS</t>
  </si>
  <si>
    <t>4500157317-30</t>
  </si>
  <si>
    <t>正常生产-取消价格贴纸</t>
  </si>
  <si>
    <t>5/7出</t>
  </si>
  <si>
    <t>日期码格式：ZURU INC(BVI) 标准格式 日期：按实际生产日期
Packaging Info: MA UPC包装。
Remark: 1. 产品和包装上印刷tracking code信息，格式为ZURU常规格式。
2. 分4-5个DC出货，每款产品每个DC的箱唛资料不同。具体分DC数量，请参考后面行项目备注。
3. ZURU QC验货。</t>
  </si>
  <si>
    <t>ZB00203-5.7</t>
  </si>
  <si>
    <t>TJ MAXX
DC#891-228PCS
,
DC#894-216PCS
,
DC#897-276PCS
,
DC#898-84PCS</t>
  </si>
  <si>
    <t>4500157317-40</t>
  </si>
  <si>
    <t>Marshalls
DC#881-156PCS
,
DC#884-96PCS,
DC#886-216PCS
,
DC#887-132PCS</t>
  </si>
  <si>
    <t>4500157316-30</t>
  </si>
  <si>
    <t>ZB00202-5.7</t>
  </si>
  <si>
    <t>Marshalls
DC#881-96PCS,
DC#884-108PCS
,DC#886-156PCS
,
DC#887-132PCS
,
DC#888-108PCS</t>
  </si>
  <si>
    <t>4500157316-40</t>
  </si>
  <si>
    <t>250218-3MAAJKTQ325-ZURU</t>
  </si>
  <si>
    <t>4500161027-40</t>
  </si>
  <si>
    <t>5/12出</t>
  </si>
  <si>
    <t>3/31收到</t>
  </si>
  <si>
    <t>进口商贴纸翻4500150407</t>
  </si>
  <si>
    <t>MA UPC包装（优先1L)</t>
  </si>
  <si>
    <t>日期码格式：ZURU INC(BVI) 标准格式 日期：按实际生产日期
Packaging Info: MA UPC包装（优先1L)+1张进口商贴纸
所有item使用含电池信息的进口商贴纸
贴纸AW、位置图翻单如下：
25251-4500150407
其他items贴纸AW、位置图待提供
1.可能会被抽大货样做测试，请多备料，CRD前半个月会通知是否有抽到该订单中的item。
2.此订单送仓，送仓后会有第三方验货，所以需要按CRD准时完货。
Remark:
25251-3PCS AAA BATTERIES(INCLUDED)</t>
  </si>
  <si>
    <t>4500161027-60</t>
  </si>
  <si>
    <t>进口商贴纸翻4500155574</t>
  </si>
  <si>
    <t>日期码格式：ZURU INC(BVI) 标准格式 日期：按实际生产日期
Packaging Info: MA UPC包装（优先1L)+1张进口商贴纸
所有item使用含电池信息的进口商贴纸
贴纸AW、位置图翻单如下：
25253-4500155574
其他items贴纸AW、位置图待提供
1.可能会被抽大货样做测试，请多备料，CRD前半个月会通知是否有抽到该订单中的item。
2.此订单送仓，送仓后会有第三方验货，所以需要按CRD准时完货。
Remark:
25253-3PCS AAA BATTERIES(INCLUDED)</t>
  </si>
  <si>
    <t>4500161027-70</t>
  </si>
  <si>
    <t>日期码格式：ZURU INC(BVI) 标准格式 日期：按实际生产日期
Packaging Info: MA UPC包装（优先1L)+1张进口商贴纸
所有item使用含电池信息的进口商贴纸
贴纸AW、位置图翻单如下：
25252-4500150407
其他items贴纸AW、位置图待提供
1.可能会被抽大货样做测试，请多备料，CRD前半个月会通知是否有抽到该订单中的item。
2.此订单送仓，送仓后会有第三方验货，所以需要按CRD准时完货。
Remark: 
25252-3PCS AAA BATTERIES(INCLUDED)</t>
  </si>
  <si>
    <t>Marshalls
DC#881-132PCS
,
DC#886-108PCS
,
DC#887-120PCS
,
DC#888-240PCS</t>
  </si>
  <si>
    <t>4500157320-30</t>
  </si>
  <si>
    <t>5/21出</t>
  </si>
  <si>
    <t>Marshalls
DC#881-132PCS,
DC#884-108PCS
,
DC#886-96PCS,
DC#887-120PCS
,
DC#888-144PCS</t>
  </si>
  <si>
    <t>4500157320-40</t>
  </si>
  <si>
    <t>TJ MAXX
DC#891-192PCS
,
DC#894-144PCS
,
DC#896-96PCS,
DC#897-240PCS
,
DC#898-132PCS</t>
  </si>
  <si>
    <t>4500157321-30</t>
  </si>
  <si>
    <t>4/1-价格贴纸</t>
  </si>
  <si>
    <t>4500157321-40</t>
  </si>
  <si>
    <t>MEIJER DISTRIBUTION, INC.</t>
  </si>
  <si>
    <t>4500161161-10</t>
  </si>
  <si>
    <t>25257-S006</t>
  </si>
  <si>
    <t>4500161161转</t>
  </si>
  <si>
    <t>4/8收到</t>
  </si>
  <si>
    <t>MA 1L 包装</t>
  </si>
  <si>
    <t>日期码格式：ZURU INC(BVI) 标准格式 日期：
Packaging Info: 1. MA 1L 包装
2. 客人指定箱唛排版
Remark: 出货前 Zuru QC 验货</t>
  </si>
  <si>
    <t>Cherie Li</t>
  </si>
  <si>
    <t>4500161167-10</t>
  </si>
  <si>
    <t>4500161167转</t>
  </si>
  <si>
    <t>TAS IMPORT AS(Lekekassen)</t>
  </si>
  <si>
    <t>挪威</t>
  </si>
  <si>
    <t>4500161075-60</t>
  </si>
  <si>
    <t>25251-S004-3</t>
  </si>
  <si>
    <t>25251-S004</t>
  </si>
  <si>
    <t>5/28出</t>
  </si>
  <si>
    <t>4/11收到</t>
  </si>
  <si>
    <t>4/11-EAN客人进口商贴纸做成一张贴纸+北欧五语通用带电池出货黑白电池说明书</t>
  </si>
  <si>
    <t>MA E_1L-23L Warning UPC版彩卡</t>
  </si>
  <si>
    <t>日期码格式：ZURU INC(BVI) 标准格式 日期：按实际生产日期
Packaging Info:
6. 25251: MA E_1L-23L Warning UPC版彩卡+EAN#6946441304373/客人进口商贴纸做成一张贴纸+MA D1L版说明书+带干电池走货北欧六语通用黑白电池说明书
16. 配比跟MA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25251:6946441304373</t>
  </si>
  <si>
    <t>Sheba</t>
  </si>
  <si>
    <t>4500161075-70</t>
  </si>
  <si>
    <t>25253-S005</t>
  </si>
  <si>
    <t>日期码格式：ZURU INC(BVI) 标准格式 日期：按实际生产日期
Packaging Info:
7. 25253: MA E_1L-23L Warning UPC版彩卡+EAN#6946441304397/客人进口商贴纸做成一张贴纸+MA D1L版说明书+带干电池走货北欧六语通用黑白电池说明书
16. 配比跟MA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25253:6946441304397</t>
  </si>
  <si>
    <t>ZURU Denmark ApS</t>
  </si>
  <si>
    <t>丹麦</t>
  </si>
  <si>
    <t>4500163400-10</t>
  </si>
  <si>
    <t>25251-S004-MTS</t>
  </si>
  <si>
    <t>5/20出</t>
  </si>
  <si>
    <t>4/21收到</t>
  </si>
  <si>
    <t>EAN条码贴纸+黑白说明书翻4500131147+北欧六语通用带电池出货黑白电池说明书</t>
  </si>
  <si>
    <t>25251 MA 1L+23L E版彩卡</t>
  </si>
  <si>
    <t>日期码格式：ZURU INC(BVI) 标准格式 日期：按实际生产日期
Packaging Info: 25251 MA 1L+23L E版彩卡 + EAN条码贴纸(翻#4500131147) + MA D 说明书+黑白说明书(翻#4500131147) + 北欧六语通用带电池出货黑白电池说明书 EAN#6
946441304373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t>
  </si>
  <si>
    <t>AMY XIAO</t>
  </si>
  <si>
    <t>4500163400-20</t>
  </si>
  <si>
    <t>25252-S004</t>
  </si>
  <si>
    <t>25252-S004-MTS</t>
  </si>
  <si>
    <t>25252 MA 1L+23L E版彩卡</t>
  </si>
  <si>
    <t>日期码格式：ZURU INC(BVI) 标准格式 日期：按实际生产日期
Packaging Info:
25252 MA 1L+23L E版彩卡 + EAN条码贴纸(翻#4500131147) + MA D 说明书+黑白说明书(翻#4500131147) + 北欧六语通用带电池出货黑白电池说明书 EAN#
6946441304380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t>
  </si>
  <si>
    <t>4500163400-30</t>
  </si>
  <si>
    <t>25253-S005-2</t>
  </si>
  <si>
    <t>25253-S005-MTS</t>
  </si>
  <si>
    <t>25253 MA 1L+23L E版彩卡</t>
  </si>
  <si>
    <t>日期码格式：ZURU INC(BVI) 标准格式 日期：按实际生产日期
Packaging Info:
25253 MA 1L+23L E版彩卡 + EAN条码贴纸(翻#4500131147) + MA D 说明书+黑白说明书(翻#4500131147) + 北欧六语通用带电池出货黑白电池说明书 EAN#
6946441304397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t>
  </si>
  <si>
    <t>COMSED PLC</t>
  </si>
  <si>
    <t>保加利亚</t>
  </si>
  <si>
    <t>4500159898-90</t>
  </si>
  <si>
    <t>25253-S001-8</t>
  </si>
  <si>
    <t>6/9出</t>
  </si>
  <si>
    <t>3/13收到</t>
  </si>
  <si>
    <t>4/11-进口商贴纸</t>
  </si>
  <si>
    <t>25253：E版 1L MA 彩盒 4/14-客办说明书</t>
  </si>
  <si>
    <t>日期码格式：ZURU INC(BVI) 标准格式 日期：按实际生产日期
Packaging Info: 
25253：E版 1L MA 彩盒+进口商贴纸；客版说明书
Remark: "1、所有item 均用MA UPC 条码，若包装不是UPC 条码的请告知
2、此单出欧洲需满足EU测试标准要求"</t>
  </si>
  <si>
    <t>Snowy</t>
  </si>
  <si>
    <t>25251-S001-8</t>
  </si>
  <si>
    <t>4500159898-80</t>
  </si>
  <si>
    <t>日期码格式：ZURU INC(BVI) 标准格式 日期：按实际生产日期
Packaging Info: 
25251：E版 1L MA 彩盒+进口商贴纸；客版说明书
Remark: "1、所有item 均用MA UPC 条码，若包装不是UPC 条码的请告知
2、此单出欧洲需满足EU测试标准要求"</t>
  </si>
  <si>
    <t>K􀃤rkk􀃤inen Oy /Centrawla rehouse</t>
  </si>
  <si>
    <t>芬兰</t>
  </si>
  <si>
    <t>4500161573-10</t>
  </si>
  <si>
    <t>6/4出</t>
  </si>
  <si>
    <t>4/23收到</t>
  </si>
  <si>
    <t>4/16-EAN贴纸+北欧五语通用带电池出货黑白电池说明书</t>
  </si>
  <si>
    <t>日期码格式：ZURU INC(BVI) 标准格式 日期：按实际生产日期
Packaging Info: 1. 25251: MA E_1L-23L Warning UPC版彩卡+EAN#6946441304373贴纸+MA D1L版说明书+带干电池走货北欧六语通用黑白电池说明书
2. 配比跟MA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25251:6946441304373</t>
  </si>
  <si>
    <t>4500161573-20</t>
  </si>
  <si>
    <t>日期码格式：ZURU INC(BVI) 标准格式 日期：按实际生产日期
Packaging Info: 
2. 25252: MA E_1L-23L Warning UPC版彩卡+EAN#6946441304380贴纸+MA D1L版说明书+带干电池走货北欧六语通用黑白电池说明书
2. 配比跟MA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25252:6946441304380</t>
  </si>
  <si>
    <t>4500161573-30</t>
  </si>
  <si>
    <t>日期码格式：ZURU INC(BVI) 标准格式 日期：按实际生产日期
Packaging Info: 
3. 25253: MA E_1L-23L Warning UPC版彩卡+EAN#6946441304397贴纸+MA D1L版说明书+带干电池走货北欧六语通用黑白电池说明书
2. 配比跟MA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25253:6946441304397</t>
  </si>
  <si>
    <t>4500162774-30</t>
  </si>
  <si>
    <t>5/26出</t>
  </si>
  <si>
    <t>4/14-德+语/法语callout+法国Sorting logo 贴纸+印刷ZURU FRANCE 地址翻4500158935</t>
  </si>
  <si>
    <t>MA 1L-23L Warning UPC版包装客版说明书+印刷ZURU FRANCE 地址翻4500158935</t>
  </si>
  <si>
    <t>日期码格式：ZURU INC(BVI) 标准格式 日期：按实际生产日期
Packaging Info:
25251:最新MA 1L-23L Warning UPC版包装+德语/法语callout(含法国Sorting logo 贴纸）+客版说明书（英法德意荷含WEEE声明)+印刷ZURU FRANCE 地址（说明书
和地址都翻4500158935），UPC#：845218016418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所有出往德国订单的电子产品需增加一张客版WEEE声明说明书，区分带电池和不带电池版本, 如已做客版说明书可忽略此要求。
6. 标准配比</t>
  </si>
  <si>
    <t>360 SALES SOLUTIONS INC</t>
  </si>
  <si>
    <t>2025ZURU16</t>
  </si>
  <si>
    <t>4500162525-10</t>
  </si>
  <si>
    <t>25251-S004-2</t>
  </si>
  <si>
    <t>4/3收到</t>
  </si>
  <si>
    <t>25251 客版英法UPC版本包装说明书和彩盒 翻单4500132627</t>
  </si>
  <si>
    <t>日期码格式：ZURU INC(BVI) 标准格式 日期：按实际生产日期
Packaging Info: 25251 客版英法UPC版本包装 UPC号码为： 845218016418， 翻单4500132627
Remark: 出加拿大
Zuru验货.日期跟踪码：产品外包装及产品本身都必须有日期跟踪码，ZURU标准格式日期码。（箱唛日期码按跟单提供格式）</t>
  </si>
  <si>
    <t>4500163128-10</t>
  </si>
  <si>
    <t>6/13出</t>
  </si>
  <si>
    <t>4/10收到</t>
  </si>
  <si>
    <t>德语/法语callout贴纸(含法国sorting logo）+印刷ZURU FRANCE 地址翻4500158935</t>
  </si>
  <si>
    <t>日期码格式：ZURU INC(BVI) 标准格式 日期：按实际生产日期
Packaging Info: 25251：最新MA 1L-23L Warning UPC版包装+德语/法语callout贴纸(含法国sorting logo）+客版说明书（英法德意荷含WEEE声明)+印刷ZURU FRANCE 地址（说明书和地址都翻4500158935）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</si>
  <si>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May Wu</t>
  </si>
  <si>
    <t>4500163129-10</t>
  </si>
  <si>
    <t>日期码格式：ZURU INC(BVI) 标准格式 日期：按实际生产日期
Packaging Info: 25251: 最新MA 1L-23L Warning UPC版包装+德语/法语callout贴纸(含法国sorting logo）+客版说明书（英法德意荷含WEEE声明)+印刷ZURU FRANCE 地址（说明书和地址都翻4500158935）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</si>
  <si>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4500159720-20</t>
  </si>
  <si>
    <t>4/14出</t>
  </si>
  <si>
    <t>ROSS通用的箱唛模版</t>
  </si>
  <si>
    <t>3/24-客供价格贴纸</t>
  </si>
  <si>
    <t>Sharon Yang</t>
  </si>
  <si>
    <t>Jiwildy Ltd</t>
  </si>
  <si>
    <t>毛里求斯</t>
  </si>
  <si>
    <t>4500163069-70</t>
  </si>
  <si>
    <t>25257-S002-2</t>
  </si>
  <si>
    <t>25257-S002</t>
  </si>
  <si>
    <t>6/5出</t>
  </si>
  <si>
    <t>4/9收到</t>
  </si>
  <si>
    <t>日期码格式：ZURU INC(BVI) 标准格式 日期：按实际生产日期
Packaging Info: MA PKG, 优先1L（全部为 UPC 12位数字的条码）
Remark:</t>
  </si>
  <si>
    <t>Doris Shou</t>
  </si>
  <si>
    <t>4500165088-10</t>
  </si>
  <si>
    <t>4/29收到</t>
  </si>
  <si>
    <t>德语/法语callout贴纸翻4500158935</t>
  </si>
  <si>
    <t>25251：最新MA 1L-23L Warning UPC版包装+客版说明书（英法德意荷含最新WEEE电池通用30L说明书
 带电池，翻4500166055）</t>
  </si>
  <si>
    <t>日期码格式：ZURU INC(BVI) 标准格式 日期：按实际生产日期
Packaging Info: 25251：最新MA 1L-23L Warning UPC版包装+德语/法语callout贴纸(含法国sorting logo,翻4500158935）+客版说明书（英法德意荷含最新WEEE电池通用30L说明书
 带电池，翻4500166055）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</si>
  <si>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4500165069-40</t>
  </si>
  <si>
    <t>6/17出</t>
  </si>
  <si>
    <t>最新MA 1L-23L Warning UPC版包装+客版说明书（英法德意荷含最新WEEE电池通用30L说明书
 带电池，翻4500166055）</t>
  </si>
  <si>
    <t>日期码格式：ZURU INC(BVI) 标准格式 日期：按实际生产日期
Packaging Info:
 25251：最新MA 1L-23L Warning UPC版包装+德语/法语callout贴纸(含法国sorting logo,翻4500158935）+客版说明书（英法德意荷含最新WEEE电池通用30L说明书
 带电池，翻4500166055）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</si>
  <si>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Yoga Huang</t>
  </si>
  <si>
    <t>2025ZURU17-B</t>
  </si>
  <si>
    <t>4500166055-10</t>
  </si>
  <si>
    <t>25253-S005-4</t>
  </si>
  <si>
    <t>客版彩盒翻单4500158924-订3000pcs</t>
  </si>
  <si>
    <t>6/18出</t>
  </si>
  <si>
    <t>5/12收到</t>
  </si>
  <si>
    <t>25253 客版英法UPC版本包装</t>
  </si>
  <si>
    <t>日期码格式：ZURU INC(BVI) 标准格式 日期：按实际生产日期
Packaging Info: 25253 客版英法UPC版本包装 ，UPC号码为：845218016432, 彩盒翻单4500158924
Remark: 出加拿大
Zuru验货.日期跟踪码：产品外包装及产品本身都必须有日期跟踪码，ZURU标准格式日期码。（箱唛日期码按跟单提供格式）</t>
  </si>
  <si>
    <t xml:space="preserve"> Summer Mo</t>
  </si>
  <si>
    <t>Gabriel Brothers, Inc.</t>
  </si>
  <si>
    <t>84006552 84006553</t>
  </si>
  <si>
    <t>4500165903-50</t>
  </si>
  <si>
    <t>6/12出</t>
  </si>
  <si>
    <t>5/16收到</t>
  </si>
  <si>
    <t>日期码格式：ZURU INC(BVI) 标准格式 日期：按实际生产日期
Packaging Info: 1. ZURU MA UPC (首选1L / 多语)包装,
Remark: 2. 产品和包装上印刷tracking code信息，格式为ZURU常规
3. 整柜FCL 出货，（装柜工厂）装柜时最后一箱正唛贴上装箱单 (不是装柜工厂忽略即可），装箱单需要用透明的袋子装好， 剩下三面贴上'' PACKING LIST ENC
LOSED '' 的字样 （可以用A4 纸打印）- 船务会发出。
4. 需ZURU QC 验货合格后方可出货</t>
  </si>
  <si>
    <t>ZB00712-7.10</t>
  </si>
  <si>
    <t>4500166055-20</t>
  </si>
  <si>
    <t>25251 客版英法UPC版本包装</t>
  </si>
  <si>
    <t>日期码格式：ZURU INC(BVI) 标准格式 日期：按实际生产日期
Packaging Info: 
 25251 客版英法UPC版本包装 UPC号码为： 845218016418，
Remark: 出加拿大
Zuru验货.日期跟踪码：产品外包装及产品本身都必须有日期跟踪码，ZURU标准格式日期码。（箱唛日期码按跟单提供格式）</t>
  </si>
  <si>
    <t>客人PO:
84006554</t>
  </si>
  <si>
    <t>4500167243-30</t>
  </si>
  <si>
    <t>7/28出</t>
  </si>
  <si>
    <t>5/21收到</t>
  </si>
  <si>
    <t>ZURU MA UPC (首选1L / 多语可以接受)包装,</t>
  </si>
  <si>
    <t>日期码格式：ZURU INC(BVI) 标准格式 日期：按实际生产日期
Packaging Info: 1. ZURU MA UPC (首选1L / 多语可以接受)包装,
Remark: 2. 产品和包装上印刷tracking code信息，格式为ZURU常规
3. 整柜FCL 出货，（装柜工厂）装柜时最后一箱正唛贴上装箱单 (不是装柜工厂忽略即可），装箱单需要用透明的袋子装好， 剩下三面贴上'' PACKING LIST ENC
LOSED '' 的字样 （可以用A4 纸打印）- 船务会发出。
4. 需ZURU QC 验货合格后方可出货</t>
  </si>
  <si>
    <t>ZB00954-7.29</t>
  </si>
  <si>
    <t>客人PO:
84006555</t>
  </si>
  <si>
    <t>4500167243-90</t>
  </si>
  <si>
    <t>ZB00955-7.29</t>
  </si>
  <si>
    <t>Mid-States Distributing, LLC</t>
  </si>
  <si>
    <t>Farm &lt;(&gt;&amp;&lt;)&gt;
Home Supply
PO 1620196-99</t>
  </si>
  <si>
    <t>4500161570-520</t>
  </si>
  <si>
    <t>6/29出</t>
  </si>
  <si>
    <t>5/23收到</t>
  </si>
  <si>
    <t>MA UPC版本包装，优先1L</t>
  </si>
  <si>
    <t>日期码格式：ZURU INC(BVI) 标准格式 日期：按实际生产日期
Packaging Info: 1.使用 MA UPC版本包装，优先1L，出口美国。
Remark: 1.产品和包装上印刷tracking code信息，格式为ZURU常规。
2.ZURU QC验货</t>
  </si>
  <si>
    <t>Cara Li</t>
  </si>
  <si>
    <t>Bomgaars
ZENITH PO
230507PT</t>
  </si>
  <si>
    <t>4500161570-530</t>
  </si>
  <si>
    <t>7/1出</t>
  </si>
  <si>
    <t>Bomgaars
Moberly PO
230530PT</t>
  </si>
  <si>
    <t>4500161570-540</t>
  </si>
  <si>
    <t>6/27出</t>
  </si>
  <si>
    <t>40119926 230530PT</t>
  </si>
  <si>
    <t>4500161570-730</t>
  </si>
  <si>
    <t>4500161262-20</t>
  </si>
  <si>
    <t>7/11出</t>
  </si>
  <si>
    <t>3/24收到</t>
  </si>
  <si>
    <t>6/20-价格贴纸</t>
  </si>
  <si>
    <t>ZB00722-7.11</t>
  </si>
  <si>
    <t>Sirius Sales (PTY) Ltd</t>
  </si>
  <si>
    <t>南非</t>
  </si>
  <si>
    <t>4500166516-150</t>
  </si>
  <si>
    <t>7/2出</t>
  </si>
  <si>
    <t>5/19收到</t>
  </si>
  <si>
    <t>MA UPC PKG</t>
  </si>
  <si>
    <t>日期码格式：ZURU INC(BVI) 标准格式 日期：按实际生产日期
Packaging Info: 1. MA UPC PKG(优先1L)
Remark:25251， 出货前请各寄2pcs 样板到我们深圳办公室</t>
  </si>
  <si>
    <t xml:space="preserve"> Doris Shou</t>
  </si>
  <si>
    <t>95520-7.1</t>
  </si>
  <si>
    <t>4500166516-160</t>
  </si>
  <si>
    <t>日期码格式：ZURU INC(BVI) 标准格式 日期：按实际生产日期
Packaging Info: 1. MA UPC PKG(优先1L)
Remark: 25252， 出货前请各寄2pcs 样板到我们深圳办公室</t>
  </si>
  <si>
    <t>4500166516-170</t>
  </si>
  <si>
    <t>25253-S001-5</t>
  </si>
  <si>
    <t>客版彩盒翻单4500158924</t>
  </si>
  <si>
    <t>日期码格式：ZURU INC(BVI) 标准格式 日期：按实际生产日期
Packaging Info: 1. MA UPC PKG(优先1L)
2. item 25253 客版英法彩盒+MA 说明书，客版彩盒翻单4500158924
Remark: 25253， 出货前请各寄2pcs 样板到我们深圳办公室</t>
  </si>
  <si>
    <t>SMYTHS TOYS HQ UC</t>
  </si>
  <si>
    <t>4500168001-30</t>
  </si>
  <si>
    <t>25251-S001-9</t>
  </si>
  <si>
    <t>客版说明书（英法德意荷含WEEE声明)（翻4500163128）</t>
  </si>
  <si>
    <t>7/27出</t>
  </si>
  <si>
    <t>5/26收到</t>
  </si>
  <si>
    <t>德语/法语callout贴纸(含法国sorting logo）翻4500162774</t>
  </si>
  <si>
    <t>25251:最新MA 1L-23L Warning UPC版包装</t>
  </si>
  <si>
    <t>日期码格式：ZURU INC(BVI) 标准格式 日期：按实际生产日期
Packaging Info: 
25251:最新MA 1L-23L Warning UPC版包装+德语/法语callout贴纸(含法国sorting logo）翻4500162774+客版说明书（英法德意荷含WEEE声明)（翻4500163128）
UPC#:845218016418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t>
  </si>
  <si>
    <t>Joan Wang</t>
  </si>
  <si>
    <t>95698-7.19</t>
  </si>
  <si>
    <t>SUBURBIA S DE R. L. DE C. V.</t>
  </si>
  <si>
    <t>墨西哥</t>
  </si>
  <si>
    <t>4500168910-30</t>
  </si>
  <si>
    <t>7/10出</t>
  </si>
  <si>
    <t>外箱只需四面印Zurulogo</t>
  </si>
  <si>
    <t>6/4-客版西语说明书+6/24-进口商贴纸+6/20-价标贴纸+说明书贴纸+Hu贴纸+ASN贴纸</t>
  </si>
  <si>
    <t>25251:MA 1L+多语 warming UPC包装</t>
  </si>
  <si>
    <t>日期码格式：ZURU INC(BVI) 标准格式 日期：按实际生产日期
Packaging Info:
25251:MA 1L+多语 warming UPC包装+MA 1L说明书+客版西语说明书+进口商贴纸+价标贴纸+说明书贴纸
1. 外箱只需四面印Zurulogo，再加2张贴纸，1张Hu贴纸（条码贴,尺寸103*51mm），1张ASN贴纸（尺寸6.5cm*6.3cm,潘通色号2597C），都贴于侧唛，只需贴1面(HU
贴纸和ASN贴纸客供）
2. 一个外箱对应一个HU’S(条形码),不可以混条码包装
3.含有说明书需要增加说明书贴纸
4.价格贴纸覆盖原有包装的条形码
Remark:
25251:3PCS AAA BATTERIES(INCLUDED)
此单有监柜要求，需要每款多准备一套完整物料，用于监柜，不可以随大货走</t>
  </si>
  <si>
    <t>Ever Li</t>
  </si>
  <si>
    <t>95616-7.11</t>
  </si>
  <si>
    <t>4500167023-10</t>
  </si>
  <si>
    <t>8/4出</t>
  </si>
  <si>
    <t>5/20收到</t>
  </si>
  <si>
    <t>德语/法语callout贴纸翻4500162774+印刷ZURU FRANCE 地址翻4500158935）</t>
  </si>
  <si>
    <t>客版说明书（英法德意荷含WEEE声明)翻4500165088+最新MA 1L-23L Warning UPC版包装</t>
  </si>
  <si>
    <t>日期码格式：ZURU INC(BVI) 标准格式 日期：按实际生产日期
Packaging Info: 最新MA 1L-23L Warning UPC版包装+德语/法语callout贴纸翻PO#4500162774+客版说明书（英法德意荷含WEEE声明)翻4500165088+印刷ZURU FRANCE 地址（翻450015
8935）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所有出往德国订单的电子产品需增加一张WEEE声明30语通用说明书，区分带电池和不带电池版本, 如已做客版说明书可忽略此要求。
6. 标准配比</t>
  </si>
  <si>
    <t>4500166942-10</t>
  </si>
  <si>
    <t>客版说明书（英法德意荷含WEEE声明)（说明书翻4500166055）</t>
  </si>
  <si>
    <t>7/30出</t>
  </si>
  <si>
    <t>5/22收到</t>
  </si>
  <si>
    <t>6/10-德语/法语callout贴纸</t>
  </si>
  <si>
    <t>25251：客版彩盒和说明书翻4500166055</t>
  </si>
  <si>
    <t>日期码格式：ZURU INC(BVI) 标准格式 日期：按实际生产日期
Packaging Info: 25251：客版英法彩盒+德语Callout及德意荷警语贴纸做成一张贴纸贴在彩盒上+客版说明书（英法德意荷含WEEE声明)（客版彩盒和说明书翻4500166055）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</si>
  <si>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95818-7.29</t>
  </si>
  <si>
    <t>4500167625-10</t>
  </si>
  <si>
    <t>客办彩盒文档+客版说明书（英法德意荷含WEEE声明)（说明书翻4500166055）</t>
  </si>
  <si>
    <t>8/5出</t>
  </si>
  <si>
    <t>日期码格式：ZURU INC(BVI) 标准格式 日期：按实际生产日期
Packaging Info: 1. 25251：客版彩盒+德语Callout及德意荷警语贴纸+客版5L说明书（含WEEE声明带电)，客版翻4500166055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</si>
  <si>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2025ZURU20</t>
  </si>
  <si>
    <t>4500171028-10</t>
  </si>
  <si>
    <t>8/6出</t>
  </si>
  <si>
    <t>6/24收到</t>
  </si>
  <si>
    <t>彩盒翻单4500158924，说明书翻单4500166055</t>
  </si>
  <si>
    <t>日期码格式：ZURU INC(BVI) 标准格式 日期：按实际生产日期
Packaging Info: 25253 客版英法UPC版本包装 ，UPC号码为：845218016432, 彩盒翻单4500158924，说明书翻单4500166055
Remark: 出加拿大
Zuru验货.日期跟踪码：产品外包装及产品本身都必须有日期跟踪码，ZURU标准格式日期码。（箱唛日期码按跟单提供格式）</t>
  </si>
  <si>
    <t>DD'S DISCOUNTS</t>
  </si>
  <si>
    <t>4500171774-10</t>
  </si>
  <si>
    <t>8/8出</t>
  </si>
  <si>
    <t>7/8收到</t>
  </si>
  <si>
    <t>7/16-客供价格贴纸</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</si>
  <si>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 箱唛模版和资料，工厂根据实际外箱尺寸，重量排版箱唛来确认。</t>
  </si>
  <si>
    <t>ZB01132-8.8</t>
  </si>
  <si>
    <t>WABRO</t>
  </si>
  <si>
    <t>阿根廷</t>
  </si>
  <si>
    <t>4500171253-60</t>
  </si>
  <si>
    <t>指定品牌电池</t>
  </si>
  <si>
    <t>8/14出</t>
  </si>
  <si>
    <t>7/11收到</t>
  </si>
  <si>
    <t>7/15-进口商贴纸+7/9多语说明书</t>
  </si>
  <si>
    <t>MA 1L+多语 warming UPC包装</t>
  </si>
  <si>
    <t>日期码格式：ZURU INC(BVI) 标准格式 日期：按实际生产日期
Packaging Info:
25251 MA 1L+多语 warming UPC包装+MA 1L说明书+客版西语说明书+进口商贴纸+箱唛
Remark: LR44 BATTERY 指定品牌 NEW LEADER；AAA BATTERIES 指定品牌 VINNIC
25251 3PCS AAA BATTERIES(INCLUDED)</t>
  </si>
  <si>
    <t>Ava Liang</t>
  </si>
  <si>
    <t>96587-2-9.30</t>
  </si>
  <si>
    <t>4500171253-70</t>
  </si>
  <si>
    <t>日期码格式：ZURU INC(BVI) 标准格式 日期：按实际生产日期
Packaging Info:
25252 MA 1L+多语 warming UPC包装+MA 1L说明书+客版西语说明书+进口商贴纸+箱唛
Remark: LR44 BATTERY 指定品牌 NEW LEADER；AAA BATTERIES 指定品牌 VINNIC
/25252 3PCS AAA BATTERIES(INCLUDED)</t>
  </si>
  <si>
    <t>4500171253-80</t>
  </si>
  <si>
    <t>日期码格式：ZURU INC(BVI) 标准格式 日期：按实际生产日期
Packaging Info:
25253 MA 1L+多语 warming UPC包装+MA 1L说明书+客版西语说明书+进口商贴纸+箱唛
Remark: LR44 BATTERY 指定品牌 NEW LEADER；AAA BATTERIES 指定品牌 VINNIC
25253 3PCS AAA BATTERIES(INCLUDED)</t>
  </si>
  <si>
    <t>BEALL'S OUTLET STORES, INC.</t>
  </si>
  <si>
    <t>4500171200-10</t>
  </si>
  <si>
    <t>7/3收到</t>
  </si>
  <si>
    <t>7/9-客供价格贴纸</t>
  </si>
  <si>
    <t>ZURU最新MA UPC包装(优先1L)</t>
  </si>
  <si>
    <t>日期码格式：ZURU INC(BVI) 标准格式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</si>
  <si>
    <t>Hailey Yu</t>
  </si>
  <si>
    <t>ZB01206-8.12</t>
  </si>
  <si>
    <t>4500171200-20</t>
  </si>
  <si>
    <t>PT.MAP AKTIF ADIPERKASA, TBK</t>
  </si>
  <si>
    <t>251006-7MAAJKTQ225-ZURU</t>
  </si>
  <si>
    <t>4500172603-20</t>
  </si>
  <si>
    <t>8/13出</t>
  </si>
  <si>
    <t>7/9收到</t>
  </si>
  <si>
    <t>日期码格式：ZURU INC(BVI) 标准格式 日期：按实际生产日期
Packaging Info: MA UPC包装（优先1L)+1张进口商贴纸
贴纸AW、位置图翻单如下：
25251-4500150407
1.可能会被抽大货样做测试，请多备料，CRD前半个月会通知是否有抽到该订单中的item。
2.此订单送仓，送仓后会有第三方验货，所以需要按CRD准时完货。
Remark: 
25251-3PCS AAA BATTERIES(INCLUDED)</t>
  </si>
  <si>
    <t>4500172603-30</t>
  </si>
  <si>
    <t>日期码格式：ZURU INC(BVI) 标准格式 日期：按实际生产日期
Packaging Info: MA UPC包装（优先1L)+1张进口商贴纸
贴纸AW、位置图翻单如下：
25253-4500155574
1.可能会被抽大货样做测试，请多备料，CRD前半个月会通知是否有抽到该订单中的item。
2.此订单送仓，送仓后会有第三方验货，所以需要按CRD准时完货。
Remark: 
25253-3PCS AAA BATTERIES(INCLUDED)</t>
  </si>
  <si>
    <t>4500172603-40</t>
  </si>
  <si>
    <t>日期码格式：ZURU INC(BVI) 标准格式 日期：按实际生产日期
Packaging Info: MA UPC包装（优先1L)+1张进口商贴纸
贴纸AW、位置图翻单如下：
25252-4500150407
1.可能会被抽大货样做测试，请多备料，CRD前半个月会通知是否有抽到该订单中的item。
2.此订单送仓，送仓后会有第三方验货，所以需要按CRD准时完货。
Remark: 
25252-3PCS AAA BATTERIES(INCLUDED)</t>
  </si>
  <si>
    <t>4500172108-20</t>
  </si>
  <si>
    <t>8/22出</t>
  </si>
  <si>
    <t>7/15收到</t>
  </si>
  <si>
    <t>8/7-客供价格贴纸</t>
  </si>
  <si>
    <t>SMYTHS TOYS HQ UC IE</t>
  </si>
  <si>
    <t>PO#4400490496</t>
  </si>
  <si>
    <t>4500174162-10</t>
  </si>
  <si>
    <t>客版说明书（英法德意荷含WEEE声明说明书翻4500166055）</t>
  </si>
  <si>
    <t>9/4出</t>
  </si>
  <si>
    <t>7/22收到</t>
  </si>
  <si>
    <t>德语/法语callout贴纸翻4500162774+客版说明书（英法德意荷含WEEE声明)（客版彩盒和说明书翻4500166055）</t>
  </si>
  <si>
    <t xml:space="preserve"> 25251: MA 1L-23L Warning UPC版包装</t>
  </si>
  <si>
    <t>日期码格式：ZURU INC(BVI) 标准格式 日期：按实际生产日期
Packaging Info: 25251: MA 1L-23L Warning UPC版包装+德语/法语callout贴纸(含法国sorting logo--贴纸和位置图翻PO#4500162774）+客版说明书（英法德意荷含WEEE声明)（说
明书翻4500166055）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</si>
  <si>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96304-9.6</t>
  </si>
  <si>
    <t>MARKET GROUP􀂻 LLC</t>
  </si>
  <si>
    <t>order 14.1 order 14.2</t>
  </si>
  <si>
    <t>4500172447-10</t>
  </si>
  <si>
    <t>8/27出</t>
  </si>
  <si>
    <t>7/17收到</t>
  </si>
  <si>
    <t>7/24-进口商贴纸+EAN条码贴纸</t>
  </si>
  <si>
    <t>日期码格式：ZURU INC(BVI) 标准格式 日期：按实际生产日期
Packaging Info: 1.MA+进口商贴纸+EAN条码贴纸，MA 说明书。
2.货期不能延后，客人有罚金。
Remark: 1.标准配比;
2.分两批出货</t>
  </si>
  <si>
    <t>4500172447-20</t>
  </si>
  <si>
    <t>96320-9.4</t>
  </si>
  <si>
    <t>H&amp;D RETAIL PTY LTD T/AS TOYMATE</t>
  </si>
  <si>
    <t>澳大利亚</t>
  </si>
  <si>
    <t>PO1132540-YTF
CL-TWNS</t>
  </si>
  <si>
    <t>4500173090-10</t>
  </si>
  <si>
    <t>7/8进口商贴纸</t>
  </si>
  <si>
    <t>25257: 英文MA包装(UPC版本，首选1L，无1L可用多L含英语)</t>
  </si>
  <si>
    <t>日期码格式：ZURU INC(BVI) 标准格式 日期：按实际生产日期
Packaging Info: 
5. 25257: 英文MA包装(UPC版本，首选1L，无1L可用多L含英语)+箱唛+1张进口商贴纸; Duck/ Crocodile/ Fish=4:4:4; 3PCS AAA BATTERIES(INCLUDED)
Remark: 1. 此单出澳大利亚，请按澳洲标准生产并满足当地法规要求</t>
  </si>
  <si>
    <t>Christine Liao</t>
  </si>
  <si>
    <t>PO1132535-YTF
C2-SYD</t>
  </si>
  <si>
    <t>4500173087-60</t>
  </si>
  <si>
    <t>日期码格式：ZURU INC(BVI) 标准格式 日期：按实际生产日期
Packaging Info:
25257: 英文MA包装(UPC版本，首选1L，无1L可用多L含英语)+箱唛+1张进口商贴纸; Duck/ Crocodile/ Fish=4:4:4; 3PCS AAA BATTERIES(INCLUDED)
Remark: 此单出澳大利亚，请按澳洲标准生产并满足当地法规要求</t>
  </si>
  <si>
    <t>PO1132538-YTF
CL-PARA</t>
  </si>
  <si>
    <t>4500173094-10</t>
  </si>
  <si>
    <t>8/21出</t>
  </si>
  <si>
    <t>日期码格式：ZURU INC(BVI) 标准格式 日期：按实际生产日期
Packaging Info:
5. 25257: 英文MA包装(UPC版本，首选1L，无1L可用多L含英语)+箱唛+1张进口商贴纸; Duck/ Crocodile/ Fish=4:4:4; 3PCS AAA BATTERIES(INCLUDED)
Remark: 1. 此单出澳大利亚，请按澳洲标准生产并满足当地法规要求</t>
  </si>
  <si>
    <t>PO1132539-YTF
CL-PER</t>
  </si>
  <si>
    <t>4500173092-10</t>
  </si>
  <si>
    <t>8/18出</t>
  </si>
  <si>
    <t>日期码格式：ZURU INC(BVI) 标准格式 日期：按实际生产日期
Packaging Info: 
4. 25257: 英文MA包装(UPC版本，首选1L，无1L可用多L含英语)+箱唛+1张进口商贴纸; Duck/ Crocodile/ Fish=4:4:4; 3PCS AAA BATTERIES(INCLUDED)
Remark: 1. 此单出澳大利亚，请按澳洲标准生产并满足当地法规要求</t>
  </si>
  <si>
    <t>PO1132536-YTF
CL-BRIS</t>
  </si>
  <si>
    <t>4500173107-10</t>
  </si>
  <si>
    <t>PO1132537-YTF
CL-MELB</t>
  </si>
  <si>
    <t>4500173120-10</t>
  </si>
  <si>
    <t>日期码格式：ZURU INC(BVI) 标准格式 日期：按实际生产日期
Packaging Info: 
25257: 英文MA包装(UPC版本，首选1L，无1L可用多L含英语)+箱唛+1张进口商贴纸; Duck/ Crocodile/ Fish=4:4:4; 3PCS AAA BATTERIES(INCLUDED)
Remark: 此单出澳大利亚，请按澳洲标准生产并满足当地法规要求</t>
  </si>
  <si>
    <t>FUN TIME ENTERPRISES INCORPORATED</t>
  </si>
  <si>
    <t>菲律宾</t>
  </si>
  <si>
    <t>ZUR-F250623-01</t>
  </si>
  <si>
    <t>4500171409-40</t>
  </si>
  <si>
    <t>8/28出</t>
  </si>
  <si>
    <t>6/27收到</t>
  </si>
  <si>
    <t>MA PKG ，优先1L</t>
  </si>
  <si>
    <t>日期码格式：ZURU INC(BVI) 标准格式 日期：按实际生产日期
Packaging Info: MA PKG ，优先1L
Remark:</t>
  </si>
  <si>
    <t>Chelsea Luo</t>
  </si>
  <si>
    <t>Internet Solution LLC</t>
  </si>
  <si>
    <t>4500169448-10</t>
  </si>
  <si>
    <t>8/25出</t>
  </si>
  <si>
    <t>7/16收到</t>
  </si>
  <si>
    <t>7/22-进口商贴纸</t>
  </si>
  <si>
    <t>25253：MA UPC 版本彩卡</t>
  </si>
  <si>
    <t>日期码格式：ZURU INC(BVI) 标准格式 日期：按实际生产日期
Packaging Info: 注意 ： 外包装（包括PDQ,彩卡/收缩膜/挂卡，外箱）上不能有社交logo ,如有请加额外贴纸覆盖 ；
25253：MA UPC 版本彩卡+进口商贴纸，MA 最新说明书 ；
Remark: 标准配比；</t>
  </si>
  <si>
    <t>4500172109-20</t>
  </si>
  <si>
    <t>8/29出</t>
  </si>
  <si>
    <t>8/13-客供价格贴纸</t>
  </si>
  <si>
    <t>SMYTHS TOYS HQ UC UK</t>
  </si>
  <si>
    <t>PO#4400490497</t>
  </si>
  <si>
    <t>4500174207-40</t>
  </si>
  <si>
    <t>客版说明书（英法德意荷含WEEE声明)（说
 明书翻4500166055）</t>
  </si>
  <si>
    <t>9/10出</t>
  </si>
  <si>
    <t>德语/法语callout贴纸(含法国sorting logo--贴纸和位置图翻PO#4500162774）+客版说明书（英法德意荷含WEEE声明)（说
 明书翻4500166055）</t>
  </si>
  <si>
    <t>25251: MA 1L-23L Warning UPC版包装</t>
  </si>
  <si>
    <t>日期码格式：ZURU INC(BVI) 标准格式 日期：按实际生产日期
Packaging Info:
25251: MA 1L-23L Warning UPC版包装+德语/法语callout贴纸(含法国sorting logo--贴纸和位置图翻PO#4500162774）+客版说明书（英法德意荷含WEEE声明)（说
明书翻4500166055）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</si>
  <si>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96385-9.10</t>
  </si>
  <si>
    <t>4500174533-10</t>
  </si>
  <si>
    <t>9/3出</t>
  </si>
  <si>
    <t>7/31收到</t>
  </si>
  <si>
    <t>日期码格式：ZURU INC(BVI) 标准格式 日期：按实际生产日期
Packaging Info: 1.ZURU最新MA UPC包装(优先1L) +客供价格贴纸（贴在产品包装右下角，跟单找第三方订购贴纸寄到工厂）。
Remark: 1.ZURU最新MA UPC包装(优先1L)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</si>
  <si>
    <t>ZB01703-9.5</t>
  </si>
  <si>
    <t>4500174533-20</t>
  </si>
  <si>
    <t>慈善品</t>
  </si>
  <si>
    <t>ZMPO250698</t>
  </si>
  <si>
    <t>大货最新版本/请用大货标准箱装箱/</t>
  </si>
  <si>
    <t>Remark:大货最新版本/请用大货标准箱装箱/箱唛请参照邮件附件;备注：麻烦在外箱上备注慈善柜子样板，收到样品订单后尽快安排 ，注意样板品质质量要求要高于大货品质要求 ，送货时必须要附带送货单(没有送货单和QC检验合格报告的仓库一律拒绝收货)，请知悉，谢谢！</t>
  </si>
  <si>
    <t>96599-9.30</t>
  </si>
  <si>
    <t>CUS
PO#4400490498</t>
  </si>
  <si>
    <t>4500174169-10</t>
  </si>
  <si>
    <t>9/17出</t>
  </si>
  <si>
    <t>96431-9.15</t>
  </si>
  <si>
    <t>4500173503-20</t>
  </si>
  <si>
    <t>10/11出</t>
  </si>
  <si>
    <t>ZB02321-10.10</t>
  </si>
  <si>
    <t>SMYTHS TOYS EU HQ UC</t>
  </si>
  <si>
    <t>4500174492-20</t>
  </si>
  <si>
    <t>客版说明书（英法德意荷含WEEE声明)+印刷ZURU FRANCE 地址（说明书和
 地址都翻4500158935）</t>
  </si>
  <si>
    <t>9/28出</t>
  </si>
  <si>
    <t>7/23收到</t>
  </si>
  <si>
    <t>8/21-德语/法语callout贴纸</t>
  </si>
  <si>
    <t>最新MA 1L-23L Warning UPC版包装</t>
  </si>
  <si>
    <t>日期码格式：ZURU INC(BVI) 标准格式 日期：按实际生产日期
Packaging Info: 
25251:最新MA 1L-23L Warning UPC版包装+德语/法语callout贴纸(含法国sorting logo）+客版说明书（英法德意荷含WEEE声明)+印刷ZURU FRANCE 地址（说明书和
地址都翻4500158935）
Remark: 1. 此单出德国，需要满足Zuru Standard欧洲标准测试要求；</t>
  </si>
  <si>
    <t>Sherry Lu</t>
  </si>
  <si>
    <t>A96803-10.31</t>
  </si>
  <si>
    <t>4500174490-10</t>
  </si>
  <si>
    <t>9/22出</t>
  </si>
  <si>
    <t>日期码格式：ZURU INC(BVI) 标准格式 日期：按实际生产日期
Packaging Info: 25251:最新MA 1L-23L Warning UPC版包装+德语/法语callout贴纸(含法国sorting logo）+客版说明书（英法德意荷含WEEE声明)+印刷ZURU FRANCE 地址（说明书和
地址都翻4500158935）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所有出往德国订单的电子产品需增加一张WEEE声明30语通用黑白B版说明书(不接受A版，翻译有误)，区分带电池和不带电池版本, 如已做客版说明书可忽略此要
求。</t>
  </si>
  <si>
    <t>A96802-10.31</t>
  </si>
  <si>
    <t>4500174212-10</t>
  </si>
  <si>
    <t>客版说明书（英法德意荷含WEEE声明)（说
明书翻4500166055）</t>
  </si>
  <si>
    <t xml:space="preserve"> 25251: MA 1L-23L Warning UPC版包</t>
  </si>
  <si>
    <t>96505-9.23</t>
  </si>
  <si>
    <t>ADIR INTERNATIOAL/ CURACAO</t>
  </si>
  <si>
    <t>ALKAA-B</t>
  </si>
  <si>
    <t>4500175962-30</t>
  </si>
  <si>
    <t>9/24出</t>
  </si>
  <si>
    <t>8/14收到</t>
  </si>
  <si>
    <t>8/29-外箱条码贴纸</t>
  </si>
  <si>
    <t>MA UPC 优先1L 最新包装</t>
  </si>
  <si>
    <t>日期码格式：ZURU INC(BVI) 标准格式 日期：按实际生产日期
Packaging Info: 1. 包装方式：MA UPC 优先1L 最新包装，出口美国
Remark: 2. 产品和包装上印刷tracking code信息，格式为ZURU常规;
3. ZURU QC验货即可出货;
4. 25251外箱两正唛各贴一张UPC贴纸, 侧唛不用贴，贴纸做成普通白色贴纸即可.</t>
  </si>
  <si>
    <t>Iris Yuan</t>
  </si>
  <si>
    <t>ZB02179-9.27</t>
  </si>
  <si>
    <t>4500176711-10</t>
  </si>
  <si>
    <t>8/18收到</t>
  </si>
  <si>
    <t>Agnes Zheng</t>
  </si>
  <si>
    <t>ZB02079-9.25</t>
  </si>
  <si>
    <t>4500176710-10</t>
  </si>
  <si>
    <t>9/18出</t>
  </si>
  <si>
    <t>ZB02207-9.29</t>
  </si>
  <si>
    <t>WAL-MART.COM</t>
  </si>
  <si>
    <t>0932451490</t>
  </si>
  <si>
    <t>4500174994-10</t>
  </si>
  <si>
    <t>9/26第三方自检</t>
  </si>
  <si>
    <t>10/14出</t>
  </si>
  <si>
    <t>外箱四面印刷青色RFID箱唛 + 顶部ZURU logo黑色色带。
主唛左前下角印刷艾利贴纸替代标箱唛(ITF-14格式)，条码只印刷一面。
 主唛右下角加印 MADE IN CHINA</t>
  </si>
  <si>
    <t>8/7-RFID贴纸</t>
  </si>
  <si>
    <t>25251：最新扶正ZURU LOGO客版彩盒（客版UPC）1L+23L警告语 + MA D版1L说明书
产品上和包装上要有日期码、MADE IN CHINA和ZURU字样</t>
  </si>
  <si>
    <t>日期码格式：DGYYYYMMDD(日期避开周末和法定节假日) 日期：按实际生产日期
Packaging Info: 翻单：4500147361
1.包装方式：
25251：最新扶正ZURU LOGO客版彩盒（客版UPC）1L+23L警告语 + MA D版1L说明书
Remark: 2. 外箱四面印刷青色RFID箱唛 + 顶部ZURU logo黑色色带。
主唛左前下角印刷艾利贴纸替代标箱唛(ITF-14格式)，条码只印刷一面。
主唛右下角加印 MADE IN CHINA
3. WM#25251 NEW UPC：193052056092
4. Include 3pcs AAA carbon batteries
5.此单需要验货，请自行多备包装物料。
6.在产品上和包装上要有日期码、MADE IN CHINA和ZURU字样。
7.此批单都为散箱出货
8.每PCS要加RFID 贴纸，严格按照我们提供的位置图，不可擅自调整位置，贴纸也不可有任何破损或折坏，不可淋湿!!（如缺数请及时告知）</t>
  </si>
  <si>
    <t>ZB02320(REV1)-10.10</t>
  </si>
  <si>
    <t>4500174764-10</t>
  </si>
  <si>
    <t>9/20出</t>
  </si>
  <si>
    <t>ZB02014-9.20</t>
  </si>
  <si>
    <t>4500173505-20</t>
  </si>
  <si>
    <t>10/25出</t>
  </si>
  <si>
    <t>9/18-客供价格贴纸</t>
  </si>
  <si>
    <t>ZB02598-10.24</t>
  </si>
  <si>
    <t>THE HAMLEYS GROUP LTD</t>
  </si>
  <si>
    <t>HLL-PO-000015
760</t>
  </si>
  <si>
    <t>4500178312-60</t>
  </si>
  <si>
    <t>11/3出</t>
  </si>
  <si>
    <t>9/1收到</t>
  </si>
  <si>
    <t>WEEE带电池走货欧洲30语通用黑白说明书</t>
  </si>
  <si>
    <t>MA 1L 最新UPC包装</t>
  </si>
  <si>
    <t>日期码格式：ZURU INC(BVI) 标准格式 日期：按实际生产日期
Packaging Info:
25257:
25251：MA 1L 最新UPC包装，UPC：845218016418，+WEEE带电池走货欧洲30语通用黑白说明书
25252：MA 1L 最新UPC包装，UPC：845218016425，+WEEE带电池走货欧洲30语通用黑白说明书
25253：MA 1L 最新UPC包装，UPC：845218016432，+WEEE带电池走货欧洲30语通用黑白说明书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*在CRD前1周提供指定格式的自检报告
* 大货样： 新款请在CRD前10天寄出每款2整套大货样到罗湖办公室7B Aaron Xia 收，翻单不用寄。"</t>
  </si>
  <si>
    <t>Aaron Xia</t>
  </si>
  <si>
    <t>H-E-B, LP</t>
  </si>
  <si>
    <t>60X350129</t>
  </si>
  <si>
    <t>4500178449-20</t>
  </si>
  <si>
    <t>25257-S014</t>
  </si>
  <si>
    <t>11/15出</t>
  </si>
  <si>
    <t>9/18收到</t>
  </si>
  <si>
    <t>ZURU MA包装；最新UPC 版本</t>
  </si>
  <si>
    <t>日期码格式：ZURU INC(BVI) 标准格式 日期：按实际生产日期
Packaging Info: 1. ZURU MA包装；最新UPC 版本；出口美国；
Remark: 2. 日期跟踪码：ZURU标准格式日期码，产品包装及产品本身都必须有ZURU标准格式日期码，并且确保两者信息保持一致(请自行调整具体年月日生产期，但不能为
周末）。
3. 大货样。
，25257,需10月15日前需寄出3套大货样板(含PDQ)，样板须跟大货一模一样（含日期码）。
样板一套我们将给到美国HEB，两套寄到以下深圳利丰地址，到时利丰会回签一套用于第三方100%大货验货。
回签的样板工厂需保存好，只要产品没更新签样一年有效每次的第三方验货都是用这套样板做参考不再走客户签样流程。
* 一套样板寄到以下地址（一套含PDQ）
深圳雨禾伟业实业有限公司
地址：广东省深圳市罗湖区东门南路1006号文锦渡口岸大厦B栋7楼
收件人：Elsa
电话：0755 6688 1988 Ext3337
*2套（4pcs成品+2个空PDQ（如果产品涉及PDQ的话）+2套散件（如果产品涉及散件的话））寄到以下地址：
Li Fung　
深圳市福田区绒花路8号深福保大厦附楼3楼。
收件人： Yoland Dai　电话：+0755 8825 3756
4. 验货+ 抽板 （同一天进行）
预约10月31日第三方（利丰）到工厂做100%大货现场验货和抽板，验货需打印EPM出来跟客户回签样板供第三方验货参考。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
7. 外箱胶带必须按照工字型封箱</t>
  </si>
  <si>
    <t>Elsa Zheng</t>
  </si>
  <si>
    <t>ZB02910-11-13</t>
  </si>
  <si>
    <t>WALMART INC.</t>
  </si>
  <si>
    <t>0946002511</t>
  </si>
  <si>
    <t>4500180568-10</t>
  </si>
  <si>
    <t>11/10抽办
11/20第三方自检</t>
  </si>
  <si>
    <t>10/22-RFID贴纸+9/29-粉红外箱贴纸</t>
  </si>
  <si>
    <t>日期码格式：DGYYYYMMDD(日期避开周末和法定节假日) 日期：按实际生产日期
Packaging Info: 此单#25251 产中抽板时间：2025/11/10，抽板需完成订单数量506PCS，请自行多备包装物料。
样板数量#25251 签板 6PCS
翻单：4500174994
1.包装方式：
25251：最新扶正ZURU LOGO客版彩盒（客版UPC）1L+23L警告语 + MA D版1L说明书
Remark: 2. 外箱四面印刷青色RFID箱唛
主唛左前下角印刷艾利贴纸替代标箱唛(ITF-14格式)，条码只印刷一面
主唛右下角加印 MADE IN CHINA以及ZURU LOGO，对角线贴一张粉色MOD艾利贴纸（工厂自行打印或订购）
3. WM#25251 NEW UPC：193052056092
4. Include 3pcs AAA carbon batteries;
5.此单需要验货，请自行多备包装物料。
6.在产品上和包装上要有日期码、MADE IN CHINA和ZURU字样。
7.此批单都为散箱出货
8.每PCS要加RFID 贴纸，严格按照我们提供的位置图，不可擅自调整位置，贴纸也不可有任何破损或折坏，不可淋湿!!（如缺数请及时告知）</t>
  </si>
  <si>
    <t>CUS PO
4400512547</t>
  </si>
  <si>
    <t>4500180823-10</t>
  </si>
  <si>
    <t>客版说明书（英法德意荷含最新WEEE声明)翻4500163128</t>
  </si>
  <si>
    <t>11/18出</t>
  </si>
  <si>
    <t>10/11收到</t>
  </si>
  <si>
    <t>德语/法语callout/法国sorting label贴纸翻PO#4500162774</t>
  </si>
  <si>
    <t>25251: 最新MA 1L-23L Warning UPC版包装</t>
  </si>
  <si>
    <t>日期码格式：ZURU INC(BVI) 标准格式 日期：按实际生产日期
Packaging Info: 25251: 最新MA 1L-23L Warning UPC版包装+德语/法语callout/法国sorting label贴纸(翻PO#4500162774)+客版说明书（英法德意荷含最新WEEE声明)翻4500163128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</si>
  <si>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CARREFOUR FRANCE</t>
  </si>
  <si>
    <t>48STY26FRCH00
98</t>
  </si>
  <si>
    <t>4500179913-10</t>
  </si>
  <si>
    <t>25251-S001-10</t>
  </si>
  <si>
    <t>10/11-客版说明书(EN/FR/RO/AR 含WEEE_带电池走货说明)</t>
  </si>
  <si>
    <t>12/5出</t>
  </si>
  <si>
    <t>空白纸箱: 在正唛（只1面）加多虚线15 x 10.5 cm ( 高x 宽) 距箱左边2cm， 距箱底 3cm，</t>
  </si>
  <si>
    <t>10/9-EAN条码贴纸+法国环保logo贴纸（翻PO#4500144921)+11/27-外箱贴纸</t>
  </si>
  <si>
    <t>25251：MA E_1L-23L彩卡</t>
  </si>
  <si>
    <t>日期码格式：ZURU INC(BVI) 标准格式 日期：按实际生产日期
Packaging Info: 25251：MA E_1L-23L彩卡+EAN条码贴纸+法国环保logo贴纸（翻PO#4500144921), 客版说明书(EN/FR/RO/AR 含WEEE_带电池走货说明)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
7. 客人系统外箱尺寸:
TY82370 25251 42 x 39.5 x 45.5CM
8.所有出往欧洲市场订单的电子产品需增加一张WEEE声明说明书，区分带电池和不带电池版本, 如已做客版说明书可忽略此要求。</t>
  </si>
  <si>
    <t>Amber Zhang</t>
  </si>
  <si>
    <t>A97134-12-3</t>
  </si>
  <si>
    <t>4500179913-20</t>
  </si>
  <si>
    <t>25252-S001-10</t>
  </si>
  <si>
    <t>25252：MA E_1L-23L彩卡</t>
  </si>
  <si>
    <t>日期码格式：ZURU INC(BVI) 标准格式 日期：按实际生产日期
Packaging Info: 
25252： MA E_1L-23L彩卡+EAN条码贴纸+法国环保logo贴纸（翻PO#4500144921), 客版说明书(EN/FR/RO/AR 含WEEE_带电池走货说明)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
7. 客人系统外箱尺寸:
TY82372 25252 42x 39.5 x 45.5CM
8.所有出往欧洲市场订单的电子产品需增加一张WEEE声明说明书，区分带电池和不带电池版本, 如已做客版说明书可忽略此要求。</t>
  </si>
  <si>
    <t>4500179913-30</t>
  </si>
  <si>
    <t>25253-S001-10</t>
  </si>
  <si>
    <t>25253：MA E_1L-23L彩卡</t>
  </si>
  <si>
    <t>日期码格式：ZURU INC(BVI) 标准格式 日期：按实际生产日期
Packaging Info:
25253： MA E_1L-23L彩卡+EAN条码贴纸+法国环保logo贴纸（翻PO#4500144921), 客版说明书(EN/FR/RO/AR 含WEEE_带电池走货 说明)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
7. 客人系统外箱尺寸:
TY82374 25253 42 x39.5 x 45.5CM
8.所有出往欧洲市场订单的电子产品需增加一张WEEE声明说明书，区分带电池和不带电池版本, 如已做客版说明书可忽略此要求。</t>
  </si>
  <si>
    <t>48STY26FRCA01
22</t>
  </si>
  <si>
    <t>4500179913-40</t>
  </si>
  <si>
    <t>4500179913-50</t>
  </si>
  <si>
    <t>4500179913-60</t>
  </si>
  <si>
    <t>48STY26FRCH00
94</t>
  </si>
  <si>
    <t>4500179895-10</t>
  </si>
  <si>
    <t>11/27-12/1出</t>
  </si>
  <si>
    <t>日期码格式：ZURU INC(BVI) 标准格式 日期：按实际生产日期
Packaging Info: 25251：MA E_1L-23L彩卡+EAN条码贴纸+法国环保logo贴纸（翻PO#4500144921), 客版说明书(EN/FR/RO/AR 含WEEE_带电池走货说明)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
7. 客人系统外箱尺寸:
TY82370 25251 42 x 39.5 x 45.5CM
8.所有出往欧洲市场订单的电子产品需增加一张WEEE声明说明书，区分带电池和不带电池版本, 如已做客版说明书可忽略此要求。</t>
  </si>
  <si>
    <t>A97059-11-29</t>
  </si>
  <si>
    <t>4500179895-20</t>
  </si>
  <si>
    <t>日期码格式：ZURU INC(BVI) 标准格式 日期：按实际生产日期
Packaging Info: 
25252： MA E_1L-23L彩卡+EAN条码贴纸+法国环保logo贴纸（翻PO#4500144921), 客版说明书(EN/FR/RO/AR 含WEEE_带电池走货说明)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
7. 客人系统外箱尺寸:
TY82372 25252 42x 39.5 x 45.5CM
8.所有出往欧洲市场订单的电子产品需增加一张WEEE声明说明书，区分带电池和不带电池版本, 如已做客版说明书可忽略此要求。</t>
  </si>
  <si>
    <t>4500179895-30</t>
  </si>
  <si>
    <t>日期码格式：ZURU INC(BVI) 标准格式 日期：按实际生产日期
Packaging Info:
25253： MA E_1L-23L彩卡+EAN条码贴纸+法国环保logo贴纸（翻PO#4500144921), 客版说明书(EN/FR/RO/AR 含WEEE_带电池走货 说明)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
7. 客人系统外箱尺寸:
TY82374 25253 42 x39.5 x 45.5CM
8.所有出往欧洲市场订单的电子产品需增加一张WEEE声明说明书，区分带电池和不带电池版本, 如已做客版说明书可忽略此要求。</t>
  </si>
  <si>
    <t>48STY26FRCA01
16</t>
  </si>
  <si>
    <t>4500179895-40</t>
  </si>
  <si>
    <t>A97119-12-2</t>
  </si>
  <si>
    <t>4500179895-50</t>
  </si>
  <si>
    <t>4500179895-60</t>
  </si>
  <si>
    <t>0946002518</t>
  </si>
  <si>
    <t>4500180576-10</t>
  </si>
  <si>
    <t>12/4出</t>
  </si>
  <si>
    <t>日期码格式：DGYYYYMMDD(日期避开周末和法定节假日) 日期：按实际生产日期
Packaging Info: 包装/箱唛翻单：4500180568
1.包装方式：
25251：最新扶正ZURU LOGO客版彩盒（客版UPC）1L+23L警告语 + MA D版1L说明书
Remark: 2. 外箱四面印刷青色RFID箱唛
主唛左前下角印刷艾利贴纸替代标箱唛(ITF-14格式)，条码只印刷一面
主唛右下角加印 MADE IN CHINA以及ZURU LOGO，对角线贴一张粉色MOD艾利贴纸（工厂自行打印或订购）
3. WM#25251 NEW UPC：193052056092
4. Include 3pcs AAA carbon batteries;
5.此单需要验货，请自行多备包装物料。
6.在产品上和包装上要有日期码、MADE IN CHINA和ZURU字样。
7.此批单都为散箱出货
8.每PCS要加RFID 贴纸，严格按照我们提供的位置图，不可擅自调整位置，贴纸也不可有任何破损或折坏，不可淋湿!!（如缺数请及时告知）</t>
  </si>
  <si>
    <t>0946002512</t>
  </si>
  <si>
    <t>4500180574-10</t>
  </si>
  <si>
    <t>0946002509</t>
  </si>
  <si>
    <t>4500180578-10</t>
  </si>
  <si>
    <t>12/12出</t>
  </si>
  <si>
    <t>WMPO：0948878
083---Destina
tion：RIDGEVI
LLE SC</t>
  </si>
  <si>
    <t>4500181695-10</t>
  </si>
  <si>
    <t>包装翻单：4500180568</t>
  </si>
  <si>
    <t>外箱四面印刷青色RFID箱唛
主唛左前下角印刷艾利贴纸替代标箱唛(ITF-14格式)，条码只印刷一面。
 主唛右下角加印 MADE IN CHINA以及ZURU LOGO</t>
  </si>
  <si>
    <t>10/22RFID贴纸</t>
  </si>
  <si>
    <t>25251：最新扶正ZURU LOGO客版彩盒（客版UPC）1L+23L警告语 + MA D版1L说明书</t>
  </si>
  <si>
    <t>日期码格式：DGYYYYMMDD(日期避开周末和法定节假日) 日期：按实际生产日期
Packaging Info: 包装翻单：4500180568
1.包装方式：
25251：最新扶正ZURU LOGO客版彩盒（客版UPC）1L+23L警告语 + MA D版1L说明书
Remark: 2. 外箱四面印刷青色RFID箱唛
主唛左前下角印刷艾利贴纸替代标箱唛(ITF-14格式)，条码只印刷一面。
主唛右下角加印 MADE IN CHINA以及ZURU LOGO
3. WM#25251 NEW UPC：193052056092
4. Include 3pcs AAA carbon batteries;
5.此单需要验货，请自行多备包装物料。
6.在产品上和包装上要有日期码、MADE IN CHINA和ZURU字样。
7.此批单都为散箱出货
8.每PCS要加RFID 贴纸，严格按照我们提供的位置图，不可擅自调整位置，贴纸也不可有任何破损或折坏，不可淋湿!!（如缺数请及时告知）</t>
  </si>
  <si>
    <t>WMPO：0948878
090---Destina
tion：SUFFOLK</t>
  </si>
  <si>
    <t>4500181695-20</t>
  </si>
  <si>
    <t>0946002517</t>
  </si>
  <si>
    <t>4500180589-10</t>
  </si>
  <si>
    <t>12/1自检</t>
  </si>
  <si>
    <t>12/17出</t>
  </si>
  <si>
    <t>WMPO：0948878
092--Destinat
ion：MOBILE</t>
  </si>
  <si>
    <t>4500181703-10</t>
  </si>
  <si>
    <t>日期码格式：DGYYYYMMDD(日期避开周末和法定节假日) 日期：按实际生产日期
Packaging Info: 包装/箱唛翻单：4500181695
1.包装方式：
25251：最新扶正ZURU LOGO客版彩盒（客版UPC）1L+23L警告语 + MA D版1L说明书
Remark: 2. 外箱四面印刷青色RFID箱唛
主唛左前下角印刷艾利贴纸替代标箱唛(ITF-14格式)，条码只印刷一面。
主唛右下角加印 MADE IN CHINA以及ZURU LOGO
3. WM#25251 NEW UPC：193052056092
4. Include 3pcs AAA carbon batteries;
5.此单需要验货，请自行多备包装物料。
6.在产品上和包装上要有日期码、MADE IN CHINA和ZURU字样。
7.此批单都为散箱出货
8.每PCS要加RFID 贴纸，严格按照我们提供的位置图，不可擅自调整位置，贴纸也不可有任何破损或折坏，不可淋湿!!（如缺数请及时告知）</t>
  </si>
  <si>
    <t>WMPO：0948878
097--Destinat
ion：HOUSTON</t>
  </si>
  <si>
    <t>4500181703-20</t>
  </si>
  <si>
    <t>WMPO：0948878
104--Destinat
ion：STATESBO
RO</t>
  </si>
  <si>
    <t>4500181703-30</t>
  </si>
  <si>
    <t>CVS PHARMACY INC</t>
  </si>
  <si>
    <t>Customer
PO#5403815</t>
  </si>
  <si>
    <t>4500182100-10</t>
  </si>
  <si>
    <t>25251-S002-1</t>
  </si>
  <si>
    <t>11/28-100%抽办</t>
  </si>
  <si>
    <t>10/28收到</t>
  </si>
  <si>
    <t>ZURU标准MA UPC版本(优先1L)</t>
  </si>
  <si>
    <t>日期码格式：ZURU INC(BVI) 标准格式 日期：按实际生产日期
Packaging Info: ZURU标准MA UPC版本(优先1L),出口美国。
Remark: 1. 此单需要在2025/11/28完成首批数量供UL实验室抽板测试，剩余数量要求在2025/12/22全部完成。
2. 日期码请按ZURU标准版执行即可。
3. 样板准备：测试样：预计12套，大货样:4套。具体要求以后续邮件通知为准。
4. ZURU QC验货</t>
  </si>
  <si>
    <t>Eleven Zhang</t>
  </si>
  <si>
    <t>CUS
PO#4400514827</t>
  </si>
  <si>
    <t>4500182611-10</t>
  </si>
  <si>
    <t>11/24出</t>
  </si>
  <si>
    <t>10/29收到</t>
  </si>
  <si>
    <t>德语/法语callout/法国sorting label贴纸(翻PO#4500162774)+印刷ZURU FRANCE 地址（翻4500158935）</t>
  </si>
  <si>
    <t>日期码格式：ZURU INC(BVI) 标准格式 日期：按实际生产日期
Packaging Info: 25251: 最新MA 1L-23L Warning UPC版包装+德语/法语callout/法国sorting label贴纸(翻PO#4500162774)+客版说明书（英法德意荷含最新WEEE声明)翻4500163128
+印刷ZURU FRANCE 地址（翻4500158935）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t>
  </si>
  <si>
    <t>A97014-11-25</t>
  </si>
  <si>
    <t>CUS
PO#4400514828</t>
  </si>
  <si>
    <t>4500182611-20</t>
  </si>
  <si>
    <t>CARREFOUR MOROCCO</t>
  </si>
  <si>
    <t>48STY26MACA0164</t>
  </si>
  <si>
    <t>4500179875-10</t>
  </si>
  <si>
    <t>空白纸箱: 在正唛（只1面）加多虚线15 x 10.5 cm ( 高x 宽) 距箱左边2cm， 距箱底 3cm，虚线内1张外箱贴纸</t>
  </si>
  <si>
    <t>EAN条码贴纸+法国环保logo/摩洛哥标志贴纸+进口商信息贴纸, 产品贴纸（含摩洛哥LOGO+进口商信息+含客人款号-ZURU item#), 客版
 说明书(EN/FR/RO/AR 含WEEE_带电池走货 说明)-翻PO#4500179895</t>
  </si>
  <si>
    <t>日期码格式：ZURU INC(BVI) 标准格式 日期：按实际生产日期
Packaging Info: 25253： MA E_1L-23L彩卡+EAN条码贴纸+法国环保logo/摩洛哥标志贴纸+进口商信息贴纸, 产品贴纸（含摩洛哥LOGO+进口商信息+含客人款号-ZURU item#), 客版
说明书(EN/FR/RO/AR 含WEEE_带电池走货 说明)-翻PO#4500179895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
7. 客人系统外箱尺寸:
TY82374 25253 42 x39.5 x 45.5CM
8.所有出往欧洲市场订单的电子产品需增加一张WEEE声明说明书，区分带电池和不带电池版本, 如已做客版说明书可忽略此要求。</t>
  </si>
  <si>
    <t>CUS
PO#4400512559</t>
  </si>
  <si>
    <t>4500182610-10</t>
  </si>
  <si>
    <t>德语/法语callout/法国sorting label贴纸(翻PO#4500162774)</t>
  </si>
  <si>
    <t>A97121-12-2</t>
  </si>
  <si>
    <t xml:space="preserve"> TJX CANADA</t>
  </si>
  <si>
    <t>40059009 40059370</t>
  </si>
  <si>
    <t>4500183043-30</t>
  </si>
  <si>
    <t>翻单4500132627</t>
  </si>
  <si>
    <t>11/3收到</t>
  </si>
  <si>
    <t>11/20-客供价格贴纸</t>
  </si>
  <si>
    <t>25251 英法客版包装 翻单 UPC 845218016418</t>
  </si>
  <si>
    <t>日期码格式：ZURU INC(BVI) 标准格式 日期：按实际生产日期
25251 英法客版包装 翻单4500132627 UPC 845218016418
Remark: 出加拿大
有客供价格贴
每行对应不同的客户PO，唛头要一一对应， 放唛头时跟单会提供清单
Zuru验货.日期跟踪码：产品外包装及产品本身都必须有日期跟踪码，ZURU标准格式
日期码</t>
  </si>
  <si>
    <t>A97149-12-5</t>
  </si>
  <si>
    <t>4500183043-80</t>
  </si>
  <si>
    <t>4500183043-110</t>
  </si>
  <si>
    <t>英法客版 翻单4500132627</t>
  </si>
  <si>
    <t>25253 英法客版 翻单4500132627</t>
  </si>
  <si>
    <t>日期码格式：ZURU INC(BVI) 标准格式 日期：按实际生产日期
Packaging Info
 25253 英法客版 翻单4500132627 UPC 845218016432
Remark: 出加拿大
 有客供价格贴
 每行对应不同的客户PO，唛头要一一对应， 放唛头时跟单会提供清单
 Zuru验货.日期跟踪码：产品外包装及产品本身都必须有日期跟踪码，ZURU标准格式
 日期码</t>
  </si>
  <si>
    <t>4500183043-190</t>
  </si>
  <si>
    <t>A97154-12-6</t>
  </si>
  <si>
    <t>45152387 45152401</t>
  </si>
  <si>
    <t>4500183001-40</t>
  </si>
  <si>
    <t>12/8出</t>
  </si>
  <si>
    <t>日期码格式：ZURU INC(BVI) 标准格式 日期：按实际生产日期
Packaging Info: 
25251 英法客版包装 翻单4500132627 UPC 845218016418
Remark: 出加拿大
有客供价格贴
每行对应不同的客户PO，唛头要一一对应， 放唛头时跟单会提供清单
Zuru验货.日期跟踪码：产品外包装及产品本身都必须有日期跟踪码，ZURU标准格式
日期码</t>
  </si>
  <si>
    <t>A97156-12-6</t>
  </si>
  <si>
    <t>4500183001-110</t>
  </si>
  <si>
    <t>11/27-客供价格贴纸</t>
  </si>
  <si>
    <t>日期码格式：ZURU INC(BVI) 标准格式 日期：按实际生产日期
Packaging Info:
 25253 英法客版 翻单4500132627 UPC 845218016432
Remark: 出加拿大
 有客供价格贴
 每行对应不同的客户PO，唛头要一一对应， 放唛头时跟单会提供清单
 Zuru验货.日期跟踪码：产品外包装及产品本身都必须有日期跟踪码，ZURU标准格式
 日期码</t>
  </si>
  <si>
    <t>4500184172-20</t>
  </si>
  <si>
    <t>11/10-客供价格贴纸</t>
  </si>
  <si>
    <t>Blanche Huang</t>
  </si>
  <si>
    <t>4500184172-40</t>
  </si>
  <si>
    <t>4500184172-60</t>
  </si>
  <si>
    <t>4500184172-80</t>
  </si>
  <si>
    <t>0946002519</t>
  </si>
  <si>
    <t>4500180591-10</t>
  </si>
  <si>
    <t>12/11第三方 自检</t>
  </si>
  <si>
    <t>0946002513</t>
  </si>
  <si>
    <t>4500180592-10</t>
  </si>
  <si>
    <t>12/8第三方</t>
  </si>
  <si>
    <t>12/10出</t>
  </si>
  <si>
    <t>WMPO：0948878
100---Destina
tion：ELWOOD</t>
  </si>
  <si>
    <t>4500181733-10</t>
  </si>
  <si>
    <t>12/27出</t>
  </si>
  <si>
    <t>WMPO：0948878
107---Destina
tion：EASTVAL
E</t>
  </si>
  <si>
    <t>4500181733-20</t>
  </si>
  <si>
    <t>12/31出</t>
  </si>
  <si>
    <t>LEKIA AB</t>
  </si>
  <si>
    <t>瑞典</t>
  </si>
  <si>
    <t>4500183825-270</t>
  </si>
  <si>
    <t>12/22出</t>
  </si>
  <si>
    <t>11/11收到</t>
  </si>
  <si>
    <t>11/14-EAN care@zuru.com贴纸+带干电池走货北欧六语通用黑白电池说明书</t>
  </si>
  <si>
    <t>25251-S001//1L-23L Warning E版 UPC彩盒</t>
  </si>
  <si>
    <t>日期码格式：ZURU INC(BVI) 标准格式 日期：按实际生产日期
Packaging Info: 
25251-S001//1L-23L Warning E版 UPC彩盒+EAN6946441304373 &lt;(&gt;&amp;&lt;)&gt; care@zuru.com贴纸+MA D版说明书+带干电池走货北欧六语通用黑白电池说明书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25251-S001//3PCS AAA BATTERIES(INCLUDED)</t>
  </si>
  <si>
    <t>Luna</t>
  </si>
  <si>
    <t>4500183825-280</t>
  </si>
  <si>
    <t>11/14EAN care@zuru.com贴纸+带干电池走货北欧六语通用黑白电池说明书</t>
  </si>
  <si>
    <t>25253-S001//1L-23L Warning E版 UPC彩盒</t>
  </si>
  <si>
    <t>日期码格式：ZURU INC(BVI) 标准格式 日期：按实际生产日期
Packaging Info: 
25253-S001//1L-23L Warning E版 UPC彩盒+EAN6946441304397 &lt;(&gt;&amp;&lt;)&gt; care@zuru.com贴纸+MA D版说明书+带干电池走货北欧六语通用黑白电池说明书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25253-S001//3PCS AAA BATTERIES(INCLUDED)</t>
  </si>
  <si>
    <t>ZUR-F250926-03</t>
  </si>
  <si>
    <t>4500184724-40</t>
  </si>
  <si>
    <t>12/18出</t>
  </si>
  <si>
    <t>11/7收到</t>
  </si>
  <si>
    <t>MA PKG, 优先1L</t>
  </si>
  <si>
    <t>日期码格式：ZURU INC(BVI) 标准格式 日期：按实际生产日期
Packaging Info: MA PKG, 优先1L
Remark:</t>
  </si>
  <si>
    <t>4500184724-50</t>
  </si>
  <si>
    <t>WMPO：0948878
087---Destina
tion：RIDGEVI
LLE SC</t>
  </si>
  <si>
    <t>4500181734-10</t>
  </si>
  <si>
    <t>12/19第三方自检</t>
  </si>
  <si>
    <t>WMPO：0948878
089---Destina
tion：SUFFOLK</t>
  </si>
  <si>
    <t>4500181734-20</t>
  </si>
  <si>
    <t>1/1出</t>
  </si>
  <si>
    <t>WMPO：0948878
082---Destina
tion：STATESB
ORO</t>
  </si>
  <si>
    <t>4500181735-10</t>
  </si>
  <si>
    <t>WMPO：0948878
101---Destina
tion：MOBILE</t>
  </si>
  <si>
    <t>4500181735-20</t>
  </si>
  <si>
    <t>1/2出</t>
  </si>
  <si>
    <t>0948878091</t>
  </si>
  <si>
    <t>4500181736-10</t>
  </si>
  <si>
    <t>Customer
PO#7348341</t>
  </si>
  <si>
    <t>4500182100-20</t>
  </si>
  <si>
    <t>Customer
PO#0304024</t>
  </si>
  <si>
    <t>4500182100-30</t>
  </si>
  <si>
    <t>Customer
PO#9126571</t>
  </si>
  <si>
    <t>4500182100-40</t>
  </si>
  <si>
    <t>Customer
PO#8521551</t>
  </si>
  <si>
    <t>4500182100-50</t>
  </si>
  <si>
    <t>Customer
PO#1511237</t>
  </si>
  <si>
    <t>4500182100-60</t>
  </si>
  <si>
    <t>Customer
PO#9586499</t>
  </si>
  <si>
    <t>4500182100-70</t>
  </si>
  <si>
    <t>Customer
PO#2742271</t>
  </si>
  <si>
    <t>4500182100-80</t>
  </si>
  <si>
    <t>Customer
PO#4719774</t>
  </si>
  <si>
    <t>4500182100-90</t>
  </si>
  <si>
    <t>Customer
PO#0535071</t>
  </si>
  <si>
    <t>4500182100-100</t>
  </si>
  <si>
    <t>Customer
PO#6566921</t>
  </si>
  <si>
    <t>4500182100-110</t>
  </si>
  <si>
    <t>Customer
PO#8129707</t>
  </si>
  <si>
    <t>4500182100-120</t>
  </si>
  <si>
    <t>Customer
PO#5597415</t>
  </si>
  <si>
    <t>4500182100-130</t>
  </si>
  <si>
    <t>Customer
PO#3274779</t>
  </si>
  <si>
    <t>4500182100-140</t>
  </si>
  <si>
    <t>CustomerPO#1135415</t>
  </si>
  <si>
    <t>4500182100-150</t>
  </si>
  <si>
    <t>Customer
PO#3661109</t>
  </si>
  <si>
    <t>4500182100-160</t>
  </si>
  <si>
    <t>BURLINGTON STORES, INC.</t>
  </si>
  <si>
    <t>4500184953-30</t>
  </si>
  <si>
    <t>12/30出</t>
  </si>
  <si>
    <t>11/10收到</t>
  </si>
  <si>
    <t>11/28外箱贴纸</t>
  </si>
  <si>
    <t>日期码格式：ZURU INC(BVI) 标准格式 日期：按实际生产日期
Packaging Info:  ZURU MA （首选1L）UPC版本+外箱贴纸（为方便进行装柜区分，请按照后续提供的外箱贴纸文档去粘贴外箱），出口美国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每份贴纸文档的数量对应的是装柜数量，一个ID对应一个柜子，外箱贴纸需要按照SHIPMENT ID (不会显示在贴纸上，在贴纸资料文档上命名上）去区分
，也就是同个item line 但是SHIPMENT ID 不一样不可以混在一起，贴纸和大货需要区分开，最后装柜会在不同的柜子里面。</t>
  </si>
  <si>
    <t>4500184953-40</t>
  </si>
  <si>
    <t>日期码格式：ZURU INC(BVI) 标准格式 日期：按实际生产日期
Packaging Info: 1. ZURU MA （首选1L）UPC版本+外箱贴纸（为方便进行装柜区分，请按照后续提供的外箱贴纸文档去粘贴外箱），出口美国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每份贴纸文档的数量对应的是装柜数量，一个ID对应一个柜子，外箱贴纸需要按照SHIPMENT ID (不会显示在贴纸上，在贴纸资料文档上命名上）去区分
，也就是同个item line 但是SHIPMENT ID 不一样不可以混在一起，贴纸和大货需要区分开，最后装柜会在不同的柜子里面。</t>
  </si>
  <si>
    <t>4500184950-40</t>
  </si>
  <si>
    <t>4500184950-30</t>
  </si>
  <si>
    <t>4500185879-10</t>
  </si>
  <si>
    <t>12/24出</t>
  </si>
  <si>
    <t>11/26收到</t>
  </si>
  <si>
    <t>日期码格式：ZURU INC(BVI) 标准格式 日期：按实际生产日期
Packaging Info: 25251: 最新MA 1L-23L Warning UPC版包装+德语/法语callout/法国sorting label贴纸(翻PO#4500162774)+客版说明书（英法德意荷含最新WEEE声明)翻4500163128
Remark: Smyths 法国
1. 请准时出货，推期会有罚款；
2. 所有产品按符合欧洲标准走货，需要是不含微塑料版本。
3. 电子产品需增加一张WEEE声明30L通用黑白说明书(不接受A版本，翻译有误)，区分带电池和不带电池出货版本, 如已做客版说明书可忽略此要求；
4. 出口法国的产品, 法规规定禁止在包装和共公众用的印刷品中使用矿物油中含有的物质, 包装印刷油墨中含有的MOAH/MOSH的质量浓度不能超过1%, 否则出货到
法国被抽检出现问题, 供应商需要对此负责;
5.订单备注显示有分批的（不同仓库/订单号） ，注意分开做货出货，否则会导致罚款 。
6.包装日期码按ZURU格式即可，请确保不迟于外箱日期码，可等于或者早于外箱日期码，必须为法定工作日。
7.做货前请先复核包装条码与订单是否一致再安排，对不上的需与ZURU跟单确认再安排。</t>
  </si>
  <si>
    <t>出B-2</t>
  </si>
  <si>
    <t>4500184619-10</t>
  </si>
  <si>
    <t>11/19收到</t>
  </si>
  <si>
    <t>12/4-进口商贴纸+ 客户EAN 条码贴纸+11/27-QR code 贴纸</t>
  </si>
  <si>
    <t>MA UPC 彩卡或者收缩膜</t>
  </si>
  <si>
    <t>日期码格式：外包装/外箱不要打ZURU标准日期码 日期：
Packaging Info: 注意: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/Art/size等&gt;,白底黑字，分辨率要大于300dpi，位置要远离条码。 可贴零售包装的侧面右下角/背面的右上角/挂卡的背面/正面的右上角，距离边距5mm）;
3 .外箱四面右上角需要加SSCC label （标准尺寸是16X5CM,可调整但是需要确保可扫）；
4./25253 ： MA UPC 彩卡 + 进口商贴纸有更新+ 客户EAN 条码贴纸+QR code 贴纸 （一物一码）， MA指南/说明书（如有） 。
Remark: 标准配比
请按期完货， 会有罚金。
出2个港口Bekasovo 2(B-2) &lt;(&gt;&amp;&lt;)&gt; Ural
出货后24小时需要提供QR CODE 入外箱以及入货柜的明细清单供客户清关使用；</t>
  </si>
  <si>
    <t>4500184619-20</t>
  </si>
  <si>
    <t>日期码格式：外包装/外箱不要打ZURU标准日期码 日期：
Packaging Info: 注意: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/Art/size等&gt;,白底黑字，分辨率要大于300dpi，位置要远离条码。 可贴零售包装的侧面右下角/背面的右上角/挂卡的背面/正面的右上角，距离边距5mm）;
3 .外箱四面右上角需要加SSCC label （标准尺寸是16X5CM,可调整但是需要确保可扫）；
4.25251 ： MA UPC 彩卡 + 进口商贴纸有更新+ 客户EAN 条码贴纸+QR code 贴纸 （一物一码）， MA指南/说明书（如有） 。
Remark: 标准配比
请按期完货， 会有罚金。
出2个港口Bekasovo 2(B-2) &lt;(&gt;&amp;&lt;)&gt; Ural
出货后24小时需要提供QR CODE 入外箱以及入货柜的明细清单供客户清关使用；</t>
  </si>
  <si>
    <t>出Ural</t>
  </si>
  <si>
    <t>4500184619-130</t>
  </si>
  <si>
    <t>日期码格式：外包装/外箱不要打ZURU标准日期码 日期：
Packaging Info: 注意: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/Art/size等&gt;,白底黑字，分辨率要大于300dpi，位置要远离条码。 可贴零售包装的侧面右下角/背面的右上角/挂卡的背面/正面的右上角，距离边距5mm）;
3 .外箱四面右上角需要加SSCC label （标准尺寸是16X5CM,可调整但是需要确保可扫）；
4.25253 ： MA UPC 彩卡 + 进口商贴纸有更新+ 客户EAN 条码贴纸+QR code 贴纸 （一物一码）， MA指南/说明书（如有） 。
Remark: 标准配比
请按期完货， 会有罚金。
出2个港口Bekasovo 2(B-2) &lt;(&gt;&amp;&lt;)&gt; Ural
出货后24小时需要提供QR CODE 入外箱以及入货柜的明细清单供客户清关使用；</t>
  </si>
  <si>
    <t>4500184619-140</t>
  </si>
  <si>
    <t>WMPO：0948878
096---Destina
tion：ELWOOD</t>
  </si>
  <si>
    <t>4500181737-10</t>
  </si>
  <si>
    <t>12/31第三方</t>
  </si>
  <si>
    <t>WMPO：0948878
098---Destina
tion：EASTVAL
E</t>
  </si>
  <si>
    <t>4500181737-20</t>
  </si>
  <si>
    <t>1/22出</t>
  </si>
  <si>
    <t>4500185070-60</t>
  </si>
  <si>
    <t>指定电池品牌为：VINNIC</t>
  </si>
  <si>
    <t>11/27收到</t>
  </si>
  <si>
    <t>12/1-babyUPC+客版西语说明书+进口商贴纸</t>
  </si>
  <si>
    <t>25251 MA 1L+多语 warming UPC包装</t>
  </si>
  <si>
    <t xml:space="preserve">日期码格式：ZURU INC(BVI) 标准格式 日期：按实际生产日期
Packaging Info: 1. 请注意有电池指定品牌：
2. 请确保包装上的条形码是UPC，如果是babyUPC，需要用mother UPC覆盖，如有不一致，请及时提出。谢谢!
25251 MA 1L+多语 warming UPC包装+MA 1L说明书+客版西语说明书+进口商贴纸+箱唛; 指定电池品牌为：VINNIC
Remark: </t>
  </si>
  <si>
    <t>Aimee Huang</t>
  </si>
  <si>
    <t>4500185070-70</t>
  </si>
  <si>
    <t>25253 MA 1L+多语 warming UPC包装</t>
  </si>
  <si>
    <t xml:space="preserve">日期码格式：ZURU INC(BVI) 标准格式 日期：按实际生产日期
Packaging Info: 1. 请注意有电池指定品牌：
2. 请确保包装上的条形码是UPC，如果是babyUPC，需要用mother UPC覆盖，如有不一致，请及时提出。谢谢!
25253 MA 1L+多语 warming UPC包装+MA 1L说明书+客版西语说明书+进口商贴纸+箱唛 , 指定电池品牌为：VINNIC
Remark: </t>
  </si>
  <si>
    <t>4500183043-290</t>
  </si>
  <si>
    <t>12/23-客供价格贴纸</t>
  </si>
  <si>
    <t>4500183043-300</t>
  </si>
  <si>
    <t>4500183001-120</t>
  </si>
  <si>
    <t>1/26出</t>
  </si>
  <si>
    <t>4500183001-210</t>
  </si>
  <si>
    <t>4500183001-230</t>
  </si>
  <si>
    <t>4500183001-240</t>
  </si>
  <si>
    <t>40059747 40059835</t>
  </si>
  <si>
    <t>4500183051-40</t>
  </si>
  <si>
    <t>日期码格式：ZURU INC(BVI) 标准格式 日期：按实际生产日期
Packaging Info: 
 25253 英法客版 翻单4500132627 UPC 845218016432
Remark: 出加拿大
 有客供价格贴
 每行对应不同的客户PO，唛头要一一对应， 放唛头时跟单会提供清单
 Zuru验货.日期跟踪码：产品外包装及产品本身都必须有日期跟踪码，ZURU标准格式
 日期码</t>
  </si>
  <si>
    <t>4500183051-50</t>
  </si>
  <si>
    <t>4500183051-130</t>
  </si>
  <si>
    <t>4500183051-140</t>
  </si>
  <si>
    <t>4500183051-180</t>
  </si>
  <si>
    <t>4500183051-190</t>
  </si>
  <si>
    <t>4500187427-10</t>
  </si>
  <si>
    <t>11/29收到</t>
  </si>
  <si>
    <t>4500184183-20</t>
  </si>
  <si>
    <t>1/23出</t>
  </si>
  <si>
    <t>12/15-客供价格贴纸</t>
  </si>
  <si>
    <t>0953485564</t>
  </si>
  <si>
    <t>4500188099-10</t>
  </si>
  <si>
    <t>1/14第三方自检</t>
  </si>
  <si>
    <t>箱唛翻单：4500180568</t>
  </si>
  <si>
    <t>粉色MOD艾利贴纸+12/16-RFID 贴纸</t>
  </si>
  <si>
    <t>日期码格式：DGYYYYMMDD(日期避开周末和法定节假日) 日期：按实际生产日期
Packaging Info: MOD单包装/箱唛翻单：4500180568
1.包装方式：
25251：最新扶正ZURU LOGO客版彩盒（客版UPC）1L+23L警告语 + MA D版1L说明书
Remark: 2. 外箱四面印刷青色RFID箱唛
主唛左前下角印刷艾利贴纸替代标箱唛(ITF-14格式)，条码只印刷一面
主唛右下角加印 MADE IN CHINA以及ZURU LOGO，对角线贴一张粉色MOD艾利贴纸（工厂自行打印或订购）
3. WM#25251 NEW UPC：193052056092
4. 2PCS/CTN , Include 3pcs AAA carbon batteries;
5.此单需要验货，请自行多备包装物料。
6.在产品上和包装上要有日期码、MADE IN CHINA和ZURU字样。
7.此批单都为散箱出货
8.每PCS要加RFID 贴纸，严格按照我们提供的位置图，不可擅自调整位置，贴纸也不可有任何破损或折坏，不可淋湿（如缺数请及时告知）</t>
  </si>
  <si>
    <t>0953485570</t>
  </si>
  <si>
    <t>4500188099-20</t>
  </si>
  <si>
    <t>0953485561</t>
  </si>
  <si>
    <t>4500188103-10</t>
  </si>
  <si>
    <t>1/19第三方自检</t>
  </si>
  <si>
    <t>0953485562</t>
  </si>
  <si>
    <t>4500188103-20</t>
  </si>
  <si>
    <t>0953485567</t>
  </si>
  <si>
    <t>4500188103-30</t>
  </si>
  <si>
    <t>2/3出</t>
  </si>
  <si>
    <t>0954000457</t>
  </si>
  <si>
    <t>4500188079-10</t>
  </si>
  <si>
    <t>1/30出</t>
  </si>
  <si>
    <t>12/16-RFID 贴纸</t>
  </si>
  <si>
    <t>日期码格式：DGYYYYMMDD(日期避开周末和法定节假日) 日期：按实际生产日期
Packaging Info: 包装/箱唛翻单：4500181695
1.包装方式：
25251：最新扶正ZURU LOGO客版彩盒（客版UPC）1L+23L警告语 + MA D版1L说明书
Remark: 2. 外箱四面印刷青色RFID箱唛
主唛左前下角印刷艾利贴纸替代标箱唛(ITF-14格式)，条码只印刷一面。
主唛右下角加印 MADE IN CHINA以及ZURU LOGO
3. WM#25251 NEW UPC：193052056092
4. 2PCS/CTN, Include 3pcs AAA carbon batteries;
5.此单需要验货，请自行多备包装物料。
6.在产品上和包装上要有日期码、MADE IN CHINA和ZURU字样。
7.此批单都为散箱出货
8.每PCS要加RFID 贴纸，严格按照我们提供的位置图，不可擅自调整位置，贴纸也不可有任何破损或折坏，不可淋湿（如缺数请及时告知）</t>
  </si>
  <si>
    <t>0954000462</t>
  </si>
  <si>
    <t>4500188079-20</t>
  </si>
  <si>
    <t>0954000465</t>
  </si>
  <si>
    <t>4500188079-30</t>
  </si>
  <si>
    <t>1/27第三方自检</t>
  </si>
  <si>
    <t>2/5出</t>
  </si>
  <si>
    <t>0954000471</t>
  </si>
  <si>
    <t>4500188079-40</t>
  </si>
  <si>
    <t>2/4出</t>
  </si>
  <si>
    <t>0953485571</t>
  </si>
  <si>
    <t>4500188104-10</t>
  </si>
  <si>
    <t>2/12出</t>
  </si>
  <si>
    <t>0953485573</t>
  </si>
  <si>
    <t>4500188104-20</t>
  </si>
  <si>
    <t>0954000458</t>
  </si>
  <si>
    <t>4500188080-10</t>
  </si>
  <si>
    <t>4500188998-10</t>
  </si>
  <si>
    <t>客版5L说明书（英法德意荷含最新WEEE声明)翻4500166055</t>
  </si>
  <si>
    <t>12/15收到</t>
  </si>
  <si>
    <t>德语/法语callout/法国sorting label贴纸翻4500162774</t>
  </si>
  <si>
    <t>日期码格式：ZURU INC(BVI) 标准格式 日期：按实际生产日期
Packaging Info: 25251: 最新MA 1L-23L Warning UPC版包装+德语/法语callout/法国sorting label贴纸(翻PO#4500162774)+客版5L说明书（英法德意荷含最新WEEE声明)翻45001660
55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</si>
  <si>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4500189007-10</t>
  </si>
  <si>
    <r>
      <rPr>
        <sz val="14"/>
        <color rgb="FF0E2EF0"/>
        <rFont val="宋体"/>
        <charset val="0"/>
      </rPr>
      <t>2/5</t>
    </r>
    <r>
      <rPr>
        <sz val="10"/>
        <color rgb="FF0E2EF0"/>
        <rFont val="宋体"/>
        <charset val="0"/>
      </rPr>
      <t>出</t>
    </r>
  </si>
  <si>
    <t>CORPORACION EL ROSADO S.A. 9</t>
  </si>
  <si>
    <t>厄瓜多尔</t>
  </si>
  <si>
    <t>2025-4911</t>
  </si>
  <si>
    <t>4500188900-50</t>
  </si>
  <si>
    <t>客版西语说明书 4500171253</t>
  </si>
  <si>
    <t>2/9出</t>
  </si>
  <si>
    <t>1/4收到</t>
  </si>
  <si>
    <t>1/8-进口商贴纸</t>
  </si>
  <si>
    <t>5252,,MA 1L+多语 warming UPC包装</t>
  </si>
  <si>
    <t>日期码格式：ZURU INC(BVI) 标准格式 日期：按实际生产日期
Packaging Info: 
25252,,MA 1L+多语 warming UPC包装+客版西语说明书+进口商贴纸,,
Remark:
25252,,3PCS AAA BATTERIES(INCLUDED),,</t>
  </si>
  <si>
    <t>DISTRIBUIDORA COMERCIAL DEL NORTE</t>
  </si>
  <si>
    <t>2025-4892</t>
  </si>
  <si>
    <t>4500190081-60</t>
  </si>
  <si>
    <t>客版西语说明书翻4500171253</t>
  </si>
  <si>
    <t>1/9-进口商贴纸</t>
  </si>
  <si>
    <t>1.优先多语 MA UPC或者3L/5L MA EAN 包装</t>
  </si>
  <si>
    <t>日期码格式：ZURU INC(BVI) 标准格式 日期：按实际生产日期
Packaging Info: 1.优先多语 MA UPC或者3L/5L MA EAN 包装+进口商贴纸
2.请确保包装上的条形码是UPC，如果是babyUPC、需要用mother UPC覆盖，如有不一致，请及时提出。谢谢!
Remark: 
#25252:MA 1L+多语 warming UPC包装+客版西语说明书+进口商贴纸;3PCS AAA BATTERIES(INCLUDED)</t>
  </si>
  <si>
    <t>0954000463</t>
  </si>
  <si>
    <t>4500188098-10</t>
  </si>
  <si>
    <t>2/5第三方自检</t>
  </si>
  <si>
    <t>2/6出</t>
  </si>
  <si>
    <t>箱唛翻4500180568</t>
  </si>
  <si>
    <t>1/21--RFID 贴纸</t>
  </si>
  <si>
    <t>25251：最新扶正ZURU LOGO客版彩盒（客版UPC）1L+23L警告语</t>
  </si>
  <si>
    <t>0954000492</t>
  </si>
  <si>
    <t>4500188098-20</t>
  </si>
  <si>
    <t>0954000469</t>
  </si>
  <si>
    <t>4500188084-10</t>
  </si>
  <si>
    <t>2/10 第三方自检</t>
  </si>
  <si>
    <t>0954000480</t>
  </si>
  <si>
    <t>4500188084-20</t>
  </si>
  <si>
    <t>3/5出</t>
  </si>
  <si>
    <t>0954000496</t>
  </si>
  <si>
    <t>4500188084-30</t>
  </si>
  <si>
    <t>0954000497</t>
  </si>
  <si>
    <t>4500188084-40</t>
  </si>
  <si>
    <t>4500184187-20</t>
  </si>
  <si>
    <t>1/5-客供价格贴纸</t>
  </si>
  <si>
    <t>4500184178-20</t>
  </si>
  <si>
    <t>1/13-客供价格贴纸</t>
  </si>
  <si>
    <t>4500184178-40</t>
  </si>
  <si>
    <t>4500184178-60</t>
  </si>
  <si>
    <t>4500184178-80</t>
  </si>
  <si>
    <t>0954000489</t>
  </si>
  <si>
    <t>4500188085-10</t>
  </si>
  <si>
    <t>0954000464</t>
  </si>
  <si>
    <t>4500190749-10</t>
  </si>
  <si>
    <t>3/6第三方</t>
  </si>
  <si>
    <t>日期码格式：DGYYYYMMDD(日期避开周末和法定节假日) 日期：按实际生产日期
Packaging Info: 包装/箱唛翻单：4500181695（箱唛仅更改对应订单的WMPO即可）
1.包装方式：
25251：最新扶正ZURU LOGO客版彩盒（客版UPC）1L+23L警告语 + MA D版1L说明书
Remark: 2. 外箱四面印刷青色RFID箱唛
主唛左前下角印刷艾利贴纸替代标箱唛(ITF-14格式)，条码只印刷一面。
主唛右下角加印 MADE IN CHINA以及ZURU LOGO
3. WM#25251 NEW UPC：193052056092
4. 2PCS/CTN, Include 3pcs AAA carbon batteries;
5.此单需要验货，请自行多备包装物料。
6.在产品上和包装上要有日期码、MADE IN CHINA和ZURU字样。
7.此批单都为散箱出货
8.每PCS要加RFID 贴纸，严格按照我们提供的位置图，不可擅自调整位置，贴纸也不可有任何破损或折坏，不可淋湿（如缺数请及时告知）</t>
  </si>
  <si>
    <t>0954000466</t>
  </si>
  <si>
    <t>4500190751-10</t>
  </si>
  <si>
    <t>3/11第三方</t>
  </si>
  <si>
    <t>0954000475</t>
  </si>
  <si>
    <t>4500190751-20</t>
  </si>
  <si>
    <t>0954000493</t>
  </si>
  <si>
    <t>4500190751-30</t>
  </si>
  <si>
    <t>0954000467</t>
  </si>
  <si>
    <t>4500190754-10</t>
  </si>
  <si>
    <t>3/17第三方</t>
  </si>
  <si>
    <t>0954000490</t>
  </si>
  <si>
    <t>4500190754-20</t>
  </si>
  <si>
    <t>0954000494</t>
  </si>
  <si>
    <t>4500190754-30</t>
  </si>
  <si>
    <t>ZUR-F251126-01</t>
  </si>
  <si>
    <t>4500190752-110</t>
  </si>
  <si>
    <t>3/13出</t>
  </si>
  <si>
    <t>1/7收到</t>
  </si>
  <si>
    <t>优先1L PKG</t>
  </si>
  <si>
    <t xml:space="preserve">日期码格式：ZURU INC(BVI) 标准格式 日期：按实际生产日期
Packaging Info: MA PKG , 优先1L PKG
Remark: </t>
  </si>
  <si>
    <t>4500192994-20</t>
  </si>
  <si>
    <t>2/3收到</t>
  </si>
  <si>
    <t>欠客供价格贴纸</t>
  </si>
  <si>
    <t>ZURU MA UPC 最新版本包装</t>
  </si>
  <si>
    <t>日期码格式：ZURU INC(BVI) 标准格式 日期：按实际生产日期
Packaging Info: 1.ZURU MA UPC 最新版本包装 + 客供价格贴纸，出口美国 , 优先1L，可接受多语 。
Remark: 1.ZURU MA UPC 最新版本包装 + 客供价格贴纸，出口美国 , 优先1L，可接受多语 。
2.价格贴纸位于包装正面右下角，不挡住重要信息即可，可适当调整，价格贴纸由跟单提供。
3.标准日期码格式，产品和包装必须有日期码 。
4.同个产品同个货期不可出现不同的包装。
5. 跟单提供ROSS/DD's 箱唛模版和资料，工厂根据实际外箱尺寸，重量排版箱唛来确认。
6.所有产品和包装须符合华盛顿州及俄勒冈州 CHCC/ HPCCCH测试要求。</t>
  </si>
  <si>
    <t>0954000470</t>
  </si>
  <si>
    <t>4500190755-10</t>
  </si>
  <si>
    <t>3/27第三方</t>
  </si>
  <si>
    <t>包装翻单：4500181695</t>
  </si>
  <si>
    <t>0954000476</t>
  </si>
  <si>
    <t>4500190755-20</t>
  </si>
  <si>
    <t>CARREFOUR REUNION</t>
  </si>
  <si>
    <t>留尼汪</t>
  </si>
  <si>
    <t>48STY26REC50083</t>
  </si>
  <si>
    <t>4500181092-10</t>
  </si>
  <si>
    <t>EAN条码贴纸+法国环保logo贴纸（翻PO#4500144921), 客版说明书(EN/FR/RO/AR 含WEEE_带电池走货 说明)- 翻PO#4500179895</t>
  </si>
  <si>
    <t>25253： MA E_1L-23L彩卡</t>
  </si>
  <si>
    <t>日期码格式：ZURU INC(BVI) 标准格式 日期：按实际生产日期
Packaging Info: 25253： MA E_1L-23L彩卡+EAN条码贴纸+法国环保logo贴纸（翻PO#4500144921), 客版说明书(EN/FR/RO/AR 含WEEE_带电池走货 说明)- 翻PO#4500179895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
7. 客人系统外箱尺寸: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
7. 客人系统外箱尺寸: TY157840 36830 67.7*49.1*32.6CM
8.所有出往欧洲市场订单的电子产品需增加一张WEEE声明说明书，区分带电池和不带电池版本, 如已做客版说明书可忽略此要求。
8.所有出往欧洲市场订单的电子产品需增加一张WEEE声明说明书，区分带电池和不带电池版本, 如已做客版说明书可忽略此要求。</t>
  </si>
  <si>
    <t>2026-0134</t>
  </si>
  <si>
    <t>4500193055-10</t>
  </si>
  <si>
    <t>欠</t>
  </si>
  <si>
    <t>欠进口商贴纸</t>
  </si>
  <si>
    <t>日期码格式：ZURU INC(BVI) 标准格式 日期：按实际生产日期
Packaging Info: 1.优先多语 MA UPC或者3L/5L MA EAN 包装+进口商贴纸
2.请确保包装上的条形码是UPC，如果是babyUPC、需要用mother UPC覆盖，如有不一致，请及时提出。谢谢!
25251 MA 多语UPC包装+进口商贴纸+箱唛
Remark: 25251 3PCS AAA BATTERIES(INCLUDED)</t>
  </si>
  <si>
    <t>4500194379-90</t>
  </si>
  <si>
    <t>S001-ROBO ALIVE-WATER ACTIVATED-SERIES 1-SWIMMING FISH-OPEN BOX-12PCS/CTN</t>
  </si>
  <si>
    <t>日期码格式：标准格式 日期：按实际生产日期
92125 MA 多语EAN版本+UPC贴纸193052083951
77731 英法客版铜版纸，upc 193052085115, MA 2L 收缩膜 多语多明书
25251 英法客版包装 UPC 845218016418 翻单4500166055
25252 客版英法彩盒和说明书。UPC号码845218016425
25253 英法客版 UPC 845218016432，彩盒翻单4500158924，说明书翻单4500166055
7153 英法客版包装 翻单4500131680， 7149 UPC193052033499 7150UPC 193052033406 MA 多语说明书
92119 无硼版本 MA 3L B 版收缩膜 +UPC 贴纸 UPC 193052078391， B 版5L 收藏指南
9258 无硼版本 MA 3L B 版收缩膜 UPC 5L多语言收藏指南193052037640
9296 无硼版本 MA 3L 收缩膜+ 多语说明书 ， UPC 193052057129
9298 无硼版本 MA C 版3L 收缩膜 +UPC 贴纸 UPC 193052057426， B 版5L 收藏指南
9548 无硼版本 MA D 版本 5L 包装+D 版本 5L 收藏指南 +UPC 贴纸 UPC 193052064196
出加拿大
有客供价格贴
每行对应不同的客户PO，唛头要一一对应， 放唛头时跟单会提供清单
Zuru验货.日期跟踪码：产品外包装及产品本身都必须有日期跟踪码，ZURU标准格式
日期码</t>
  </si>
  <si>
    <t>Katrina Xie</t>
  </si>
  <si>
    <t>4500194379-100</t>
  </si>
  <si>
    <t>S001-ROBO ALIVE-WATER ACTIVATED-SERIES 1-SWIMMING CROCODILE-OPEN BOX-12PCS/CTN</t>
  </si>
  <si>
    <t>4500194379-110</t>
  </si>
  <si>
    <t>S001-ROBO ALIVE-WATER ACTIVATED-SERIES 1-SWIMMING DUCK-OPEN BOX-12PCS/CTN</t>
  </si>
  <si>
    <t>4500194379-200</t>
  </si>
  <si>
    <t>4500194379-210</t>
  </si>
  <si>
    <t>4500194379-220</t>
  </si>
  <si>
    <t>Total:</t>
  </si>
  <si>
    <r>
      <rPr>
        <sz val="14"/>
        <rFont val="宋体"/>
        <charset val="0"/>
      </rPr>
      <t>19</t>
    </r>
    <r>
      <rPr>
        <sz val="14"/>
        <rFont val="宋体"/>
        <charset val="134"/>
      </rPr>
      <t>年未走货数量</t>
    </r>
  </si>
  <si>
    <t xml:space="preserve"> </t>
  </si>
  <si>
    <t>.</t>
  </si>
  <si>
    <r>
      <rPr>
        <b/>
        <sz val="12"/>
        <rFont val="宋体"/>
        <charset val="0"/>
        <scheme val="minor"/>
      </rPr>
      <t xml:space="preserve">ZURU  Baby shark playset </t>
    </r>
    <r>
      <rPr>
        <b/>
        <sz val="12"/>
        <rFont val="宋体"/>
        <charset val="134"/>
        <scheme val="minor"/>
      </rPr>
      <t>滑道鲨鱼生产排期表</t>
    </r>
    <r>
      <rPr>
        <b/>
        <sz val="12"/>
        <rFont val="宋体"/>
        <charset val="0"/>
        <scheme val="minor"/>
      </rPr>
      <t xml:space="preserve"> #25291</t>
    </r>
  </si>
  <si>
    <t>7175A</t>
  </si>
  <si>
    <t>7175B</t>
  </si>
  <si>
    <r>
      <rPr>
        <b/>
        <sz val="12"/>
        <rFont val="宋体"/>
        <charset val="134"/>
        <scheme val="minor"/>
      </rPr>
      <t>第三方客户</t>
    </r>
    <r>
      <rPr>
        <b/>
        <sz val="12"/>
        <rFont val="宋体"/>
        <charset val="0"/>
        <scheme val="minor"/>
      </rPr>
      <t xml:space="preserve">
 PO NO#</t>
    </r>
  </si>
  <si>
    <t>SKU</t>
  </si>
  <si>
    <r>
      <rPr>
        <b/>
        <sz val="12"/>
        <rFont val="宋体"/>
        <charset val="0"/>
        <scheme val="minor"/>
      </rPr>
      <t>PO</t>
    </r>
    <r>
      <rPr>
        <b/>
        <sz val="12"/>
        <rFont val="宋体"/>
        <charset val="134"/>
        <scheme val="minor"/>
      </rPr>
      <t>数量</t>
    </r>
    <r>
      <rPr>
        <b/>
        <sz val="12"/>
        <rFont val="宋体"/>
        <charset val="0"/>
        <scheme val="minor"/>
      </rPr>
      <t xml:space="preserve">
(pcs)</t>
    </r>
  </si>
  <si>
    <r>
      <rPr>
        <b/>
        <sz val="12"/>
        <rFont val="宋体"/>
        <charset val="134"/>
        <scheme val="minor"/>
      </rPr>
      <t>外箱装箱数量</t>
    </r>
    <r>
      <rPr>
        <b/>
        <sz val="12"/>
        <rFont val="宋体"/>
        <charset val="0"/>
        <scheme val="minor"/>
      </rPr>
      <t>(pcs)</t>
    </r>
  </si>
  <si>
    <r>
      <rPr>
        <b/>
        <sz val="12"/>
        <rFont val="宋体"/>
        <charset val="0"/>
        <scheme val="minor"/>
      </rPr>
      <t>ZURU</t>
    </r>
    <r>
      <rPr>
        <b/>
        <sz val="12"/>
        <rFont val="宋体"/>
        <charset val="134"/>
        <scheme val="minor"/>
      </rPr>
      <t>确认走货日期</t>
    </r>
  </si>
  <si>
    <r>
      <rPr>
        <b/>
        <sz val="12"/>
        <rFont val="宋体"/>
        <charset val="134"/>
        <scheme val="minor"/>
      </rPr>
      <t>箱唛资料</t>
    </r>
    <r>
      <rPr>
        <b/>
        <sz val="12"/>
        <rFont val="宋体"/>
        <charset val="0"/>
        <scheme val="minor"/>
      </rPr>
      <t>(收到日期)</t>
    </r>
  </si>
  <si>
    <r>
      <rPr>
        <b/>
        <sz val="12"/>
        <rFont val="宋体"/>
        <charset val="134"/>
        <scheme val="minor"/>
      </rPr>
      <t>客供贴纸</t>
    </r>
    <r>
      <rPr>
        <b/>
        <sz val="12"/>
        <rFont val="宋体"/>
        <charset val="0"/>
        <scheme val="minor"/>
      </rPr>
      <t>AI(收到日期)</t>
    </r>
  </si>
  <si>
    <r>
      <rPr>
        <b/>
        <sz val="12"/>
        <rFont val="宋体"/>
        <charset val="0"/>
        <scheme val="minor"/>
      </rPr>
      <t xml:space="preserve">ZURU </t>
    </r>
    <r>
      <rPr>
        <b/>
        <sz val="12"/>
        <rFont val="宋体"/>
        <charset val="134"/>
        <scheme val="minor"/>
      </rPr>
      <t>跟单</t>
    </r>
  </si>
  <si>
    <r>
      <rPr>
        <b/>
        <sz val="12"/>
        <rFont val="宋体"/>
        <charset val="134"/>
        <scheme val="minor"/>
      </rPr>
      <t>单价</t>
    </r>
    <r>
      <rPr>
        <b/>
        <sz val="12"/>
        <rFont val="宋体"/>
        <charset val="0"/>
        <scheme val="minor"/>
      </rPr>
      <t>USD</t>
    </r>
  </si>
  <si>
    <t>金额USD</t>
  </si>
  <si>
    <t>贴纸情况</t>
  </si>
  <si>
    <t>黄色小鲨鱼</t>
  </si>
  <si>
    <t>蓝色小鲨鱼</t>
  </si>
  <si>
    <t>粉色小鲨鱼</t>
  </si>
  <si>
    <t>2023-MA-1L彩盒</t>
  </si>
  <si>
    <t>2023-MA-3L彩盒</t>
  </si>
  <si>
    <r>
      <rPr>
        <b/>
        <sz val="12"/>
        <rFont val="宋体"/>
        <charset val="0"/>
        <scheme val="minor"/>
      </rPr>
      <t>2023-MA-9L说明书</t>
    </r>
    <r>
      <rPr>
        <b/>
        <sz val="12"/>
        <color rgb="FFFF0000"/>
        <rFont val="宋体"/>
        <charset val="0"/>
        <scheme val="minor"/>
      </rPr>
      <t>(7163/7175/7166)共用</t>
    </r>
  </si>
  <si>
    <t>MA 1L-3L (共用PDQ）（2023新）</t>
  </si>
  <si>
    <t>MA 1L-3L (共用PDQ）（2025新）</t>
  </si>
  <si>
    <t>客版彩盒</t>
  </si>
  <si>
    <t>客版说明书</t>
  </si>
  <si>
    <r>
      <rPr>
        <b/>
        <sz val="12"/>
        <color indexed="10"/>
        <rFont val="宋体"/>
        <charset val="134"/>
        <scheme val="minor"/>
      </rPr>
      <t>客版</t>
    </r>
    <r>
      <rPr>
        <b/>
        <sz val="12"/>
        <color indexed="10"/>
        <rFont val="宋体"/>
        <charset val="0"/>
        <scheme val="minor"/>
      </rPr>
      <t>PDQ</t>
    </r>
  </si>
  <si>
    <t>WM客版彩盒</t>
  </si>
  <si>
    <r>
      <rPr>
        <sz val="12"/>
        <rFont val="宋体"/>
        <charset val="0"/>
        <scheme val="minor"/>
      </rPr>
      <t xml:space="preserve">MA 1语彩盒
</t>
    </r>
    <r>
      <rPr>
        <sz val="12"/>
        <color rgb="FFFF0000"/>
        <rFont val="宋体"/>
        <charset val="0"/>
        <scheme val="minor"/>
      </rPr>
      <t>B版本</t>
    </r>
  </si>
  <si>
    <r>
      <rPr>
        <sz val="12"/>
        <rFont val="宋体"/>
        <charset val="0"/>
        <scheme val="minor"/>
      </rPr>
      <t xml:space="preserve">MA 3语彩盒
</t>
    </r>
    <r>
      <rPr>
        <sz val="12"/>
        <color rgb="FFFF0000"/>
        <rFont val="宋体"/>
        <charset val="0"/>
        <scheme val="minor"/>
      </rPr>
      <t>B版本</t>
    </r>
  </si>
  <si>
    <r>
      <rPr>
        <sz val="12"/>
        <rFont val="宋体"/>
        <charset val="0"/>
        <scheme val="minor"/>
      </rPr>
      <t>PDQ-</t>
    </r>
    <r>
      <rPr>
        <sz val="12"/>
        <color rgb="FFFF0000"/>
        <rFont val="宋体"/>
        <charset val="0"/>
        <scheme val="minor"/>
      </rPr>
      <t>7175/7166共用</t>
    </r>
  </si>
  <si>
    <t>CMS FAMOUS TOYS</t>
  </si>
  <si>
    <t>PO0000475</t>
  </si>
  <si>
    <t>4500151018-50</t>
  </si>
  <si>
    <t>7163-2023-S003-3L-V1</t>
  </si>
  <si>
    <t>7163-2023-S003</t>
  </si>
  <si>
    <t>小鲨鱼</t>
  </si>
  <si>
    <t>PASS</t>
  </si>
  <si>
    <t>11/25-UPC 贴纸</t>
  </si>
  <si>
    <t>7163 MA 多语版包装</t>
  </si>
  <si>
    <t>日期码格式： 标准格式 日期：按实际生产日期
Packaging Info:
7163 MA 多语版包装+UPC 贴纸。UPC号码193052062604
Remark: 出加拿大
每款产品都需要加进口商贴纸
Zuru验货.日期跟踪码：产品外包装及产品本身都必须有日期跟踪码，ZURU标准格式日期码</t>
  </si>
  <si>
    <t>88842-1.2</t>
  </si>
  <si>
    <t xml:space="preserve">OK </t>
  </si>
  <si>
    <t>Amazon CA (Vendor Center)</t>
  </si>
  <si>
    <t>222PB6UC</t>
  </si>
  <si>
    <t>4500150978-160</t>
  </si>
  <si>
    <t>7166-2023-S002-V1-3L</t>
  </si>
  <si>
    <t>7166-2023-S002</t>
  </si>
  <si>
    <t>小鲨鱼3PK</t>
  </si>
  <si>
    <t>1/1-1/7出</t>
  </si>
  <si>
    <t>11/12收到</t>
  </si>
  <si>
    <t>2024/11/25+UPC贴纸+外箱贴</t>
  </si>
  <si>
    <t>7166 MA 3L UPC版本</t>
  </si>
  <si>
    <t>日期码格式：ZURU INC(BVI) 标准格式 日期：按实际生产日期
Packaging Info: 出口加拿大，包装需要至少2/3L UPC版，无硼版本
#7166 MA 3L 加UPC贴纸，UPC贴纸资料翻单4500148503.。需要加一张客供防伪帖纸，贴纸跟单提供。与Amazon US 合并订料。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</si>
  <si>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Kelly/Mia</t>
  </si>
  <si>
    <t>88919-1.7</t>
  </si>
  <si>
    <t xml:space="preserve">ok </t>
  </si>
  <si>
    <t xml:space="preserve"> 3HLAV7WC</t>
  </si>
  <si>
    <t>12/20-客供防伪帖纸+12/20外箱贴+UPC贴纸翻4500148503</t>
  </si>
  <si>
    <t>日期码格式： 标准格式 日期：按实际生产日期
Packaging Info:#7166 MA 3L 加UPC贴纸，UPC贴纸资料翻单4500148503.。需要加一张客供防伪帖纸，贴纸跟单提供。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。如果贴错或损坏任何一张，都会导致全部都错，千万要注意！
SSCC Label 必须贴在外箱正面的正中间位置（贴一面即可），并且贴纸离外箱边距必须至少3cm(可以覆盖Logo&lt;(&gt;&amp;&lt;)&gt;箱唛)，否则会影响到客户那边仓库的扫描识别。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</si>
  <si>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6JHFI1AV</t>
  </si>
  <si>
    <t>4500152657-20</t>
  </si>
  <si>
    <t>3OLDBHZT</t>
  </si>
  <si>
    <t>4500152439-20</t>
  </si>
  <si>
    <t>日期码格式： 标准格式 日期：按实际生产日期
Packaging Info: #7166：MA 3L 加UPC贴纸，UPC贴纸资料翻单4500148503.。需要加一张客供防伪帖纸，贴纸跟单提供。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</si>
  <si>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94019-1.13</t>
  </si>
  <si>
    <t>2SEV5TYK</t>
  </si>
  <si>
    <t>4500152544-50</t>
  </si>
  <si>
    <t>1/16-1/21出</t>
  </si>
  <si>
    <t>日期码格式：ZURU INC(BVI) 标准格式 日期：按实际生产日期
Packaging Info: 出口加拿大，包装需要至少2/3L UPC版，无硼版本。
#7166 MA 3L 加UPC贴纸，UPC贴纸资料翻单4500148503。需要加一张客供防伪帖纸，贴纸跟单提供。与Amazon US 合并订料。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</si>
  <si>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94134-1.21</t>
  </si>
  <si>
    <t>5E1J4Q8W</t>
  </si>
  <si>
    <t>4500152544-100</t>
  </si>
  <si>
    <t>ACADEMY LTD</t>
  </si>
  <si>
    <t>4500145922-20</t>
  </si>
  <si>
    <t>7163TQ1-2023-S001-V1</t>
  </si>
  <si>
    <t>7163TQ1-2023-S001</t>
  </si>
  <si>
    <t>12/25收到</t>
  </si>
  <si>
    <t>12/25-UCC外箱贴纸</t>
  </si>
  <si>
    <t>MA UPC 版本包装</t>
  </si>
  <si>
    <t>日期码格式：ZURU INC(BVI) 标准格式 日期：按实际生产日期
Packaging Info:#7163TQ1: MA UPC 版本包装; UPC#193052062604; 3PCS LR44 batteries;(included); 3 assortment
Remark: 2 .外箱正唛的右下角需贴一个UCC贴纸（4x6inch,距离右边和底边2inch,UCC贴纸为流水号的，每一箱都不一样。
3. 请按期完货，延期有罚金。
4. 我司验货即可。
5. 产品和包装上有tracking code信息，格式为ZURU常规。</t>
  </si>
  <si>
    <t>94236-2.13</t>
  </si>
  <si>
    <t>4500145919-20</t>
  </si>
  <si>
    <t>2/13-2/15出</t>
  </si>
  <si>
    <t>94241-2.14</t>
  </si>
  <si>
    <t>4500145925-20</t>
  </si>
  <si>
    <t>94264-2.17</t>
  </si>
  <si>
    <t>Dirk Rossmann GmbH</t>
  </si>
  <si>
    <t>4500153297-10</t>
  </si>
  <si>
    <t>7163-2023-S003-V1-1</t>
  </si>
  <si>
    <t>2/21第三方</t>
  </si>
  <si>
    <t>产品电池盖需要添加ZURU FRANCE地址字唛+1/15收到文档</t>
  </si>
  <si>
    <t>客版彩盒+产品电池盖需要添加ZURU FRANCE地址字唛+客版说明书</t>
  </si>
  <si>
    <t>日期码格式：ZURU INC(BVI) 标准格式 日期：按实际生产日期
Packaging Info: 客版彩盒+产品电池盖需要添加ZURU FRANCE地址字唛+客版说明书
Remark: 1. 出口欧洲，微塑料需符合法规
 2. 所有包装材料都需要用PET材质。
 3. 外箱上下需加保护卡，以防开箱时产品被划破。（保护卡需要时整面）
 4. 此单在出货前4周提供完整的3套大货样品给Rossmann德国客人.请备额外物料。
 5. 此单需要第三方验货，验货时间为完货后第二天，验货OK待客人放货后才能安排走货。
 6. 此单出德国走散货，请知悉。
 7. 每箱需要放一包干燥剂（不能是silicon) 。品牌SUPER DRY，规格：10g/pc 。
 8. 外箱需要是5层瓦楞纸，厚度在5-9mm"</t>
  </si>
  <si>
    <t>94339-2.25</t>
  </si>
  <si>
    <t>4500145932-20</t>
  </si>
  <si>
    <t>3/3出</t>
  </si>
  <si>
    <t>94417-3.3</t>
  </si>
  <si>
    <t>4500145929-20</t>
  </si>
  <si>
    <t>94416-3.3</t>
  </si>
  <si>
    <t>4500153261-20</t>
  </si>
  <si>
    <t>7163TQ1-2023-S001-V1-3L</t>
  </si>
  <si>
    <t>2/27第三方</t>
  </si>
  <si>
    <t>2/10收到 UPC 贴纸</t>
  </si>
  <si>
    <t>彩盒MA 3L</t>
  </si>
  <si>
    <t>日期码格式：ZURU INC(BVI) 标准格式 日期：按实际生产日期 
Packaging Info: 1. 出口加拿大市场
 #7163TQ1: 彩盒MA 3L + UPC 贴纸，PDQ MA 版本; UPC#193052062604; 3PCS LR44 batteries;(included)
Remark: 2. 需要第三方SGS验货，验货时间暂定2025/02/26，每款每色请备1PC完整带包装样品供验货人员参考。用完后若无损坏可以放回大货里。</t>
  </si>
  <si>
    <t>5EURH4TO</t>
  </si>
  <si>
    <t>4500155048-10</t>
  </si>
  <si>
    <t>收到SO</t>
  </si>
  <si>
    <t>1/13客供防伪帖纸+外箱贴纸</t>
  </si>
  <si>
    <t>日期码格式：ZURU INC(BVI) 标准格式 日期：按实际生产日期 
Packaging Info: #7166 MA 3L UPC版本。需要加一张客供防伪帖纸，贴纸跟单提供。
Remark: 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</si>
  <si>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Kelly Shen/Mia Pan</t>
  </si>
  <si>
    <t>94483-3.7</t>
  </si>
  <si>
    <t>5MKL1CPZ</t>
  </si>
  <si>
    <t>4500155020-20</t>
  </si>
  <si>
    <t>1/13客供防伪帖纸+外箱贴纸+UPC贴纸翻4500148503</t>
  </si>
  <si>
    <t>日期码格式：ZURU INC(BVI) 标准格式 日期：按实际生产日期 
Packaging Info: 
 #7166 MA 3L UPC版本。需要加一张客供防伪帖纸，贴纸跟单提供。
Remark: 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</si>
  <si>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94452-3.5</t>
  </si>
  <si>
    <t>4500145933-20</t>
  </si>
  <si>
    <t>3/17-3/19出</t>
  </si>
  <si>
    <t>ZB00070-3.28</t>
  </si>
  <si>
    <t>Miniso Depot CA Inc.</t>
  </si>
  <si>
    <t>Customer PO#
4341950649</t>
  </si>
  <si>
    <t>4500159501-20</t>
  </si>
  <si>
    <t>7163TQ1-2023-S002-V1</t>
  </si>
  <si>
    <t>7163TQ1-2023-S002</t>
  </si>
  <si>
    <t>4/25收到</t>
  </si>
  <si>
    <t>4/29-UPC 条码贴纸+外箱贴纸</t>
  </si>
  <si>
    <t>日期码格式：ZURU INC(BVI) 标准格式 日期：按实际生产日期
Packaging Info: 1. 包装方式：MA UPC 优先1L 最新包装，出口美国；
 2. 产品和包装上印刷tracking code信息，格式为ZURU常规.
Remark: 
 4. 外箱加贴一张外箱贴纸，贴纸箱正唛一面，位置不限，不遮挡箱唛内容即可，贴纸AW跟单提供，工厂自行采购。</t>
  </si>
  <si>
    <t>CUSTOMER PO#
4341950650</t>
  </si>
  <si>
    <t>4/29-UPC 条码贴纸</t>
  </si>
  <si>
    <t>日期码格式：ZURU INC(BVI) 标准格式 日期：按实际生产日期
Packaging Info: 1. 包装方式：MA UPC 优先1L 最新包装，出口美国；
 2. 产品和包装上印刷tracking code信息，格式为ZURU常规.
Remark: 3. #7163TQ1-2023-S002的PDQ上需要贴一张UPC 条码贴纸,UPC显示：193052062604；贴纸AW和位置图跟单提供，工厂自行采购。
 4. 外箱加贴一张外箱贴纸，贴纸箱正唛一面，位置不限，不遮挡箱唛内容即可，贴纸AW跟单提供，工厂自行采购。</t>
  </si>
  <si>
    <t>4500162525-20</t>
  </si>
  <si>
    <t>4/3-UPC贴纸</t>
  </si>
  <si>
    <t>7163TQ1 MA 多语EAN</t>
  </si>
  <si>
    <t>日期码格式：ZURU INC(BVI) 标准格式 日期：按实际生产日期
Packaging Info: 
7163TQ1 MA 多语EAN+UPC贴纸， UPC号码193052062604
Remark: 出加拿大
Zuru验货.日期跟踪码：产品外包装及产品本身都必须有日期跟踪码，ZURU标准格式日期码。（箱唛日期码按跟单提供格式）</t>
  </si>
  <si>
    <t>Planet of Toys Ltd</t>
  </si>
  <si>
    <t>吉尔吉斯斯坦</t>
  </si>
  <si>
    <t>4500164616-110</t>
  </si>
  <si>
    <t>4/30-通用贴纸</t>
  </si>
  <si>
    <t>1L MA UPC 包装</t>
  </si>
  <si>
    <t>日期码格式：ZURU INC(BVI) 标准格式 日期：按实际生产日期
Packaging Info: 1L MA UPC 包装 + 通用贴纸 ， MA 说明书/指南/PDQ （如有）；
Remark: 标准配比</t>
  </si>
  <si>
    <t>4500164616-120</t>
  </si>
  <si>
    <t>7D6OB25V</t>
  </si>
  <si>
    <t>4500165380-10</t>
  </si>
  <si>
    <t>6/9-6/14出</t>
  </si>
  <si>
    <t>UPC贴纸翻4500148503+5/17-客供防伪帖纸</t>
  </si>
  <si>
    <t>#7166 MA 3L</t>
  </si>
  <si>
    <t>日期码格式：ZURU INC(BVI) 标准格式 日期：按实际生产日期
Packaging Info: #7166 MA 3L 加UPC贴纸，UPC贴纸资料翻单4500148503。需要加一张客供防伪帖纸，贴纸跟单提供。3L 彩卡 消耗PO#4500155812 取消的订单物料。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</si>
  <si>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Kelly Shen/Mia Pan/P</t>
  </si>
  <si>
    <t>SUOMEN OSUUSKAUPPOJEN KESKUSKUNTA</t>
  </si>
  <si>
    <t>4500161056-20</t>
  </si>
  <si>
    <t>5/8收到</t>
  </si>
  <si>
    <t>5/22-瑞典芬兰爱沙尼亚警告语/made in China和产品包含信息翻译成瑞典芬兰爱沙尼亚语/care@zuru.com邮箱地址贴纸+玩法和更换电池说明翻译成瑞典芬兰爱沙尼亚语做成黑白说明书+带干电池走货北欧六语通用黑白电池说明书翻4500161075</t>
  </si>
  <si>
    <t>7166: MA 3L+3L EAN彩卡</t>
  </si>
  <si>
    <t>日期码格式：ZURU INC(BVI) 标准格式 日期：按实际生产日期
Packaging Info:
2. 7166: MA 3L+3L EAN彩卡+瑞典芬兰爱沙尼亚警告语/made in China和产品包含信息翻译成瑞典芬兰爱沙尼亚语/care@zuru.com邮箱地址做成一张贴纸贴在彩卡上
+MA C9L说明书+一张玩法和更换电池说明翻译成瑞典芬兰爱沙尼亚语做成黑白说明书加在大货中+带干电池走货北欧六语通用黑白电池说明书（翻PO#4500161075)
Remark: *. 71152+15704UQ1 需要在6/11安排ITS第三方验货，请多备料
请在6/2之前各提供一套大货签板给我们签回供第三方验货用，签板必须跟大货完全一致，否则验货会不合格
*.71152+7166+15704UQ1+15733+15728新款: 请在6/2之前各提供两套大货样给我们寄给客人留底
*. 包装如含PVC,请改为PET并第一时间通知跟单
*. 产品/包装要求无硼无香，出欧洲，微塑料需合规。
*.带电池出货的产品所用到的电池需要符合欧洲电池新规(EU) 2023-1542
*.有胶袋的产品：要求产品的胶袋厚度要大于等于0.05mm
*.关于贴纸，如果贴纸位置图的包装版本与大货不一致，请工厂第一时间提前提出。跟单会重新调整确认是否更新贴纸或调整位置图
*.产品/包装不含PFAS成分
*.产品条码如下: 请先检查条码是否正确再安排做货，如有问题请告知
ZURU ITEM#&lt;(&gt;&amp;&lt;)&gt;EAN</t>
  </si>
  <si>
    <t>95518-7.1</t>
  </si>
  <si>
    <t>2PEFCZEJ</t>
  </si>
  <si>
    <t>4500167361-230</t>
  </si>
  <si>
    <t>UPC贴纸翻4500148503+6/11-客供防伪帖纸</t>
  </si>
  <si>
    <t>日期码格式：ZURU INC(BVI) 标准格式 日期：按实际生产日期
Packaging Info: 出口加拿大，包装需要至少2/3L UPC版，无硼版本。
#7166 MA 3L 加UPC贴纸，UPC贴纸资料翻单4500148503。需要加一张客供防伪帖纸，贴纸跟单提供。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</si>
  <si>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3CRZKD6M</t>
  </si>
  <si>
    <t>4500167361-240</t>
  </si>
  <si>
    <t>7Y62KSOR</t>
  </si>
  <si>
    <t>4500167361-250</t>
  </si>
  <si>
    <t xml:space="preserve"> Sirius Sales (PTY) Ltd</t>
  </si>
  <si>
    <t>4500166516-140</t>
  </si>
  <si>
    <t>MA UPC PKG(优先1L)</t>
  </si>
  <si>
    <t>日期码格式：ZURU INC(BVI) 标准格式 日期：按实际生产日期
Packaging Info: 1. MA UPC PKG(优先1L)
Remark:</t>
  </si>
  <si>
    <t>Lidl Hong Kong Limited-GB</t>
  </si>
  <si>
    <t>西班牙</t>
  </si>
  <si>
    <t>Ship to
CB5-OSES (TO
BCN)</t>
  </si>
  <si>
    <t>4500159874-40</t>
  </si>
  <si>
    <t>7163A-2023-S007-V1</t>
  </si>
  <si>
    <t>7163A-2023-S001</t>
  </si>
  <si>
    <t>小鲨鱼胶袋装</t>
  </si>
  <si>
    <t>5/30-FSC认证+上下保护卡</t>
  </si>
  <si>
    <t>5/21-胶袋条码贴纸</t>
  </si>
  <si>
    <t>ZURU FRANCE
 1/3, Rue d'Argenteuil 95210 SAINT-GRATIEN FRANCE.
 care@zuru.com</t>
  </si>
  <si>
    <t>日期码格式：ZURU INC(BVI) 标准格式 日期：按实际生产日期
Packaging Info: 7163： 客版彩盒+客版说明书(+WEEE 带电池走货 通用30L 说明书)
ship to CB5 和CB8 的订单（40-90行）： 需要要入包装后再加一个Polgbag+BABY GTIN Stciker (与彩盒上的一致）
电池盖需要印如下
ZURU FRANCE
1/3, Rue d'Argenteuil 95210 SAINT-GRATIEN FRANCE.
care@zuru.com
不同颜色鲨鱼的彩盒上面的条码不同
40-90行为单独一个颜色一箱 都需要入 Polybag + BABY GTIN Stciker
Blue BABY EAN : 4052916857670 -7163B- HG13558
Pink BABY EAN : 4052916857687 -7163D- HG13559
Yellow BABY EAN : 4052916857694 -7163A-HG13560
Remark: 1 产品带电池出货，电池需要符合欧洲标准；
2 客户可能会有抽板测试，
3 CB5，CB6 ，CB8的箱唛不相同，请参考具体的箱唛资料。
且各个国家外箱颜色，色号：鹿特丹 (黑色 2C)，備用產品Free of charge (黑色 2C)
4.外箱必须为FSC MIX坚固5层纸及再造纸材料造成，外箱上下必须各放上一张可遮盖全层面积的瓦楞纸板（至少450g/m2）以作开箱之保护。
箱唛上面箱规和重量与实际的箱唛箱规和重量差值不能超过3%。外箱上的条码需要确保能扫描。
外箱需做"工"字型封箱。外箱里面如果需要加拷贝纸或者保护卡，请提前通知跟单。
外箱需要是FSC MIX L纸箱厂 .
5. 产品，包装，外箱等所有包装上要打ZURU date code
6. 此单需要在兴信生产，需多备包材物料，客人每一款会抽50PCS的样品做产前和产中测试以及封版留底。客户不接受少出货。
验货分为：
0% 试产验货（LIDL QC)
30% 验货（LIDL QC)
50% 验货（LIDL QC)
100%验货（LIDL QC)
7. 货柜里面需放干燥剂，客户指定唯一品牌：Micro-Pak牌
45" 集装箱: 8KG Micro-Pak牌 (8條 x 每條1kg)，
40" HQ 集装箱: 7KG Micro-Pak牌 (7條 x 每條1kg)，
40" GP 集装箱: 6KG Micro-Pak牌(6條 x 每條1kg)，
20" GP 集装箱: 4KG Micro-Pak牌(4條x每條1kg)
装柜的时候需按箱号顺序装柜，即1号柜为1~500箱，2号柜为501~1000箱，3号柜为1001~1500箱。每个货柜里面可以不按外箱箱号的顺序大小进行排列。
8. 每个货柜柜尾需要加LOADING NET。
9. 此单出德国和欧洲，所有原材料和产品需满足德国和欧洲以及LIDL客人相关测试要求。
10. LIDL客人订单所有原材料/成品都需放置在雨禾室内仓库中，不能放于室外。</t>
  </si>
  <si>
    <t>Amy Xiao</t>
  </si>
  <si>
    <t>东莞包装</t>
  </si>
  <si>
    <t>4500159874-50</t>
  </si>
  <si>
    <t>7163B-2023-S007-V1</t>
  </si>
  <si>
    <t>7163B-2023-S001</t>
  </si>
  <si>
    <t>4500159874-60</t>
  </si>
  <si>
    <t>7163D-2023-S007-V1</t>
  </si>
  <si>
    <t>7163D-2023-S001</t>
  </si>
  <si>
    <t>德国/英国/西班牙</t>
  </si>
  <si>
    <t>SHIP TO CB8-
OSBE/NL/CZ/FR
/PL/SK (TO
RTM)</t>
  </si>
  <si>
    <t>4500159874-70</t>
  </si>
  <si>
    <t>4500159874-80</t>
  </si>
  <si>
    <t>4500159874-90</t>
  </si>
  <si>
    <t>Lidl Hong Kong Limited-ES</t>
  </si>
  <si>
    <t>Ship to
CB6-GB</t>
  </si>
  <si>
    <t>4500159874-20</t>
  </si>
  <si>
    <t>7163-2023-S007-V1</t>
  </si>
  <si>
    <t>7163-2023-S007</t>
  </si>
  <si>
    <t>小鲨鱼-干燥剂指定品牌</t>
  </si>
  <si>
    <t>来料抽查：6/23                                                                                                                                                                                     上产线时间 ：6/24号
30%抽查时间 ：6/26号
50%抽查时间 ：6/27号
100%抽查的时间 :7/3号</t>
  </si>
  <si>
    <t>日期码格式：ZURU INC(BVI) 标准格式 日期：按实际生产日期
Packaging Info: 7163： 客版彩盒+客版说明书(+WEEE 带电池走货 通用30L 说明书)
ship to CB5 和CB8 的订单（40-90行）： 需要要入包装后再加一个Polgbag+BABY GTIN Stciker (与彩盒上的一致）
电池盖需要印如下
ZURU FRANCE
1/3, Rue d'Argenteuil 95210 SAINT-GRATIEN FRANCE.
care@zuru.com
不同颜色鲨鱼的彩盒上面的条码不同
20 行的配比如下：
3pcs Blue BABY EAN : 4052916857670 -7163B- HG13558
3pcs Pink BABY EAN : 4052916857687 -7163D- HG13559
2pcs Yellow BABY EAN : 4052916857694 -7163A-HG13560
Remark: 1 产品带电池出货，电池需要符合欧洲标准；
2 客户可能会有抽板测试，
3 CB5，CB6 ，CB8的箱唛不相同，请参考具体的箱唛资料。
且各个国家外箱颜色，色号：鹿特丹 (黑色 2C)，備用產品Free of charge (黑色 2C)
4.外箱必须为FSC MIX坚固5层纸及再造纸材料造成，外箱上下必须各放上一张可遮盖全层面积的瓦楞纸板（至少450g/m2）以作开箱之保护。
箱唛上面箱规和重量与实际的箱唛箱规和重量差值不能超过3%。外箱上的条码需要确保能扫描。
外箱需做"工"字型封箱。外箱里面如果需要加拷贝纸或者保护卡，请提前通知跟单。
外箱需要是FSC MIX L纸箱厂 .
5. 产品，包装，外箱等所有包装上要打ZURU date code
6. 此单需要在兴信生产，需多备包材物料，客人每一款会抽50PCS的样品做产前和产中测试以及封版留底。客户不接受少出货。
验货分为：
0% 试产验货（LIDL QC)
30% 验货（LIDL QC)
50% 验货（LIDL QC)
100%验货（LIDL QC)
7. 货柜里面需放干燥剂，客户指定唯一品牌：Micro-Pak牌
45" 集装箱: 8KG Micro-Pak牌 (8條 x 每條1kg)，
40" HQ 集装箱: 7KG Micro-Pak牌 (7條 x 每條1kg)，
40" GP 集装箱: 6KG Micro-Pak牌(6條 x 每條1kg)，
20" GP 集装箱: 4KG Micro-Pak牌(4條x每條1kg)
装柜的时候需按箱号顺序装柜，即1号柜为1~500箱，2号柜为501~1000箱，3号柜为1001~1500箱。每个货柜里面可以不按外箱箱号的顺序大小进行排列。
8. 每个货柜柜尾需要加LOADING NET。
9. 此单出德国和欧洲，所有原材料和产品需满足德国和欧洲以及LIDL客人相关测试要求。
10. LIDL客人订单所有原材料/成品都需放置在雨禾室内仓库中，不能放于室外。</t>
  </si>
  <si>
    <t>4500168910-40</t>
  </si>
  <si>
    <t>7163TQ1-2023-S002-V1-3L</t>
  </si>
  <si>
    <t>外箱只需四面印Zurulogo，</t>
  </si>
  <si>
    <t>进口商贴纸+价标贴纸+说明书贴纸+Hu贴纸+ASN贴纸</t>
  </si>
  <si>
    <t>7163TQ1:MA 3L EAN包装</t>
  </si>
  <si>
    <t>日期码格式：ZURU INC(BVI) 标准格式 日期：按实际生产日期
Packaging Info:
7163TQ1:MA 3L EAN包装+MA 9L说明书+MA 3L PDQ+进口商贴纸+价标贴纸+说明书贴纸
1. 外箱只需四面印Zurulogo，再加2张贴纸，1张Hu贴纸（条码贴,尺寸103*51mm），1张ASN贴纸（尺寸6.5cm*6.3cm,潘通色号2597C），都贴于侧唛，只需贴1面(HU
贴纸和ASN贴纸客供）
2. 一个外箱对应一个HU’S(条形码),不可以混条码包装
3.含有说明书需要增加说明书贴纸
4.价格贴纸覆盖原有包装的条形码
Remark:
7163TQ1: 3 assortment,3PCS LR44 BATTERIES(INCLUDED)
此单有监柜要求，需要每款多准备一套完整物料，用于监柜，不可以随大货走</t>
  </si>
  <si>
    <t>B0CCGTNC3D</t>
  </si>
  <si>
    <t>4500168205-10</t>
  </si>
  <si>
    <t>5/29收到</t>
  </si>
  <si>
    <t>UPC贴纸翻单4500148503+6/18客供防伪帖纸，</t>
  </si>
  <si>
    <t>7166 MA 3L 加UPC贴纸</t>
  </si>
  <si>
    <t>95673-7.17</t>
  </si>
  <si>
    <t>ZURU LLC</t>
  </si>
  <si>
    <t>4500169495-170</t>
  </si>
  <si>
    <t>7166-2023-S002-MTS</t>
  </si>
  <si>
    <t>6/10收到</t>
  </si>
  <si>
    <t>7/9-客供防伪帖纸</t>
  </si>
  <si>
    <t>日期码格式：ZURU INC(BVI) 标准格式 日期：按实际生产日期
Packaging Info: 
#7166 MA 3L UPC版本。需要加一张客供防伪帖纸，贴纸跟单提供。
Remark: 1.Amazon domestic 订单。出口美国。外箱最长边不能超过25" （超过了，case pack只能为1），不符合要求的大货，一律不接受。
2.无第三方验货/测试要求。
3.日期码使用ZURU标准版本。
4.邮包盒要印刷日期码。</t>
  </si>
  <si>
    <t>ZB01104R1-8.6</t>
  </si>
  <si>
    <t>Andrés Dauhajre SA (LA NOVIA DE VIL</t>
  </si>
  <si>
    <t>多米尼加共和国</t>
  </si>
  <si>
    <t>4500160544-40</t>
  </si>
  <si>
    <t>6/11收到</t>
  </si>
  <si>
    <t>3/31-UPC贴纸</t>
  </si>
  <si>
    <t>MA 3L EAN包装</t>
  </si>
  <si>
    <t>日期码格式：ZURU INC(BVI) 标准格式 日期：按实际生产日期
Packaging Info:
7163TQ1：MA 3L EAN包装+UPC贴纸+MA PDQ包装+MA 多语收藏指南+箱唛
Remark:</t>
  </si>
  <si>
    <t>95728-7.22</t>
  </si>
  <si>
    <t>AMAZON CA (VENDOR CENTER)</t>
  </si>
  <si>
    <t>77QW6TOE</t>
  </si>
  <si>
    <t>4500169971-100</t>
  </si>
  <si>
    <t>6/13收到</t>
  </si>
  <si>
    <t>UPC贴纸翻4500148503+7/9-客供防伪帖纸+7/11外箱贴纸</t>
  </si>
  <si>
    <t>#7166 MA 3L 加UPC贴纸</t>
  </si>
  <si>
    <t>日期码格式：ZURU INC(BVI) 标准格式 日期：按实际生产日期
Packaging Info: 
#7166 MA 3L 加UPC贴纸，UPC贴纸资料翻单4500148503。需要加一张客供防伪帖纸，贴纸跟单提供。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</si>
  <si>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6UABWYFZ</t>
  </si>
  <si>
    <t>4500169971-110</t>
  </si>
  <si>
    <t>5SOY56BN</t>
  </si>
  <si>
    <t>4500169971-120</t>
  </si>
  <si>
    <t>5YPGJDMJ</t>
  </si>
  <si>
    <t>4500169971-130</t>
  </si>
  <si>
    <t>8C5EI7LQ</t>
  </si>
  <si>
    <t>4500169971-140</t>
  </si>
  <si>
    <t>4OEKYI5B</t>
  </si>
  <si>
    <t>4500169971-150</t>
  </si>
  <si>
    <t>3B9C3X9T</t>
  </si>
  <si>
    <t>4500170137-130</t>
  </si>
  <si>
    <t>6/16收到</t>
  </si>
  <si>
    <t>UPC贴纸翻4500148503+7/9客供防伪帖纸+7/11外箱贴纸</t>
  </si>
  <si>
    <t>日期码格式：ZURU INC(BVI) 标准格式 日期：按实际生产日期
Packaging Info:
#7166 MA 3L 加UPC贴纸，UPC贴纸资料翻单4500148503。需要加一张客供防伪帖纸，贴纸跟单提供。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</si>
  <si>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2D13RWAM</t>
  </si>
  <si>
    <t>4500170137-140</t>
  </si>
  <si>
    <t>78OH3BVV</t>
  </si>
  <si>
    <t>4500170137-150</t>
  </si>
  <si>
    <t>4G1XO7KI</t>
  </si>
  <si>
    <t>4500170137-160</t>
  </si>
  <si>
    <t>11NGUJCZ</t>
  </si>
  <si>
    <t>4500170137-170</t>
  </si>
  <si>
    <t>AMAZON.COM SERVICES LLC</t>
  </si>
  <si>
    <t>4GAN42YV</t>
  </si>
  <si>
    <t>4500168600-60</t>
  </si>
  <si>
    <t>5/30收到</t>
  </si>
  <si>
    <t>#7166 MA 3L UPC版</t>
  </si>
  <si>
    <t>日期码格式：ZURU INC(BVI) 标准格式 日期：按实际生产日期
Packaging Info:
#7166 MA 3L UPC版本。需要加一张客供防伪帖纸，贴纸跟单提供。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</si>
  <si>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3THD3DBC</t>
  </si>
  <si>
    <t>4500168775-140</t>
  </si>
  <si>
    <t>8/7出</t>
  </si>
  <si>
    <t>6/3收到</t>
  </si>
  <si>
    <t>ZB01122-8.7</t>
  </si>
  <si>
    <t>41SCEYKI</t>
  </si>
  <si>
    <t>4500169031-30</t>
  </si>
  <si>
    <t>6/5收到</t>
  </si>
  <si>
    <t>日期码格式：ZURU INC(BVI) 标准格式 日期：按实际生产日期
Packaging Info:
7166 MA 3L 加UPC贴纸，UPC贴纸资料翻单4500152657.需要加一张客供防伪帖纸，贴纸跟单提供。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</si>
  <si>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ZB01037-8.4</t>
  </si>
  <si>
    <t>47STT6VE</t>
  </si>
  <si>
    <t>4500168994-160</t>
  </si>
  <si>
    <t>8/1出</t>
  </si>
  <si>
    <t>日期码格式：ZURU INC(BVI) 标准格式 日期：按实际生产日期
Packaging Info:
#7166 MA 3L 加UPC贴纸，UPC贴纸资料翻单4500152657。需要加一张客供防伪帖纸，贴纸跟单提供。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</si>
  <si>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AMIC TRADING (PTY) LTD</t>
  </si>
  <si>
    <t>6006-007765</t>
  </si>
  <si>
    <t>4500170860-30</t>
  </si>
  <si>
    <t>7166-2023-S002-V1</t>
  </si>
  <si>
    <t>进口商贴纸翻4500154694）</t>
  </si>
  <si>
    <t>nfo: MA PKG, 优先1L</t>
  </si>
  <si>
    <t>日期码格式：ZURU INC(BVI) 标准格式 日期：按实际生产日期
Packaging Info: MA PKG, 优先1L +1张进口商贴纸（通用进口商贴纸翻单4500154694）
#7151 进口商贴纸位置图翻单4500154694
Remark:</t>
  </si>
  <si>
    <t>4500171200-30</t>
  </si>
  <si>
    <t>客户可以接受3L彩盒</t>
  </si>
  <si>
    <t>TJX UK C/O TJX DISTRIBUTION LTD &amp; C</t>
  </si>
  <si>
    <t>4500175056-10</t>
  </si>
  <si>
    <t>7163-2023-S003-1L-V1</t>
  </si>
  <si>
    <t>箱唛更新内容</t>
  </si>
  <si>
    <t>7/25收到</t>
  </si>
  <si>
    <t>ZURU标准格式的30语带电池出货版本WEEE说明书+7/31-贴纸（含德语+荷兰语+波兰语警告语）</t>
  </si>
  <si>
    <t>7163: MA1L (1L warning) 最新UPC包装</t>
  </si>
  <si>
    <t>日期码格式：ZURU INC(BVI) 标准格式 日期：按实际生产日期
Packaging Info: SKU#7163: MA1L (3L warning) 最新UPC包装+ZURU标准格式的30语带电池出货版本WEEE说明书+1张贴纸（含德语+荷兰语+波兰语警告语）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订单每行对应客人不同的PO（客人PO号请参考PO最后一栏remark）；
6. 涉及到相关款式会有闪粉的或者微塑料的，请统一默认出无闪粉或者不含微塑料版本;
7. 外箱封箱必须是工字型封箱方式；"</t>
  </si>
  <si>
    <t>AaronXia</t>
  </si>
  <si>
    <t>TJX UK</t>
  </si>
  <si>
    <t>4500175035-10</t>
  </si>
  <si>
    <t>ZURU标准格式的30语带电池出货版本WEEE说明书+1张贴纸（含德语+荷兰语+波兰语警告语）</t>
  </si>
  <si>
    <t>日期码格式：ZURU INC(BVI) 标准格式 日期：按实际生产日期
Packaging Info: SKU#7163: MA1L (1L warning) 最新UPC包装+ZURU标准格式的30语带电池出货版本WEEE说明书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订单每行对应客人不同的PO（客人PO号请参考PO最后一栏remark）；
6. 涉及到相关款式会有闪粉的或者微塑料的，请统一默认出无闪粉或者不含微塑料版本;
7. 外箱封箱必须是工字型封箱方式；"</t>
  </si>
  <si>
    <t>4500174533-30</t>
  </si>
  <si>
    <t>1L/3L彩盒都可用，3L需要加贴UPC贴纸</t>
  </si>
  <si>
    <t>.ZURU最新MA UPC包装(优先1L)</t>
  </si>
  <si>
    <t>ZB01732-9.6</t>
  </si>
  <si>
    <t>6006-008172</t>
  </si>
  <si>
    <t>4500174099-60</t>
  </si>
  <si>
    <t>7/18收到</t>
  </si>
  <si>
    <t>进口商贴纸翻4500170860</t>
  </si>
  <si>
    <t>日期码格式：ZURU INC(BVI) 标准格式 日期：按实际生产日期
Packaging Info: MA PKG, 优先1L +1张进口商贴纸（通用进口商贴纸新稿，适用订单所有产品）
7166进口商贴纸位置图翻单4500170860
Remark: 此单Customer PO#6006-008172 PI#1100029505-1</t>
  </si>
  <si>
    <t>ZMPO250685</t>
  </si>
  <si>
    <t>Remark:大货最新版本/款号平均/请用大货标准箱装箱唛请参照邮件附件;备注： 收到样品订单后尽快安排 ，此订单麻烦在外箱上备注是海运订单/注意样板品质质量要求要高于大货品质质量 ，送货时必须要附带送货单(没有送货单和QC检验合格报告的仓库一律拒绝收货)，请知悉，谢谢！</t>
  </si>
  <si>
    <t>67BF3WHQ</t>
  </si>
  <si>
    <t>4500175579-10</t>
  </si>
  <si>
    <t>7/30收到</t>
  </si>
  <si>
    <t>UPC贴纸资料翻单4500152657+8/18-客供外箱贴纸+8/21-客供防伪帖纸</t>
  </si>
  <si>
    <t>日期码格式：ZURU INC(BVI) 标准格式 日期：按实际生产日期
Packaging Info: #7166 MA 3L 加UPC贴纸，UPC贴纸资料翻单4500152657.需要加一张客供防伪帖纸，贴纸跟单提供。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</si>
  <si>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ZB01641-9.2</t>
  </si>
  <si>
    <t>88XY3RGL</t>
  </si>
  <si>
    <t>4500175571-30</t>
  </si>
  <si>
    <t>9/5出</t>
  </si>
  <si>
    <t>ZB01704-9.5  ZB01716(REV1)-9.6</t>
  </si>
  <si>
    <t>6BX9PHKD</t>
  </si>
  <si>
    <t>4500175571-60</t>
  </si>
  <si>
    <t>ZB01704-9.5</t>
  </si>
  <si>
    <t>SINGLETON TRADING LTD</t>
  </si>
  <si>
    <t>对应客人PO#12
109(请忽略抬
头部分显示的1
2109-1)</t>
  </si>
  <si>
    <t>4500177103-10</t>
  </si>
  <si>
    <t>DG20250910</t>
  </si>
  <si>
    <t>8/21收到</t>
  </si>
  <si>
    <t>欧洲电子产品WEEE声明B版通用说明书(带电池)</t>
  </si>
  <si>
    <t>7163：MA-3L EAN配套包装</t>
  </si>
  <si>
    <t>日期码格式：ZURU INC(BVI) 标准格式 日期：
Packaging Info: 7163：MA-3L EAN配套包装+欧洲电子产品WEEE声明B版通用说明书(带电池)
Remark: *包装日期码按ZURU格式即可， 见指定日期码 DG20250910
*订单出英国，请注意检查产品及包装应带UKCA图标（14+产品除外），包装显示ZURU UK LTD地址信息，QC部门请查核，如有问题与跟单确认
*订单必须经过ZURU QC验货并且通过后方可出货。
*条码以订单显示为准 ，请安排生产前先核对 ，有问题请提出。
*微塑料需符合欧洲标准，否则不合法规会有客诉产生</t>
  </si>
  <si>
    <t>Sandy Shao</t>
  </si>
  <si>
    <t>DISCHEM SOUTH AFRICA</t>
  </si>
  <si>
    <t>4500176287-20</t>
  </si>
  <si>
    <t>8/30收到</t>
  </si>
  <si>
    <t>MA UPC pkg (1L优先）</t>
  </si>
  <si>
    <t>日期码格式：ZURU INC(BVI) 标准格式 日期：按实际生产日期
Packaging Info: MA UPC pkg (1L优先）
Remark: 
2. 7163: 3 assortment</t>
  </si>
  <si>
    <t>A96624-10.10</t>
  </si>
  <si>
    <t>368BUZJH</t>
  </si>
  <si>
    <t>4500178034-100</t>
  </si>
  <si>
    <t>10/20出</t>
  </si>
  <si>
    <t>8/27收到</t>
  </si>
  <si>
    <t>UPC贴纸资料翻单4500175579+9/15-客供防伪帖纸</t>
  </si>
  <si>
    <t>日期码格式：ZURU INC(BVI) 标准格式 日期：按实际生产日期
Packaging Info: 
#7166 MA 3L 加UPC贴纸，UPC贴纸资料翻单4500175579.需要加一张客供防伪帖纸，贴纸跟单提供。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</si>
  <si>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ZB02522-10.20</t>
  </si>
  <si>
    <t>5KHU1O4R</t>
  </si>
  <si>
    <t>4500178034-110</t>
  </si>
  <si>
    <t>5UTEWO2X</t>
  </si>
  <si>
    <t>4500178034-120</t>
  </si>
  <si>
    <t>2NEM1ETK</t>
  </si>
  <si>
    <t>4500178020-270</t>
  </si>
  <si>
    <t>ZB02447-10.15</t>
  </si>
  <si>
    <t>2EWL6PIZ</t>
  </si>
  <si>
    <t>4500177996-30</t>
  </si>
  <si>
    <t>10/15出</t>
  </si>
  <si>
    <t>ZB02421-10.14</t>
  </si>
  <si>
    <t>5D95AWUM</t>
  </si>
  <si>
    <t>4500177996-40</t>
  </si>
  <si>
    <t>5B9214TU</t>
  </si>
  <si>
    <t>4500177996-130</t>
  </si>
  <si>
    <t>4500178115-10</t>
  </si>
  <si>
    <t>10/28出</t>
  </si>
  <si>
    <t>9/12收到</t>
  </si>
  <si>
    <t>9/12-UCC贴纸</t>
  </si>
  <si>
    <t>日期码格式：ZURU INC(BVI) 标准格式 日期：按实际生产日期
Packaging Info: 1. 出口美国，MA UPC 版本包装
#7163TQ1: UPC#193052062604; 3 assortment; 3PCS LR44 BATTERIES(INCLUDED);
Remark: 2 .外箱正唛的右下角需贴一个UCC贴纸（4x6inch,距离右边和底边2inch,UCC贴纸为流水号的，每一箱都不一样。
3. 请按期完货，延期有罚金。
4. 我司验货即可。
5. 产品和包装上有tracking code信息，格式为ZURU常规。</t>
  </si>
  <si>
    <t>Abby mai,Lluvia zeng</t>
  </si>
  <si>
    <t>ZB02662-10.28</t>
  </si>
  <si>
    <t>4500179025-10</t>
  </si>
  <si>
    <t>ZB02663-10.28</t>
  </si>
  <si>
    <t>GABRIEL BROTHERS, INC.</t>
  </si>
  <si>
    <t>4500181336-60</t>
  </si>
  <si>
    <t>. ZURU MA UPC (首选1L / 多语可以接受)包装</t>
  </si>
  <si>
    <t>4500179509-10</t>
  </si>
  <si>
    <t>12/19出</t>
  </si>
  <si>
    <t>10/22收到</t>
  </si>
  <si>
    <t>10/22-UCC贴纸</t>
  </si>
  <si>
    <t>Abby Mai,Lluvia Zeng</t>
  </si>
  <si>
    <t>4500179523-10</t>
  </si>
  <si>
    <t>12/21出</t>
  </si>
  <si>
    <t>4500179529-10</t>
  </si>
  <si>
    <t>Abby Mai</t>
  </si>
  <si>
    <t>7EF4IG9H</t>
  </si>
  <si>
    <t>4500184827-210</t>
  </si>
  <si>
    <t>UPC贴纸翻4500148503+11/26-客供防伪帖纸+外箱贴纸</t>
  </si>
  <si>
    <t>75MJ3RPN</t>
  </si>
  <si>
    <t>4500184827-220</t>
  </si>
  <si>
    <t>15YIGJTB</t>
  </si>
  <si>
    <t>4500184827-230</t>
  </si>
  <si>
    <t>7CV524UV</t>
  </si>
  <si>
    <t>4500184827-240</t>
  </si>
  <si>
    <t>6ZP5IRSI</t>
  </si>
  <si>
    <t>4500184827-250</t>
  </si>
  <si>
    <t>4500184950-20</t>
  </si>
  <si>
    <t>日期码格式：ZURU INC(BVI) 标准格式 日期：按实际生产日期
Packaging Info: 1. ZURU MA （首选1L）UPC版本+外箱贴纸为方便进行装柜区分，请按照后续提供的外箱贴纸文档去粘贴外箱），出口美国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每份贴纸文档的数量对应的是装柜数量，一个ID对应一个柜子，外箱贴纸需要按照SHIPMENT ID (不会显示在贴纸上，在贴纸资料文档上命名上）去区分
，也就是同个item line 但是SHIPMENT ID 不一样不可以混在一起，贴纸和大货需要区分开，最后装柜会在不同的柜子里面。</t>
  </si>
  <si>
    <t>4500184953-20</t>
  </si>
  <si>
    <t>4500179708-10</t>
  </si>
  <si>
    <t>11919215</t>
  </si>
  <si>
    <t>4500179767-10</t>
  </si>
  <si>
    <t>4500179772-10</t>
  </si>
  <si>
    <t>16B2363J</t>
  </si>
  <si>
    <t>4500187446-10</t>
  </si>
  <si>
    <t>1/18-1/21出</t>
  </si>
  <si>
    <t>11/28收到</t>
  </si>
  <si>
    <t>UPC贴纸翻4500148503+12/30客供防伪帖纸+12/22-外箱贴纸</t>
  </si>
  <si>
    <t>7166 MA 3L</t>
  </si>
  <si>
    <t>日期码格式：ZURU INC(BVI) 标准格式 日期：按实际生产日期
Packaging Info: #7166 MA 3L 加UPC贴纸，UPC贴纸资料翻单4500148503。需要加一张客供防伪帖纸，贴纸跟单提供。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</si>
  <si>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83D5MOGE</t>
  </si>
  <si>
    <t>4500187446-20</t>
  </si>
  <si>
    <t>12LIUXDF</t>
  </si>
  <si>
    <t>4500187446-30</t>
  </si>
  <si>
    <t>4500185493-10</t>
  </si>
  <si>
    <t>12/22收到</t>
  </si>
  <si>
    <t>12/22-UCC贴纸</t>
  </si>
  <si>
    <t>4500185492-10</t>
  </si>
  <si>
    <t>4500185519-10</t>
  </si>
  <si>
    <t>12/26-UCC贴纸</t>
  </si>
  <si>
    <t>4500185561-10</t>
  </si>
  <si>
    <t>4500185560-10</t>
  </si>
  <si>
    <t>4500185559-10</t>
  </si>
  <si>
    <t>2TYNSBDA</t>
  </si>
  <si>
    <t>4500191480-30</t>
  </si>
  <si>
    <t>1/15收到</t>
  </si>
  <si>
    <t>UPC贴纸翻4500178034+1/30-客供防伪帖纸+欠外箱贴纸</t>
  </si>
  <si>
    <t xml:space="preserve">7166 MA 1L </t>
  </si>
  <si>
    <t>日期码格式：ZURU INC(BVI) 标准格式 日期：按实际生产日期
Packaging Info:
#7166 MA 1L 加UPC贴纸，UPC贴纸资料翻单4500178034.需要加一张客供防伪帖纸，贴纸跟单提供。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</si>
  <si>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6ALRDQTF</t>
  </si>
  <si>
    <t>4500191499-40</t>
  </si>
  <si>
    <t>8IZURRUX</t>
  </si>
  <si>
    <t>4500191560-70</t>
  </si>
  <si>
    <t>2IV46N8O</t>
  </si>
  <si>
    <t>4500191547-10</t>
  </si>
  <si>
    <t>日期码格式：ZURU INC(BVI) 标准格式 日期：按实际生产日期
Packaging Info: #7166 MA 1L 加UPC贴纸，UPC贴纸资料翻单4500178034.需要加一张客供防伪帖纸，贴纸跟单提供。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</si>
  <si>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5OWSCOEO</t>
  </si>
  <si>
    <t>4500191531-70</t>
  </si>
  <si>
    <t>7A2TL8TH</t>
  </si>
  <si>
    <t>4500191511-20</t>
  </si>
  <si>
    <t>MINISO TRADING CANADA INC.</t>
  </si>
  <si>
    <t>4500191753-20</t>
  </si>
  <si>
    <t>货期待定</t>
  </si>
  <si>
    <t>：MA UPC 3L 最新包装，</t>
  </si>
  <si>
    <t>日期码格式：ZURU INC(BVI) 标准格式 日期：按实际生产日期
Packaging Info: 1. 包装方式：MA UPC 3L 最新包装，出口加拿大；
2. 产品和包装上印刷tracking code信息，格式为ZURU常规；
3. ZURU QC 验货合格后即可出货.
Remark:
5. 7163TQ1-2023-S002 PDQ上需要贴一张UPC 条码贴纸,UPC显示：193052062604，贴纸AW跟单提供，工厂自行采购；</t>
  </si>
  <si>
    <t>ZMPO21520</t>
  </si>
  <si>
    <t>7166-S001</t>
  </si>
  <si>
    <t>暂停</t>
  </si>
  <si>
    <t>MA 1L包装</t>
  </si>
  <si>
    <t>大货版本</t>
  </si>
  <si>
    <t>VM INTERNATIONAL</t>
  </si>
  <si>
    <t>7163TQ1-S002</t>
  </si>
  <si>
    <t>2022/6/11                                                                                                                                                                                                  4/25取消订单</t>
  </si>
  <si>
    <t>无费用产生</t>
  </si>
  <si>
    <t>日期码格式：ZURU 标准格式 日期：按实际生产日期
Remark: 1、ZURU MA UPC 现有包装，ZURU 标准日期码，出口美国；
2、无第三方测试和验货；
3、纸箱印ZURU LOGO.</t>
  </si>
  <si>
    <t>Maggie</t>
  </si>
  <si>
    <t>UOMEN OSUUSKAUPPOJEN</t>
  </si>
  <si>
    <t>4500096331-110</t>
  </si>
  <si>
    <t>6/9取消订单</t>
  </si>
  <si>
    <t>已完成</t>
  </si>
  <si>
    <t>旧鱼鳍-6/9出</t>
  </si>
  <si>
    <t>4/26收到</t>
  </si>
  <si>
    <r>
      <rPr>
        <sz val="12"/>
        <color indexed="10"/>
        <rFont val="宋体"/>
        <charset val="0"/>
        <scheme val="minor"/>
      </rPr>
      <t>3/21</t>
    </r>
    <r>
      <rPr>
        <sz val="12"/>
        <color indexed="10"/>
        <rFont val="宋体"/>
        <charset val="134"/>
        <scheme val="minor"/>
      </rPr>
      <t>收到</t>
    </r>
    <r>
      <rPr>
        <sz val="12"/>
        <color indexed="10"/>
        <rFont val="宋体"/>
        <charset val="0"/>
        <scheme val="minor"/>
      </rPr>
      <t>EAN</t>
    </r>
    <r>
      <rPr>
        <sz val="12"/>
        <color indexed="10"/>
        <rFont val="宋体"/>
        <charset val="134"/>
        <scheme val="minor"/>
      </rPr>
      <t>贴纸</t>
    </r>
    <r>
      <rPr>
        <sz val="12"/>
        <color indexed="10"/>
        <rFont val="宋体"/>
        <charset val="0"/>
        <scheme val="minor"/>
      </rPr>
      <t>+</t>
    </r>
    <r>
      <rPr>
        <sz val="12"/>
        <color indexed="10"/>
        <rFont val="宋体"/>
        <charset val="134"/>
        <scheme val="minor"/>
      </rPr>
      <t>客版（警告语）贴纸</t>
    </r>
  </si>
  <si>
    <r>
      <rPr>
        <sz val="12"/>
        <color indexed="10"/>
        <rFont val="宋体"/>
        <charset val="0"/>
        <scheme val="minor"/>
      </rPr>
      <t>MA 1L</t>
    </r>
    <r>
      <rPr>
        <sz val="12"/>
        <color indexed="10"/>
        <rFont val="宋体"/>
        <charset val="134"/>
        <scheme val="minor"/>
      </rPr>
      <t>包装</t>
    </r>
    <r>
      <rPr>
        <sz val="12"/>
        <color indexed="10"/>
        <rFont val="宋体"/>
        <charset val="0"/>
        <scheme val="minor"/>
      </rPr>
      <t>+</t>
    </r>
    <r>
      <rPr>
        <sz val="12"/>
        <color indexed="10"/>
        <rFont val="宋体"/>
        <charset val="134"/>
        <scheme val="minor"/>
      </rPr>
      <t>客版说明书(翻单4500073987）</t>
    </r>
  </si>
  <si>
    <t>日期码格式：ZURU 标准格式 日期：按实际生产日期
Packaging Info: 
7163TQ1: MA 1L包装+客版说明书(翻单4500073987）+MA A版PDQ+EAN贴纸+客版（警告语）贴纸
Remark: 1. 包装不可有PVC，包装上的吸塑需要用PET代替。
2. 产品要求无硼无香
3.
客人款号 工厂款号 条码
21980503,,7163TQ1,,4894680020269
4. 产品信息：
7163TQ1:Packaging:open box + blister tray, No "TRY ME" function; include 3x LR44batteries; 3 assortment;
5.此单有客人客验，请多备料。
6.出货前需寄3-4套大货样给客人签样。
7.客人需要大货样1pcs，请在4/21前寄到深圳办公室Luna签收</t>
  </si>
  <si>
    <t>Rose</t>
  </si>
  <si>
    <t>85SUWZMR</t>
  </si>
  <si>
    <t>4500102054-20</t>
  </si>
  <si>
    <t>7166-S002</t>
  </si>
  <si>
    <t>已订纸箱</t>
  </si>
  <si>
    <t>外箱正面印ZURU Logo, 侧面印item#（订单上显示的SKU#)+carton size(以工厂实际尺寸为准,单位: inch) +MADE IN CHINA,</t>
  </si>
  <si>
    <t>待后续订单消耗</t>
  </si>
  <si>
    <t>欠SSCC LABEL（客供贴纸)</t>
  </si>
  <si>
    <t>7166 MA 1L</t>
  </si>
  <si>
    <t>日期码格式：ZURU INC(BVI) 标准格式 日期：按实际生产日期
Packaging Info: ZURU MA 1L
7166 MA 1L
Remark: 1.Amazon FOB订单，出口US。外箱最长边不能超过25"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邮包盒上要打日期码
4.按照客户PO# 装柜/箱号顺序装柜，跟单会提前给到装柜计划。请大货生产/仓库存放时留意，以便装柜时不混乱（装错/装漏/找不到货号）</t>
  </si>
  <si>
    <t>UNFI WHOLESALE INC</t>
  </si>
  <si>
    <t>QE43407322</t>
  </si>
  <si>
    <t>4500099360-70</t>
  </si>
  <si>
    <t>7163TQ1-S002-1</t>
  </si>
  <si>
    <r>
      <rPr>
        <sz val="12"/>
        <color indexed="10"/>
        <rFont val="宋体"/>
        <charset val="0"/>
        <scheme val="minor"/>
      </rPr>
      <t>ZURU MA UPC</t>
    </r>
    <r>
      <rPr>
        <sz val="12"/>
        <color indexed="10"/>
        <rFont val="宋体"/>
        <charset val="134"/>
        <scheme val="minor"/>
      </rPr>
      <t>包装</t>
    </r>
  </si>
  <si>
    <t>日期码格式：ZURU INC(BVI) 标准格式 日期：按实际生产日期
Packaging Info: 1. ZURU MA UPC包装，显示ZURU UPC条码，出口美国
Remark: 1、无第三方测试和验货；
2、如果产品含塑胶袋，厚度小于1/1000 inch（0.0254 毫米），需印警告语。</t>
  </si>
  <si>
    <t>Cherish Yao</t>
  </si>
  <si>
    <t>QE96427674</t>
  </si>
  <si>
    <t>4500098838-80</t>
  </si>
  <si>
    <t>QE91430880</t>
  </si>
  <si>
    <t>4500098847-70</t>
  </si>
  <si>
    <t>A Hausmann GmbH</t>
  </si>
  <si>
    <t>奥地利</t>
  </si>
  <si>
    <t>4500101963-20</t>
  </si>
  <si>
    <t>7163-S003-2</t>
  </si>
  <si>
    <t>7163-S003</t>
  </si>
  <si>
    <t>6/15取消订单</t>
  </si>
  <si>
    <t>5/5收到</t>
  </si>
  <si>
    <t>说明书费用（发票中收取） 纸箱自行消耗</t>
  </si>
  <si>
    <r>
      <rPr>
        <sz val="12"/>
        <color indexed="10"/>
        <rFont val="宋体"/>
        <charset val="0"/>
        <scheme val="minor"/>
      </rPr>
      <t>5/18</t>
    </r>
    <r>
      <rPr>
        <sz val="12"/>
        <color indexed="10"/>
        <rFont val="宋体"/>
        <charset val="134"/>
        <scheme val="minor"/>
      </rPr>
      <t>收到</t>
    </r>
    <r>
      <rPr>
        <sz val="12"/>
        <color indexed="10"/>
        <rFont val="宋体"/>
        <charset val="0"/>
        <scheme val="minor"/>
      </rPr>
      <t xml:space="preserve">EAN </t>
    </r>
    <r>
      <rPr>
        <sz val="12"/>
        <color indexed="10"/>
        <rFont val="宋体"/>
        <charset val="134"/>
        <scheme val="minor"/>
      </rPr>
      <t>贴纸</t>
    </r>
    <r>
      <rPr>
        <sz val="12"/>
        <color indexed="10"/>
        <rFont val="宋体"/>
        <charset val="0"/>
        <scheme val="minor"/>
      </rPr>
      <t xml:space="preserve">+1* </t>
    </r>
    <r>
      <rPr>
        <sz val="12"/>
        <color indexed="10"/>
        <rFont val="宋体"/>
        <charset val="134"/>
        <scheme val="minor"/>
      </rPr>
      <t>多语警告语贴纸</t>
    </r>
  </si>
  <si>
    <r>
      <rPr>
        <sz val="12"/>
        <color indexed="10"/>
        <rFont val="宋体"/>
        <charset val="0"/>
        <scheme val="minor"/>
      </rPr>
      <t xml:space="preserve">MA </t>
    </r>
    <r>
      <rPr>
        <sz val="12"/>
        <color indexed="10"/>
        <rFont val="宋体"/>
        <charset val="134"/>
        <scheme val="minor"/>
      </rPr>
      <t>彩卡</t>
    </r>
    <r>
      <rPr>
        <sz val="12"/>
        <color indexed="10"/>
        <rFont val="宋体"/>
        <charset val="0"/>
        <scheme val="minor"/>
      </rPr>
      <t xml:space="preserve">+MA </t>
    </r>
    <r>
      <rPr>
        <sz val="12"/>
        <color indexed="10"/>
        <rFont val="宋体"/>
        <charset val="134"/>
        <scheme val="minor"/>
      </rPr>
      <t>说明书</t>
    </r>
    <r>
      <rPr>
        <sz val="12"/>
        <color indexed="10"/>
        <rFont val="宋体"/>
        <charset val="0"/>
        <scheme val="minor"/>
      </rPr>
      <t>+5/18</t>
    </r>
    <r>
      <rPr>
        <sz val="12"/>
        <color indexed="10"/>
        <rFont val="宋体"/>
        <charset val="134"/>
        <scheme val="minor"/>
      </rPr>
      <t>收到德语客版说明书</t>
    </r>
  </si>
  <si>
    <t>日期码格式：ZURU INC(BVI) 标准格式 日期：按实际生产日期
Packaging Info: 
7163 MA 彩卡+1*EAN 贴纸+1* 多语警告语贴纸+ 1* MA 说明书+1*德语说明书 （翻单4500074003）+1*电池说明书
Remark: 2.此单需要传验货图片给客户确认才能出货。
3.需准时完成生产，推期出货会有罚款</t>
  </si>
  <si>
    <t>ASIA GOAL LIMITED</t>
  </si>
  <si>
    <t>香港</t>
  </si>
  <si>
    <t>AG220549</t>
  </si>
  <si>
    <t>4500099278-30</t>
  </si>
  <si>
    <t>7163-S003-1</t>
  </si>
  <si>
    <t>6/20取消订单</t>
  </si>
  <si>
    <t>旧鱼鳍</t>
  </si>
  <si>
    <t>4/4收到</t>
  </si>
  <si>
    <t>产生费用SP统一结算</t>
  </si>
  <si>
    <t>4/26收到客供警语进口商贴纸+1张客供电池警告贴纸+客供中文说明书</t>
  </si>
  <si>
    <r>
      <rPr>
        <sz val="12"/>
        <color indexed="10"/>
        <rFont val="宋体"/>
        <charset val="0"/>
        <scheme val="minor"/>
      </rPr>
      <t xml:space="preserve">A PKG </t>
    </r>
    <r>
      <rPr>
        <sz val="12"/>
        <color indexed="10"/>
        <rFont val="宋体"/>
        <charset val="134"/>
        <scheme val="minor"/>
      </rPr>
      <t>，优先</t>
    </r>
    <r>
      <rPr>
        <sz val="12"/>
        <color indexed="10"/>
        <rFont val="宋体"/>
        <charset val="0"/>
        <scheme val="minor"/>
      </rPr>
      <t>MA 1L</t>
    </r>
    <r>
      <rPr>
        <sz val="12"/>
        <color indexed="10"/>
        <rFont val="宋体"/>
        <charset val="134"/>
        <scheme val="minor"/>
      </rPr>
      <t>（含</t>
    </r>
    <r>
      <rPr>
        <sz val="12"/>
        <color indexed="10"/>
        <rFont val="宋体"/>
        <charset val="0"/>
        <scheme val="minor"/>
      </rPr>
      <t>MA</t>
    </r>
    <r>
      <rPr>
        <sz val="12"/>
        <color indexed="10"/>
        <rFont val="宋体"/>
        <charset val="134"/>
        <scheme val="minor"/>
      </rPr>
      <t>说明书）</t>
    </r>
  </si>
  <si>
    <t>日期码格式：ZURU INC(BVI) 标准格式 日期：按实际生产日期
Packaging Info: 7163: MA PKG ，优先MA 1L（含MA说明书）+1张客供警语进口商贴纸+1张客供电池警告贴纸+客供中文说明书
Remark: 此单出香港
7163: include 3x LR44 batteries;</t>
  </si>
  <si>
    <t>AG230032</t>
  </si>
  <si>
    <t>4500102111-30</t>
  </si>
  <si>
    <t>暂停生产</t>
  </si>
  <si>
    <t>4/27收到</t>
  </si>
  <si>
    <r>
      <rPr>
        <sz val="12"/>
        <color indexed="10"/>
        <rFont val="宋体"/>
        <charset val="134"/>
        <scheme val="minor"/>
      </rPr>
      <t>5/6收到客供警语进口商贴纸</t>
    </r>
    <r>
      <rPr>
        <sz val="12"/>
        <color indexed="10"/>
        <rFont val="宋体"/>
        <charset val="0"/>
        <scheme val="minor"/>
      </rPr>
      <t>+</t>
    </r>
    <r>
      <rPr>
        <sz val="12"/>
        <color indexed="10"/>
        <rFont val="宋体"/>
        <charset val="134"/>
        <scheme val="minor"/>
      </rPr>
      <t>客供电池警告贴纸</t>
    </r>
    <r>
      <rPr>
        <sz val="12"/>
        <color indexed="10"/>
        <rFont val="宋体"/>
        <charset val="0"/>
        <scheme val="minor"/>
      </rPr>
      <t>+</t>
    </r>
    <r>
      <rPr>
        <sz val="12"/>
        <color indexed="10"/>
        <rFont val="宋体"/>
        <charset val="134"/>
        <scheme val="minor"/>
      </rPr>
      <t>客供中文说明书</t>
    </r>
  </si>
  <si>
    <r>
      <rPr>
        <sz val="12"/>
        <color indexed="10"/>
        <rFont val="宋体"/>
        <charset val="0"/>
        <scheme val="minor"/>
      </rPr>
      <t xml:space="preserve"> MA PKG </t>
    </r>
    <r>
      <rPr>
        <sz val="12"/>
        <color indexed="10"/>
        <rFont val="宋体"/>
        <charset val="134"/>
        <scheme val="minor"/>
      </rPr>
      <t>，优先</t>
    </r>
    <r>
      <rPr>
        <sz val="12"/>
        <color indexed="10"/>
        <rFont val="宋体"/>
        <charset val="0"/>
        <scheme val="minor"/>
      </rPr>
      <t>MA 1L</t>
    </r>
    <r>
      <rPr>
        <sz val="12"/>
        <color indexed="10"/>
        <rFont val="宋体"/>
        <charset val="134"/>
        <scheme val="minor"/>
      </rPr>
      <t>（含</t>
    </r>
    <r>
      <rPr>
        <sz val="12"/>
        <color indexed="10"/>
        <rFont val="宋体"/>
        <charset val="0"/>
        <scheme val="minor"/>
      </rPr>
      <t>MA</t>
    </r>
    <r>
      <rPr>
        <sz val="12"/>
        <color indexed="10"/>
        <rFont val="宋体"/>
        <charset val="134"/>
        <scheme val="minor"/>
      </rPr>
      <t>说明书）</t>
    </r>
  </si>
  <si>
    <t>日期码格式：ZURU INC(BVI) 标准格式 日期：按实际生产日期
Packaging Info: 1. 7163: MA PKG ，优先MA 1L（含MA说明书）+1张客供警语进口商贴纸+1张客供电池警告贴纸+客供中文说明书
2. 
7163：include 3x LR44 batteries; 3 assortment;</t>
  </si>
  <si>
    <t>B&amp;M France SAS</t>
  </si>
  <si>
    <t>4500104955-10</t>
  </si>
  <si>
    <t>取消订单</t>
  </si>
  <si>
    <t>6/21取消订单</t>
  </si>
  <si>
    <r>
      <rPr>
        <sz val="12"/>
        <color indexed="10"/>
        <rFont val="宋体"/>
        <charset val="134"/>
        <scheme val="minor"/>
      </rPr>
      <t>客版英法彩卡</t>
    </r>
    <r>
      <rPr>
        <sz val="12"/>
        <color indexed="10"/>
        <rFont val="宋体"/>
        <charset val="0"/>
        <scheme val="minor"/>
      </rPr>
      <t>+MA9L A</t>
    </r>
    <r>
      <rPr>
        <sz val="12"/>
        <color indexed="10"/>
        <rFont val="宋体"/>
        <charset val="134"/>
        <scheme val="minor"/>
      </rPr>
      <t>版说明</t>
    </r>
  </si>
  <si>
    <t>日期码格式：ZURU INC(BVI) 标准格式 日期：按实际生产日期
Packaging Info: 1.7163TQ1：客版英法彩卡+客版说明书翻4500074891+MAPDQ
Remark: 1. Zuru验货通过, 需要内部验货图片, 请多备料, 每款2套左右;
2.7163TQ1：Packaging:open box + blister tray, No "TRY ME" function; include 3x LR44 batteries; 3 assortment;
6. 所有出口法国的产品, 法规规定禁止在包装和共公众用的印刷品中使用矿物油中含有的物质, 包装印刷油墨中含有的MOAH/MOSH的质量浓度不能超过1%, 否则出
货到法国被抽检出现问题, 供应商需要对此负责</t>
  </si>
  <si>
    <t>Mary Zhong</t>
  </si>
  <si>
    <t>AG230090</t>
  </si>
  <si>
    <t>4500103219-10</t>
  </si>
  <si>
    <t>6/27取消订单</t>
  </si>
  <si>
    <t>欠客供警语进口商贴纸+1张客供电池警告贴纸+客供中文说明书</t>
  </si>
  <si>
    <r>
      <rPr>
        <sz val="12"/>
        <color indexed="10"/>
        <rFont val="宋体"/>
        <charset val="134"/>
        <scheme val="minor"/>
      </rPr>
      <t>优先</t>
    </r>
    <r>
      <rPr>
        <sz val="12"/>
        <color indexed="10"/>
        <rFont val="宋体"/>
        <charset val="0"/>
        <scheme val="minor"/>
      </rPr>
      <t>MA 1L</t>
    </r>
    <r>
      <rPr>
        <sz val="12"/>
        <color indexed="10"/>
        <rFont val="宋体"/>
        <charset val="134"/>
        <scheme val="minor"/>
      </rPr>
      <t>（含</t>
    </r>
    <r>
      <rPr>
        <sz val="12"/>
        <color indexed="10"/>
        <rFont val="宋体"/>
        <charset val="0"/>
        <scheme val="minor"/>
      </rPr>
      <t>MA</t>
    </r>
    <r>
      <rPr>
        <sz val="12"/>
        <color indexed="10"/>
        <rFont val="宋体"/>
        <charset val="134"/>
        <scheme val="minor"/>
      </rPr>
      <t>说明书）</t>
    </r>
  </si>
  <si>
    <t>日期码格式：ZURU INC(BVI) 标准格式 日期：按实际生产日期
Packaging Info: MA PKG ，优先MA 1L（含MA说明书）+1张客供警语进口商贴纸+1张客供电池警告贴纸+客供中文说明书
Remark: 7163：include 3x LR44 batteries; 3 assortment;
此单出香港</t>
  </si>
  <si>
    <t>SHOPRITE CHECKERS (PTY) LTD</t>
  </si>
  <si>
    <t>4500103434-30</t>
  </si>
  <si>
    <t>6/30取消</t>
  </si>
  <si>
    <r>
      <rPr>
        <sz val="12"/>
        <color indexed="10"/>
        <rFont val="宋体"/>
        <charset val="0"/>
        <scheme val="minor"/>
      </rPr>
      <t>MA PKG</t>
    </r>
    <r>
      <rPr>
        <sz val="12"/>
        <color indexed="10"/>
        <rFont val="宋体"/>
        <charset val="134"/>
        <scheme val="minor"/>
      </rPr>
      <t>（优先</t>
    </r>
    <r>
      <rPr>
        <sz val="12"/>
        <color indexed="10"/>
        <rFont val="宋体"/>
        <charset val="0"/>
        <scheme val="minor"/>
      </rPr>
      <t>1L)</t>
    </r>
  </si>
  <si>
    <t>日期码格式：ZURU INC(BVI) 标准格式 日期：按实际生产日期
Packaging Info: MA PKG（优先1L)
Remark: 
7163TQ1: Packaging:open box + blister tray, No "TRY ME" function; include 3x LR44 batteries; 3 assortment;
9285SQ1: 5assortment:Peral White:Gold:Blue:Pink:Purple=1:1:1:1:1;
PUG: LABRA: HUSKY: SAUSAGE: DALMATION: KOMON: SCHNAUZER: CHIHUAHUA: BULL: POODLE = 1: 1: 1: 1: 1: 1: 1: 1: 1: 1;</t>
  </si>
  <si>
    <t>NORWEGIAN TOY IMPORT AS - DOM</t>
  </si>
  <si>
    <t>4500102511-10</t>
  </si>
  <si>
    <t>8/4取消订单</t>
  </si>
  <si>
    <t>5/24收到进口商贴纸+1张EAN条码贴纸</t>
  </si>
  <si>
    <r>
      <rPr>
        <sz val="12"/>
        <color rgb="FFFF0000"/>
        <rFont val="宋体"/>
        <charset val="0"/>
        <scheme val="minor"/>
      </rPr>
      <t>7163</t>
    </r>
    <r>
      <rPr>
        <sz val="12"/>
        <color rgb="FFFF0000"/>
        <rFont val="宋体"/>
        <charset val="134"/>
        <scheme val="minor"/>
      </rPr>
      <t>：</t>
    </r>
    <r>
      <rPr>
        <sz val="12"/>
        <color rgb="FFFF0000"/>
        <rFont val="宋体"/>
        <charset val="0"/>
        <scheme val="minor"/>
      </rPr>
      <t xml:space="preserve">MA </t>
    </r>
    <r>
      <rPr>
        <sz val="12"/>
        <color rgb="FFFF0000"/>
        <rFont val="宋体"/>
        <charset val="134"/>
        <scheme val="minor"/>
      </rPr>
      <t>包装</t>
    </r>
  </si>
  <si>
    <t>日期码格式：ZURU INC(BVI) 标准格式 日期：按实际生产日期
Packaging Info: 7163：MA 包装+1张进口商贴纸+1张EAN条码贴纸
Remark: 1.工厂款号-客人款号-EAN条码
7163-881657-4894680020269
2.配比信息
7163：Packaging:open box + blister tray, No "TRY ME" function; include 3x LR44batteries; 3 assortment;
3.包装不可用PVC材质,要用PET替代
4.产品要求无硼无香，如果没有此类问题，请忽略此点</t>
  </si>
  <si>
    <t>Vivian Tang</t>
  </si>
  <si>
    <t>4500101483-10</t>
  </si>
  <si>
    <t>8/16取消订单</t>
  </si>
  <si>
    <t>8/15收到</t>
  </si>
  <si>
    <t>欠贴电池警告语贴纸</t>
  </si>
  <si>
    <r>
      <rPr>
        <sz val="12"/>
        <color rgb="FFFF0000"/>
        <rFont val="宋体"/>
        <charset val="0"/>
        <scheme val="minor"/>
      </rPr>
      <t>MA PKG,</t>
    </r>
    <r>
      <rPr>
        <sz val="12"/>
        <color rgb="FFFF0000"/>
        <rFont val="宋体"/>
        <charset val="134"/>
        <scheme val="minor"/>
      </rPr>
      <t>优先</t>
    </r>
    <r>
      <rPr>
        <sz val="12"/>
        <color rgb="FFFF0000"/>
        <rFont val="宋体"/>
        <charset val="0"/>
        <scheme val="minor"/>
      </rPr>
      <t>1L</t>
    </r>
  </si>
  <si>
    <t>日期码格式：ZURU INC(BVI) 标准格式 日期：按实际生产日期
Packaging Info: 1.MA PKG,优先1L
其中7163有LR44电池，包装和说明书都需要贴电池警告语贴纸
Remark: 1.7163TQ1："Packaging:open box + blister tray, No "TRY ME" function; include 3x LR44 batteries; 3 assortment;
4.此单出两个港口，10/30/50出AKL，20/40/60出LYT</t>
  </si>
  <si>
    <t>Coral Wu</t>
  </si>
  <si>
    <t>4500101483-20</t>
  </si>
  <si>
    <t>·</t>
  </si>
  <si>
    <r>
      <rPr>
        <b/>
        <sz val="16"/>
        <rFont val="Arial"/>
        <charset val="0"/>
      </rPr>
      <t>ZURU  Baby Shark</t>
    </r>
    <r>
      <rPr>
        <b/>
        <sz val="16"/>
        <rFont val="宋体"/>
        <charset val="134"/>
      </rPr>
      <t>鯊魚生产排期表</t>
    </r>
  </si>
  <si>
    <t>MA包裝</t>
  </si>
  <si>
    <t>客版包裝</t>
  </si>
  <si>
    <r>
      <rPr>
        <b/>
        <sz val="10"/>
        <rFont val="宋体"/>
        <charset val="134"/>
      </rPr>
      <t>第三方客户</t>
    </r>
    <r>
      <rPr>
        <b/>
        <sz val="10"/>
        <rFont val="Arial"/>
        <charset val="0"/>
      </rPr>
      <t xml:space="preserve">
 PO NO#</t>
    </r>
  </si>
  <si>
    <r>
      <rPr>
        <b/>
        <sz val="10"/>
        <rFont val="Arial"/>
        <charset val="0"/>
      </rPr>
      <t>PO</t>
    </r>
    <r>
      <rPr>
        <b/>
        <sz val="10"/>
        <rFont val="宋体"/>
        <charset val="134"/>
      </rPr>
      <t>数量</t>
    </r>
    <r>
      <rPr>
        <b/>
        <sz val="10"/>
        <rFont val="Arial"/>
        <charset val="0"/>
      </rPr>
      <t xml:space="preserve">
(pcs)</t>
    </r>
  </si>
  <si>
    <r>
      <rPr>
        <b/>
        <sz val="10"/>
        <rFont val="宋体"/>
        <charset val="134"/>
      </rPr>
      <t>外箱装箱数量</t>
    </r>
    <r>
      <rPr>
        <b/>
        <sz val="10"/>
        <rFont val="Arial"/>
        <charset val="0"/>
      </rPr>
      <t>(pcs)</t>
    </r>
  </si>
  <si>
    <r>
      <rPr>
        <b/>
        <sz val="10"/>
        <rFont val="Arial"/>
        <charset val="0"/>
      </rPr>
      <t>ZURU</t>
    </r>
    <r>
      <rPr>
        <b/>
        <sz val="10"/>
        <rFont val="宋体"/>
        <charset val="134"/>
      </rPr>
      <t>确认走货日期</t>
    </r>
  </si>
  <si>
    <r>
      <rPr>
        <b/>
        <sz val="12"/>
        <rFont val="宋体"/>
        <charset val="134"/>
      </rPr>
      <t>箱唛资料</t>
    </r>
    <r>
      <rPr>
        <b/>
        <sz val="12"/>
        <rFont val="Arial"/>
        <charset val="0"/>
      </rPr>
      <t>(</t>
    </r>
    <r>
      <rPr>
        <b/>
        <sz val="12"/>
        <rFont val="宋体"/>
        <charset val="0"/>
      </rPr>
      <t>收到日期</t>
    </r>
    <r>
      <rPr>
        <b/>
        <sz val="12"/>
        <rFont val="Arial"/>
        <charset val="0"/>
      </rPr>
      <t>)</t>
    </r>
  </si>
  <si>
    <r>
      <rPr>
        <b/>
        <sz val="10"/>
        <rFont val="宋体"/>
        <charset val="134"/>
      </rPr>
      <t>客供贴纸</t>
    </r>
    <r>
      <rPr>
        <b/>
        <sz val="10"/>
        <rFont val="Arial"/>
        <charset val="0"/>
      </rPr>
      <t>AI(</t>
    </r>
    <r>
      <rPr>
        <b/>
        <sz val="10"/>
        <rFont val="宋体"/>
        <charset val="0"/>
      </rPr>
      <t>收到日期</t>
    </r>
    <r>
      <rPr>
        <b/>
        <sz val="10"/>
        <rFont val="Arial"/>
        <charset val="0"/>
      </rPr>
      <t>)</t>
    </r>
  </si>
  <si>
    <r>
      <rPr>
        <b/>
        <sz val="10"/>
        <rFont val="Arial"/>
        <charset val="0"/>
      </rPr>
      <t xml:space="preserve">ZURU </t>
    </r>
    <r>
      <rPr>
        <b/>
        <sz val="10"/>
        <rFont val="宋体"/>
        <charset val="134"/>
      </rPr>
      <t>跟单</t>
    </r>
  </si>
  <si>
    <r>
      <rPr>
        <b/>
        <sz val="10"/>
        <rFont val="宋体"/>
        <charset val="134"/>
      </rPr>
      <t>单价</t>
    </r>
    <r>
      <rPr>
        <b/>
        <sz val="10"/>
        <rFont val="Arial"/>
        <charset val="0"/>
      </rPr>
      <t>USD</t>
    </r>
  </si>
  <si>
    <t>湖南回复完成时间</t>
  </si>
  <si>
    <r>
      <rPr>
        <b/>
        <sz val="10"/>
        <rFont val="宋体"/>
        <charset val="134"/>
      </rPr>
      <t>黃色鯊魚</t>
    </r>
    <r>
      <rPr>
        <b/>
        <sz val="10"/>
        <rFont val="Arial"/>
        <charset val="0"/>
      </rPr>
      <t xml:space="preserve">
A</t>
    </r>
  </si>
  <si>
    <r>
      <rPr>
        <b/>
        <sz val="10"/>
        <rFont val="宋体"/>
        <charset val="134"/>
      </rPr>
      <t>粉色鯊魚</t>
    </r>
    <r>
      <rPr>
        <b/>
        <sz val="10"/>
        <rFont val="Arial"/>
        <charset val="134"/>
      </rPr>
      <t xml:space="preserve">
D</t>
    </r>
  </si>
  <si>
    <r>
      <rPr>
        <b/>
        <sz val="10"/>
        <rFont val="宋体"/>
        <charset val="134"/>
      </rPr>
      <t>藍色鯊魚</t>
    </r>
    <r>
      <rPr>
        <b/>
        <sz val="10"/>
        <rFont val="Arial"/>
        <charset val="134"/>
      </rPr>
      <t xml:space="preserve">
B</t>
    </r>
  </si>
  <si>
    <r>
      <rPr>
        <b/>
        <sz val="10"/>
        <color indexed="39"/>
        <rFont val="Arial"/>
        <charset val="0"/>
      </rPr>
      <t>MA 1</t>
    </r>
    <r>
      <rPr>
        <b/>
        <sz val="10"/>
        <color indexed="39"/>
        <rFont val="宋体"/>
        <charset val="134"/>
      </rPr>
      <t>語说明书</t>
    </r>
  </si>
  <si>
    <r>
      <rPr>
        <b/>
        <sz val="10"/>
        <color indexed="39"/>
        <rFont val="Arial"/>
        <charset val="0"/>
      </rPr>
      <t>MA 1</t>
    </r>
    <r>
      <rPr>
        <b/>
        <sz val="10"/>
        <color indexed="39"/>
        <rFont val="宋体"/>
        <charset val="134"/>
      </rPr>
      <t>語B/C版说明书</t>
    </r>
  </si>
  <si>
    <r>
      <rPr>
        <b/>
        <sz val="10"/>
        <color indexed="39"/>
        <rFont val="Arial"/>
        <charset val="0"/>
      </rPr>
      <t>MA 1</t>
    </r>
    <r>
      <rPr>
        <b/>
        <sz val="10"/>
        <color indexed="39"/>
        <rFont val="宋体"/>
        <charset val="134"/>
      </rPr>
      <t>語</t>
    </r>
    <r>
      <rPr>
        <b/>
        <sz val="10"/>
        <color indexed="39"/>
        <rFont val="Arial"/>
        <charset val="0"/>
      </rPr>
      <t>D版说明书</t>
    </r>
  </si>
  <si>
    <r>
      <rPr>
        <b/>
        <sz val="10"/>
        <rFont val="Arial"/>
        <charset val="0"/>
      </rPr>
      <t>MA 3</t>
    </r>
    <r>
      <rPr>
        <b/>
        <sz val="10"/>
        <rFont val="宋体"/>
        <charset val="134"/>
      </rPr>
      <t>語说明书</t>
    </r>
  </si>
  <si>
    <r>
      <rPr>
        <b/>
        <sz val="10"/>
        <rFont val="Arial"/>
        <charset val="0"/>
      </rPr>
      <t>MA 3</t>
    </r>
    <r>
      <rPr>
        <b/>
        <sz val="10"/>
        <rFont val="宋体"/>
        <charset val="134"/>
      </rPr>
      <t>語</t>
    </r>
    <r>
      <rPr>
        <b/>
        <sz val="10"/>
        <rFont val="Arial"/>
        <charset val="0"/>
      </rPr>
      <t>B/C版说明书</t>
    </r>
  </si>
  <si>
    <r>
      <rPr>
        <b/>
        <sz val="10"/>
        <rFont val="Arial"/>
        <charset val="0"/>
      </rPr>
      <t>MA E</t>
    </r>
    <r>
      <rPr>
        <b/>
        <sz val="10"/>
        <rFont val="宋体"/>
        <charset val="134"/>
      </rPr>
      <t>版</t>
    </r>
    <r>
      <rPr>
        <b/>
        <sz val="10"/>
        <rFont val="Arial"/>
        <charset val="0"/>
      </rPr>
      <t xml:space="preserve">
9L</t>
    </r>
    <r>
      <rPr>
        <b/>
        <sz val="10"/>
        <rFont val="宋体"/>
        <charset val="134"/>
      </rPr>
      <t>说明书</t>
    </r>
  </si>
  <si>
    <r>
      <rPr>
        <b/>
        <sz val="10"/>
        <rFont val="Arial"/>
        <charset val="0"/>
      </rPr>
      <t>MA F</t>
    </r>
    <r>
      <rPr>
        <b/>
        <sz val="10"/>
        <rFont val="宋体"/>
        <charset val="134"/>
      </rPr>
      <t>版</t>
    </r>
    <r>
      <rPr>
        <b/>
        <sz val="10"/>
        <rFont val="Arial"/>
        <charset val="0"/>
      </rPr>
      <t xml:space="preserve">
9L</t>
    </r>
    <r>
      <rPr>
        <b/>
        <sz val="10"/>
        <rFont val="宋体"/>
        <charset val="134"/>
      </rPr>
      <t>说明书</t>
    </r>
  </si>
  <si>
    <t>MA G版说明书</t>
  </si>
  <si>
    <r>
      <rPr>
        <b/>
        <sz val="10"/>
        <rFont val="Arial"/>
        <charset val="0"/>
      </rPr>
      <t>MA 1</t>
    </r>
    <r>
      <rPr>
        <b/>
        <sz val="10"/>
        <rFont val="宋体"/>
        <charset val="134"/>
      </rPr>
      <t>語</t>
    </r>
    <r>
      <rPr>
        <b/>
        <sz val="10"/>
        <rFont val="Arial"/>
        <charset val="0"/>
      </rPr>
      <t>A</t>
    </r>
    <r>
      <rPr>
        <b/>
        <sz val="10"/>
        <rFont val="宋体"/>
        <charset val="134"/>
      </rPr>
      <t>版本彩盒</t>
    </r>
  </si>
  <si>
    <r>
      <rPr>
        <b/>
        <sz val="10"/>
        <rFont val="Arial"/>
        <charset val="0"/>
      </rPr>
      <t>MA 1</t>
    </r>
    <r>
      <rPr>
        <b/>
        <sz val="10"/>
        <rFont val="宋体"/>
        <charset val="134"/>
      </rPr>
      <t>語B版本彩盒</t>
    </r>
  </si>
  <si>
    <r>
      <rPr>
        <b/>
        <sz val="10"/>
        <rFont val="Arial"/>
        <charset val="0"/>
      </rPr>
      <t>MA 1</t>
    </r>
    <r>
      <rPr>
        <b/>
        <sz val="10"/>
        <rFont val="宋体"/>
        <charset val="134"/>
      </rPr>
      <t>語C版本彩盒</t>
    </r>
  </si>
  <si>
    <r>
      <rPr>
        <b/>
        <sz val="10"/>
        <rFont val="Arial"/>
        <charset val="0"/>
      </rPr>
      <t>MA 1</t>
    </r>
    <r>
      <rPr>
        <b/>
        <sz val="10"/>
        <rFont val="宋体"/>
        <charset val="134"/>
      </rPr>
      <t>語</t>
    </r>
    <r>
      <rPr>
        <b/>
        <sz val="10"/>
        <rFont val="Arial"/>
        <charset val="0"/>
      </rPr>
      <t>D</t>
    </r>
    <r>
      <rPr>
        <b/>
        <sz val="10"/>
        <rFont val="宋体"/>
        <charset val="134"/>
      </rPr>
      <t>版本彩盒</t>
    </r>
  </si>
  <si>
    <r>
      <rPr>
        <b/>
        <sz val="12"/>
        <rFont val="宋体"/>
        <charset val="0"/>
      </rPr>
      <t>MA E版</t>
    </r>
    <r>
      <rPr>
        <b/>
        <sz val="12"/>
        <rFont val="Arial"/>
        <charset val="0"/>
      </rPr>
      <t>1L</t>
    </r>
    <r>
      <rPr>
        <b/>
        <sz val="12"/>
        <rFont val="宋体"/>
        <charset val="0"/>
      </rPr>
      <t>彩盒</t>
    </r>
  </si>
  <si>
    <r>
      <rPr>
        <b/>
        <sz val="10"/>
        <rFont val="Arial"/>
        <charset val="0"/>
      </rPr>
      <t>MA 3</t>
    </r>
    <r>
      <rPr>
        <b/>
        <sz val="10"/>
        <rFont val="宋体"/>
        <charset val="134"/>
      </rPr>
      <t>語</t>
    </r>
    <r>
      <rPr>
        <b/>
        <sz val="10"/>
        <rFont val="Arial"/>
        <charset val="0"/>
      </rPr>
      <t>A</t>
    </r>
    <r>
      <rPr>
        <b/>
        <sz val="10"/>
        <rFont val="宋体"/>
        <charset val="134"/>
      </rPr>
      <t>版本彩盒</t>
    </r>
  </si>
  <si>
    <r>
      <rPr>
        <b/>
        <sz val="10"/>
        <rFont val="Arial"/>
        <charset val="0"/>
      </rPr>
      <t>MA 3</t>
    </r>
    <r>
      <rPr>
        <b/>
        <sz val="10"/>
        <rFont val="宋体"/>
        <charset val="134"/>
      </rPr>
      <t>語B/C/D版本彩盒</t>
    </r>
  </si>
  <si>
    <r>
      <rPr>
        <b/>
        <sz val="10"/>
        <rFont val="Arial"/>
        <charset val="0"/>
      </rPr>
      <t>MA 3</t>
    </r>
    <r>
      <rPr>
        <b/>
        <sz val="10"/>
        <rFont val="宋体"/>
        <charset val="134"/>
      </rPr>
      <t>語</t>
    </r>
    <r>
      <rPr>
        <b/>
        <sz val="10"/>
        <rFont val="Arial"/>
        <charset val="0"/>
      </rPr>
      <t>D</t>
    </r>
    <r>
      <rPr>
        <b/>
        <sz val="10"/>
        <rFont val="宋体"/>
        <charset val="0"/>
      </rPr>
      <t>版本彩盒</t>
    </r>
  </si>
  <si>
    <r>
      <rPr>
        <b/>
        <sz val="12"/>
        <rFont val="宋体"/>
        <charset val="0"/>
      </rPr>
      <t>MA3L E</t>
    </r>
    <r>
      <rPr>
        <b/>
        <sz val="10"/>
        <rFont val="宋体"/>
        <charset val="0"/>
      </rPr>
      <t>版彩盒</t>
    </r>
  </si>
  <si>
    <r>
      <rPr>
        <b/>
        <sz val="10"/>
        <rFont val="Arial"/>
        <charset val="0"/>
      </rPr>
      <t>MA</t>
    </r>
    <r>
      <rPr>
        <b/>
        <sz val="10"/>
        <rFont val="宋体"/>
        <charset val="0"/>
      </rPr>
      <t>許可貼紙</t>
    </r>
  </si>
  <si>
    <t>MA E版 客版彩盒（打飞机孔）</t>
  </si>
  <si>
    <r>
      <rPr>
        <b/>
        <sz val="10"/>
        <rFont val="Arial"/>
        <charset val="0"/>
      </rPr>
      <t>WM</t>
    </r>
    <r>
      <rPr>
        <b/>
        <sz val="10"/>
        <rFont val="宋体"/>
        <charset val="134"/>
      </rPr>
      <t>单
客版彩盒</t>
    </r>
  </si>
  <si>
    <r>
      <rPr>
        <b/>
        <sz val="10"/>
        <rFont val="Arial"/>
        <charset val="0"/>
      </rPr>
      <t>EC</t>
    </r>
    <r>
      <rPr>
        <b/>
        <sz val="10"/>
        <rFont val="宋体"/>
        <charset val="134"/>
      </rPr>
      <t>展示架</t>
    </r>
  </si>
  <si>
    <t>新旧鲨鱼</t>
  </si>
  <si>
    <t>彩盒新旧尺寸</t>
  </si>
  <si>
    <t>新旧尺寸纸箱</t>
  </si>
  <si>
    <r>
      <rPr>
        <sz val="11"/>
        <rFont val="宋体"/>
        <charset val="134"/>
      </rPr>
      <t>消耗纸箱</t>
    </r>
    <r>
      <rPr>
        <sz val="11"/>
        <rFont val="Arial"/>
        <charset val="0"/>
      </rPr>
      <t>PO</t>
    </r>
  </si>
  <si>
    <t>0833094729</t>
  </si>
  <si>
    <t>4500132509-10</t>
  </si>
  <si>
    <t>25282BSLB-2023-S001</t>
  </si>
  <si>
    <t>藍色鯊魚展示柜</t>
  </si>
  <si>
    <t>自检 OK</t>
  </si>
  <si>
    <t>6/23出货</t>
  </si>
  <si>
    <t>印刷RFID箱唛</t>
  </si>
  <si>
    <t>最新客版包装A版 （1L+23L警告语）+ MA G版9L说明书</t>
  </si>
  <si>
    <t>日期码格式：DGYYYYMMDD(日期避开周末和法定节假日) 日期：按实际生产日期
Packaging Info: 翻单：4500116333
1.包装方式：
25282B：最新客版包装A版 （1L+23L警告语）+ MA G版9L说明书
Remark: 2. 此单走Slip sheet，外箱四面印刷RFID箱唛（需四面右下角有ZURU的Logo以及"Made in China" 字样)
主唛左前下角印刷艾利贴纸替代标箱唛(ITF-14格式)，条码只印刷一面。
Slip Sheet上贴外箱条码（工厂自己打印贴纸，不可用A4纸！）+普通贴纸（普通贴纸可用A4纸打印，尺寸不可比艾利贴纸小），普通贴纸见附件。
3. Include 3pcs AAA carbon batteries;
25282B-2023-S004 2pcs/CTN(carton size: 25x22.3x15cm); 5x4x8=160carton=320pcs/Slip Sheet;
4.此单需要验货，请自行多备包装物料。
5.在产品上和包装上要有日期码、MADE IN CHINA和ZURU字样。
6.每PCS要加RFID 贴纸，严格按照我们提供的位置图，不可擅自调整位置，贴纸也不可有任何破损或折坏，不可淋湿!!（如缺数请及时告知）</t>
  </si>
  <si>
    <t>88890-1.6</t>
  </si>
  <si>
    <t>系统出单V3</t>
  </si>
  <si>
    <t>25282B</t>
  </si>
  <si>
    <t>藍色鯊魚</t>
  </si>
  <si>
    <t>4500150360-10</t>
  </si>
  <si>
    <t>25282ASLB-2023-S001</t>
  </si>
  <si>
    <t>黄色鯊魚展示柜</t>
  </si>
  <si>
    <t>自检12/11</t>
  </si>
  <si>
    <t>12/20出货</t>
  </si>
  <si>
    <t>翻单：4500116333
最新客版包装A版 （1L+23L警告语）+ MA G版9L说明书</t>
  </si>
  <si>
    <t>日期码格式：DGYYYYMMDD(日期避开周末和法定节假日) 日期：按实际生产日期
Packaging Info: 翻单：4500116333
1.包装方式：
25282：最新客版包装A版 （1L+23L警告语）+ MA G版9L说明书
Remark: 2. 此单走Slip sheet，外箱四面印刷RFID箱唛（需四面右下角有ZURU的Logo以及"Made in China" 字样)
主唛左前下角印刷艾利贴纸替代标箱唛(ITF-14格式)，条码只印刷一面。
Slip Sheet上贴外箱条码（工厂自己打印贴纸，不可用A4纸！）+普通贴纸（普通贴纸可用A4纸打印，尺寸不可比艾利贴纸小），普通贴纸见附件。
3. Include 3pcs AAA carbon batteries;
25282-2023-S004 2pcs/CTN(carton size: 25x22.3x15cm); 5x4x8=160carton=320pcs/Slip Sheet;
4.此单需要验货，请自行多备包装物料。
5.在产品上和包装上要有日期码、MADE IN CHINA和ZURU字样。
6.每PCS要加RFID 贴纸，严格按照我们提供的位置图，不可擅自调整位置，贴纸也不可有任何破损或折坏，不可淋湿!!（如缺数请及时告知）</t>
  </si>
  <si>
    <t>94020-1.14</t>
  </si>
  <si>
    <t>25282A</t>
  </si>
  <si>
    <t>黄色鯊魚</t>
  </si>
  <si>
    <t>0873606843</t>
  </si>
  <si>
    <t>4500150359-10</t>
  </si>
  <si>
    <t>12/26出货</t>
  </si>
  <si>
    <t>日期码格式：DGYYYYMMDD(日期避开周末和法定节假日) 日期：按实际生产日期
Packaging Info: 翻单：4500116333
1.包装方式：
25282：最新客版包装A版 （1L+23L警告语）+ MA G版9L说明书
Remark: 2. 此单走Slip sheet，外箱四面印刷RFID箱唛（需四面右下角有ZURU的Logo以及"Made in China" 字样)
主唛左前下角印刷艾利贴纸替代标箱唛(ITF-14格式)，条码只印刷一面。
Slip Sheet上贴外箱条码（工厂自己打印贴纸，不可用A4纸！）+普通贴纸（普通贴纸可用A4纸打印，尺寸不可比艾利贴纸小），普通贴纸见附件。
3. Include 3pcs AAA carbon batteries;
25282A-2023-S004 2pcs/CTN(carton size: 25x22.3x15cm); 5x4x8=160carton=320pcs/Slip Sheet;
4.此单需要验货，请自行多备包装物料。
5.在产品上和包装上要有日期码、MADE IN CHINA和ZURU字样。
6.每PCS要加RFID 贴纸，严格按照我们提供的位置图，不可擅自调整位置，贴纸也不可有任何破损或折坏，不可淋湿!!（如缺数请及时告知）</t>
  </si>
  <si>
    <t>94023-1.14</t>
  </si>
  <si>
    <t>4500150359-20</t>
  </si>
  <si>
    <t>25282DSLB-2023-S001</t>
  </si>
  <si>
    <t>粉色鯊魚展示柜</t>
  </si>
  <si>
    <t>日期码格式：DGYYYYMMDD(日期避开周末和法定节假日) 日期：按实际生产日期
Packaging Info: 翻单：4500116333
1.包装方式：
25282D：最新客版包装A版 （1L+23L警告语）+ MA G版9L说明书
Remark: 2. 此单走Slip sheet，外箱四面印刷RFID箱唛（需四面右下角有ZURU的Logo以及"Made in China" 字样)
主唛左前下角印刷艾利贴纸替代标箱唛(ITF-14格式)，条码只印刷一面。
Slip Sheet上贴外箱条码（工厂自己打印贴纸，不可用A4纸！）+普通贴纸（普通贴纸可用A4纸打印，尺寸不可比艾利贴纸小），普通贴纸见附件。
3. Include 3pcs AAA carbon batteries;
25282D-2023-S004 2pcs/CTN(carton size: 25x22.3x15cm); 5x4x8=160carton=320pcs/Slip Sheet;
4.此单需要验货，请自行多备包装物料。
5.在产品上和包装上要有日期码、MADE IN CHINA和ZURU字样。
6.每PCS要加RFID 贴纸，严格按照我们提供的位置图，不可擅自调整位置，贴纸也不可有任何破损或折坏，不可淋湿!!（如缺数请及时告知）</t>
  </si>
  <si>
    <t>25282D</t>
  </si>
  <si>
    <t>粉色鯊魚</t>
  </si>
  <si>
    <t>0873606912</t>
  </si>
  <si>
    <t>4500150357-10</t>
  </si>
  <si>
    <t>94024-1.14</t>
  </si>
  <si>
    <t>0873606822</t>
  </si>
  <si>
    <t>4500150356-10</t>
  </si>
  <si>
    <t>12/18出货</t>
  </si>
  <si>
    <t>94022-1.14</t>
  </si>
  <si>
    <t>4500150356-20</t>
  </si>
  <si>
    <t>0873606930</t>
  </si>
  <si>
    <t>4500150355-10</t>
  </si>
  <si>
    <t>12/10出货</t>
  </si>
  <si>
    <t>94021-1.14</t>
  </si>
  <si>
    <t>WALGREEN CO.</t>
  </si>
  <si>
    <t>4500153786-140</t>
  </si>
  <si>
    <t>25282-2023-S004-4</t>
  </si>
  <si>
    <t>25282-2023-S004</t>
  </si>
  <si>
    <t>鲨鱼6只装</t>
  </si>
  <si>
    <t>手工单转实单，代替WAL040 CRD 12/6 的单</t>
  </si>
  <si>
    <t>1/13出货</t>
  </si>
  <si>
    <t xml:space="preserve"> MA 包装</t>
  </si>
  <si>
    <t>日期码格式：ZURU INC(BVI) 标准格式:DG20241206 日期：12-06-2024
Packaging Info: 25282 MA 包装 + WIC 贴纸 （WIC # 772948）
Remark: 1. 产品和包装上要有ZURU 标准格式 tracking code DG20241206
2. 12/07抽板测试，抽板测试通过后才可以出货。所有来料都要测试符合美国联邦法规和州法规后才可以做大货。如因测试问题延期造成罚款需由工厂承担。
3. 收到PO后寄出各一套样品给实验室，请在12/16寄出大货样各2套</t>
  </si>
  <si>
    <t>94040-1.15</t>
  </si>
  <si>
    <t>4500153786-150</t>
  </si>
  <si>
    <t>94027-1.14</t>
  </si>
  <si>
    <t>4500153786170</t>
  </si>
  <si>
    <t>0876479279</t>
  </si>
  <si>
    <t>4500151651-10</t>
  </si>
  <si>
    <t>BV 12/25</t>
  </si>
  <si>
    <t>1/21出货</t>
  </si>
  <si>
    <t>翻单：4500116333
25282D：最新客版包装A版 （1L+23L警告语）+ MA G版9L说明书</t>
  </si>
  <si>
    <t>日期码格式：DGYYYYMMDD(日期避开周末和法定节假日) 日期：按实际生产日期
Packaging Info: 翻单：4500116333
1.包装方式：
25282D：最新客版包装A版 （1L+23L警告语）+ MA G版9L说明书
Remark: 2. 此单走Slip sheet，外箱四面印刷RFID箱唛（需四面右下角有ZURU的Logo以及"Made in China" 字样)
主唛左前下角印刷艾利贴纸替代标箱唛(ITF-14格式)，条码只印刷一面。
Slip Sheet上贴外箱条码（工厂自己打印贴纸或订购，不可用A4纸！）+普通贴纸（普通贴纸可用A4纸打印，尺寸不可比艾利贴纸小），普通贴纸见附件。
3. Include 3pcs AAA carbon batteries;
25282D-2023-S004 2pcs/CTN(carton size: 25x22.3x15cm); 5x4x8=160carton=320pcs/Slip Sheet;
4.此单需要验货，请自行多备包装物料。
5.在产品上和包装上要有日期码、MADE IN CHINA和ZURU字样。
6.每PCS要加RFID 贴纸，严格按照我们提供的位置图，不可擅自调整位置，贴纸也不可有任何破损或折坏，不可淋湿!!（如缺数请及时告知）</t>
  </si>
  <si>
    <t>94150-1.22</t>
  </si>
  <si>
    <t>0876479336</t>
  </si>
  <si>
    <t>4500151662-10</t>
  </si>
  <si>
    <t>1/6出货</t>
  </si>
  <si>
    <t>日期码格式：DGYYYYMMDD(日期避开周末和法定节假日) 日期：按实际生产日期
Packaging Info: 翻单：4500116333
1.包装方式：
25282：最新客版包装A版 （1L+23L警告语）+ MA G版9L说明书
Remark: 2. 此单走Slip sheet，外箱四面印刷RFID箱唛（需四面右下角有ZURU的Logo以及"Made in China" 字样)
主唛左前下角印刷艾利贴纸替代标箱唛(ITF-14格式)，条码只印刷一面。
Slip Sheet上贴外箱条码（工厂自己打印贴纸或订购，不可用A4纸！）+普通贴纸（普通贴纸可用A4纸打印，尺寸不可比艾利贴纸小），普通贴纸见附件。
3. Include 3pcs AAA carbon batteries
25282-2023-S004 2pcs/CTN(carton size: 25x22.3x15cm); 5x4x8=160carton=320pcs/Slip Sheet
4.此单需要验货，请自行多备包装物料
5.在产品上和包装上要有日期码、MADE IN CHINA和ZURU字样。
6.每PCS要加RFID 贴纸，严格按照我们提供的位置图，不可擅自调整位置，贴纸也不可有任何破损或折坏，不可淋湿!!（如缺数请及时告知）</t>
  </si>
  <si>
    <t>88856-1.3</t>
  </si>
  <si>
    <t>4500151662-20</t>
  </si>
  <si>
    <t>日期码格式：DGYYYYMMDD(日期避开周末和法定节假日) 日期：按实际生产日期
Packaging Info: 翻单：4500116333
1.包装方式：
25282D：最新客版包装A版 （1L+23L警告语）+ MA G版9L说明书
Remark: 2. 此单走Slip sheet，外箱四面印刷RFID箱唛（需四面右下角有ZURU的Logo以及"Made in China" 字样)
主唛左前下角印刷艾利贴纸替代标箱唛(ITF-14格式)，条码只印刷一面。
Slip Sheet上贴外箱条码（工厂自己打印贴纸或订购，不可用A4纸！）+普通贴纸（普通贴纸可用A4纸打印，尺寸不可比艾利贴纸小），普通贴纸见附件。
3. Include 3pcs AAA carbon batteries
25282D-2023-S004 2pcs/CTN(carton size: 25x22.3x15cm); 5x4x8=160carton=320pcs/Slip Sheet
4.此单需要验货，请自行多备包装物料
5.在产品上和包装上要有日期码、MADE IN CHINA和ZURU字样。
6.每PCS要加RFID 贴纸，严格按照我们提供的位置图，不可擅自调整位置，贴纸也不可有任何破损或折坏，不可淋湿!!（如缺数请及时告知）</t>
  </si>
  <si>
    <t>0876479372</t>
  </si>
  <si>
    <t>4500151663-10</t>
  </si>
  <si>
    <t>1/9出货</t>
  </si>
  <si>
    <t>AMAZON UK</t>
  </si>
  <si>
    <t>Amazon UK:
1YGF92CL</t>
  </si>
  <si>
    <t>4500149496-50</t>
  </si>
  <si>
    <t>71109B-2023-S001</t>
  </si>
  <si>
    <t>1/5出货</t>
  </si>
  <si>
    <t>空白外箱（加印带Zuru字样的最新logo，除了邮包盒直接做外箱的产品） + SSCC LABEL一张</t>
  </si>
  <si>
    <t>有</t>
  </si>
  <si>
    <t>客版彩盒包装(参考PO#4500112288)+MA 9L G版说明书</t>
  </si>
  <si>
    <t>日期码格式：ZURU INC(BVI) 标准格式 日期：按实际生产日期
Packaging Info: Amazon UK(9279H, 9283B, 9281A, 9298B, 71109B)
5. 71109B：24pcs, 25282/ctn&lt;(&gt;,&lt;)&gt; blue;客版彩盒包装(参考PO#4500112288)+MA 9L G版说明书+1张贴纸(含IT环保标&lt;(&gt;&amp;&lt;)&gt;UPC#, 参考翻单PO#4500114777);
6. 最迟验货不得晚于2024/12/26;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</si>
  <si>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Crystal Chen</t>
  </si>
  <si>
    <t>88934-1.8</t>
  </si>
  <si>
    <t>4500150300-10</t>
  </si>
  <si>
    <t>25282-2023-S001</t>
  </si>
  <si>
    <t>鯊魚</t>
  </si>
  <si>
    <t>客通用箱唛</t>
  </si>
  <si>
    <t xml:space="preserve">日期码格式：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
</t>
  </si>
  <si>
    <t>48HX973E</t>
  </si>
  <si>
    <t>4500151302-40</t>
  </si>
  <si>
    <t>1/22出货</t>
  </si>
  <si>
    <t>客版彩盒包装(参考PO#4500112288)+MA 9L G版说明书+1张贴纸(含IT环保标&lt;(&gt;&amp;&lt;)&gt;UPC#, 参考翻单PO#4500114777)</t>
  </si>
  <si>
    <t>日期码格式：ZURU INC(BVI) 标准格式 日期：按实际生产日期
Packaging Info: Amazon UK(9543B, 71126, 71109B)/DE(9543B, 7150B)
3. 71109B：24pcs, 25282/ctn, blue;客版彩盒包装(参考PO#4500112288)+MA 9L G版说明书+1张贴纸(含IT环保标&lt;(&gt;&amp;&lt;)&gt;UPC#, 参考翻单PO#4500114777);
5. 最迟验货不得晚于2024/1/13;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</si>
  <si>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94154-1.22</t>
  </si>
  <si>
    <t>4500153786-110</t>
  </si>
  <si>
    <t>手工单转实单，代替WAL040 CRD 12/23 1/3号的单</t>
  </si>
  <si>
    <t>MA 包装</t>
  </si>
  <si>
    <t>4500153786-130</t>
  </si>
  <si>
    <t>4500153786-160</t>
  </si>
  <si>
    <t>4500153786-180</t>
  </si>
  <si>
    <t>4500153786-200</t>
  </si>
  <si>
    <t>4500153786-120</t>
  </si>
  <si>
    <t>4500153786-190</t>
  </si>
  <si>
    <t>Amazon ES</t>
  </si>
  <si>
    <t>6MCYEQMH</t>
  </si>
  <si>
    <t>4500152011-10</t>
  </si>
  <si>
    <t>1/19出货</t>
  </si>
  <si>
    <t>空白外箱（加印带Zuru字样的最新logo，除了邮包盒直接做外箱的产品）</t>
  </si>
  <si>
    <t>客版彩盒包装(参考PO#4500112288)+MA 9L G版说明书+3张贴纸(1张IT环保标+UPC#, 参考翻单PO#4500114777；1张ES回收标1
 号，参考翻单PO#4500143120；1张ZURU邮箱);</t>
  </si>
  <si>
    <t>日期码格式：ZURU INC(BVI) 标准格式 日期：按实际生产日期 Tracking Code:
Packaging Info: Amazon ES(71109B)
 1. 71109B：24pcs, 25282/ctn, blue;客版彩盒包装(参考PO#4500112288)+MA 9L G版说明书+3张贴纸(1张IT环保标+UPC#, 参考翻单PO#4500114777；1张ES回收标1
 号，参考翻单PO#4500143120；1张ZURU邮箱);
 2. 最迟验货不得晚于2025/1/13;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</si>
  <si>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Mandy Hu</t>
  </si>
  <si>
    <t>94131-1.21</t>
  </si>
  <si>
    <t>TARGET US</t>
  </si>
  <si>
    <t>10001070610-3890</t>
  </si>
  <si>
    <t>4500152523-10</t>
  </si>
  <si>
    <t>25282A-2023-S003</t>
  </si>
  <si>
    <t>MA 说明书（彩盒AW需要有robo alive junior标识在上面）+客版彩盒（翻单4500136041）</t>
  </si>
  <si>
    <t>日期码格式：ZURU INC(BVI) 标准格式 日期：按实际生产日期
Packaging Info: 25282A:s003，MA 说明书（彩盒AW需要有robo alive junior标识在上面）+客版彩盒（翻单4500136041）
Remark: 1. 2023-S003-ROBO ALIVE JUNIOR-BABY SHARK-SERIES 1-Swimming Shark(Yellow)-OPEN BOX,6pcs/CTN ,只出黄色；MA 1L说明书+客版彩盒（翻单4500136041）（
彩盒AW需要有robo alive junior标识在上面），UPC 显示193052053183；
2. 外箱正唛左上角位置粘贴条码箱贴纸，每箱只贴一张由ZURU订购,来料DPCI显示087-02-4560， UPC 20193052053187.
3. 产品和包装上印刷tracking code信息，格式为ZURU常规格式
4. 出货方式：货代自提，兴信出货</t>
  </si>
  <si>
    <t>Holly Zheng</t>
  </si>
  <si>
    <t>88955-1.9</t>
  </si>
  <si>
    <t>PACIFIC OPTICS NZ</t>
  </si>
  <si>
    <t>4500153185-10</t>
  </si>
  <si>
    <t>1/10出货</t>
  </si>
  <si>
    <t>日期码格式：ZURU INC(BVI) 标准格式 日期：按实际生产日期
Packaging Info: MA UPC 英语包装（优先1L英语版本,或者3L/5L含英语即可）
Remark: 25282: Baby Shark(yellow)/ Mummy Shark(pink)/ Daddy Shark(blue) =1:1:1; 3PCS AAA CARBON BATTERIES(INCLUDE)</t>
  </si>
  <si>
    <t>94010-1.13</t>
  </si>
  <si>
    <t>DD’S DISCOUNTS</t>
  </si>
  <si>
    <t>4500150306-10</t>
  </si>
  <si>
    <t>1/20出货</t>
  </si>
  <si>
    <t>0881396829</t>
  </si>
  <si>
    <t>4500153248-10</t>
  </si>
  <si>
    <t>自检 1/20</t>
  </si>
  <si>
    <t>2/12出货</t>
  </si>
  <si>
    <t>日期码格式：DGYYYYMMDD(日期避开周末和法定节假日) 日期：按实际生产日期
Packaging Info: 翻单：4500116333
1.包装方式：
25282：最新客版包装A版 （1L+23L警告语）+ MA G版9L说明书
Remark: 2. 此单走Slip sheet，外箱四面印刷RFID箱唛（需四面右下角有ZURU的Logo以及"Made in China" 字样)
主唛左前下角印刷艾利贴纸替代标箱唛(ITF-14格式)，条码只印刷一面。
Slip Sheet上贴外箱条码（工厂自己打印贴纸或者订购，不可用A4纸！）+普通贴纸（普通贴纸可用A4纸打印，尺寸不可比艾利贴纸小），普通贴纸见附件。
3. Include 3pcs AAA carbon batteries;
25282-2023-S004 2pcs/CTN(carton size: 25x22.3x15cm); 5x4x8=160carton=320pcs/Slip Sheet;
4.此单需要验货，请自行多备包装物料。
5.在产品上和包装上要有日期码、MADE IN CHINA和ZURU字样。
6.每PCS要加RFID 贴纸，严格按照我们提供的位置图，不可擅自调整位置，贴纸也不可有任何破损或折坏，不可淋湿!!（如缺数请及时告知）</t>
  </si>
  <si>
    <t>ZB00065-3.28</t>
  </si>
  <si>
    <t>4500145922-10</t>
  </si>
  <si>
    <t>25282-2023-S001-1</t>
  </si>
  <si>
    <t>客版AW，翻单PO#4500145196</t>
  </si>
  <si>
    <t>日期码格式：ZURU INC(BVI) 标准格式 日期：按实际生产日期
Packaging Info: #25282: 客版AW，翻单PO#4500145196， 加飞机孔; UPC#193052062611.
Remark: 2 .外箱正唛的右下角需贴一个UCC贴纸（4x6inch,距离右边和底边2inch,UCC贴纸为流水号的，每一箱都不一样。
3. 请按期完货，延期有罚金。
4. 我司验货即可。
5. 产品和包装上有tracking code信息，格式为ZURU常规。</t>
  </si>
  <si>
    <t>4500145919-10</t>
  </si>
  <si>
    <t>2/17出货</t>
  </si>
  <si>
    <t>日期码格式：ZURU INC(BVI) 标准格式 日期：按实际生产日期
Packaging Info: #25282: 客版AW，翻单PO#4500145196， 加飞机孔; UPC#193052062611.
#7163TQ1: MA UPC 版本包装; UPC#193052062604; 3PCS LR44 batteries;(included); 3 assortment
Remark: 2 .外箱正唛的右下角需贴一个UCC贴纸（4x6inch,距离右边和底边2inch,UCC贴纸为流水号的，每一箱都不一样。
3. 请按期完货，延期有罚金。
4. 我司验货即可。
5. 产品和包装上有tracking code信息，格式为ZURU常规。</t>
  </si>
  <si>
    <t>4500145925-10</t>
  </si>
  <si>
    <t>4500151536-10</t>
  </si>
  <si>
    <t>94558-3.14</t>
  </si>
  <si>
    <t>4500150315-10</t>
  </si>
  <si>
    <t>Sophia Zhou</t>
  </si>
  <si>
    <t>94130-1.21</t>
  </si>
  <si>
    <t>Amazon UK:
PO#6CWXW1QF</t>
  </si>
  <si>
    <t>4500153417-10</t>
  </si>
  <si>
    <t>客版彩盒包装(参考PO#4500112288)+MA 9L G版说明书+3张贴纸(1张IT环保标+UPC#, 参考翻单PO#4500114777；1张ES回收标1
 号，参考翻单PO#4500143120；</t>
  </si>
  <si>
    <t>日期码格式：ZURU INC(BVI) 标准格式 日期：按实际生产日期 
Packaging Info: Amazon UK(71109B/7150A)
 1. 71109B: 24pcs, 25282/ctn, blue;客版彩盒包装(参考PO#4500112288)+MA 9L G版说明书+3张贴纸(1张IT环保标+UPC#, 参考翻单PO#4500114777；1张ES回收标1
 号，参考翻单PO#4500143120；
 3. ZURU验货最迟不得晚于2025/1/17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</si>
  <si>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94217-2.11</t>
  </si>
  <si>
    <t>0881396642</t>
  </si>
  <si>
    <t>4500153246-10</t>
  </si>
  <si>
    <t>2/21出货</t>
  </si>
  <si>
    <t>ZB00066-3.28</t>
  </si>
  <si>
    <t>4500151489-10</t>
  </si>
  <si>
    <t>4/14出货</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</si>
  <si>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t>
  </si>
  <si>
    <t>0881396578</t>
  </si>
  <si>
    <t>4500153242-10</t>
  </si>
  <si>
    <t>自检OK</t>
  </si>
  <si>
    <t>2/28出货</t>
  </si>
  <si>
    <t>94342-2.25</t>
  </si>
  <si>
    <t>0881396586</t>
  </si>
  <si>
    <t>4500153245-10</t>
  </si>
  <si>
    <t>2/25出货</t>
  </si>
  <si>
    <t>94329-2.24</t>
  </si>
  <si>
    <t>0881396765</t>
  </si>
  <si>
    <t>4500153247-10</t>
  </si>
  <si>
    <t>ZB00062-3.28</t>
  </si>
  <si>
    <t>WM MORRISON SUPERMARKET PLC</t>
  </si>
  <si>
    <t>4500142850-10</t>
  </si>
  <si>
    <t>2/19出货</t>
  </si>
  <si>
    <t>MA 1L UPC包装</t>
  </si>
  <si>
    <t>日期码格式：ZURU INC(BVI) 标准格式 日期：按实际生产日期
Packaging Info: 1.25282：MA 1L UPC包装+一张防盗贴纸（贴纸类型10111887: 410 ECON，请工厂自行跟checkpoint供应商订购贴纸), 防盗贴纸贴在条码背面，贴纸和位置图翻PO#
4500095305
UPC#193052062611，请先检查包装条码是否正确再安排做货;
Remark: 1）外箱有条码要求，排版时请留意并请确保条码清晰可扫描（封箱胶不要黏到条码上), 否则客人会有罚款。
2) 订单出英国，产品及包装需要印UKCA图标，包装需要有ZURU UK LTD/ZURU France地址信息，QC同事请查核，如有问题与跟单确认。
3) 箱唛日期码与包装保持一致
4) 若外箱重量超过16KGS，请提前告知ZURU跟单，需要客人批准才能出货，并且外箱需要印2 man lift标志</t>
  </si>
  <si>
    <t>94272-2.18</t>
  </si>
  <si>
    <t>4500153662-10</t>
  </si>
  <si>
    <t>URU MA （首选1L）UPC版本+客供价格贴纸+外箱贴纸</t>
  </si>
  <si>
    <t>0881396781</t>
  </si>
  <si>
    <t>4500153250-10</t>
  </si>
  <si>
    <t>3/7出货</t>
  </si>
  <si>
    <t>Estate Chen</t>
  </si>
  <si>
    <t>ZB00063-3.28</t>
  </si>
  <si>
    <t>0881396740</t>
  </si>
  <si>
    <t>4500153251-10</t>
  </si>
  <si>
    <t>3/4出货</t>
  </si>
  <si>
    <t>日期码格式：DGYYYYMMDD(日期避开周末和法定节假日) 日期：按实际生产日期
Packaging Info: 翻单：4500116333
1.包装方式：
25282：最新客版包装A版 （1L+23L警告语）+ MA G版9L说明书
Remark: 2. 此单走Slip sheet，外箱四面印刷RFID箱唛（需四面右下角有ZURU的Logo以及"Made in China" 字样)
主唛左前下角印刷艾利贴纸替代标箱唛(ITF-14格式)，条码只印刷一面。
Slip Sheet上贴外箱条码（工厂自己打印贴纸或者订购，不可用A4纸！）+普通贴纸（普通贴纸可用A4纸打印，尺寸不可比艾利贴纸小），普通贴纸见附件。
3. Include 3pcs AAA carbon batteries;
25282A-2023-S004 2pcs/CTN(carton size: 25x22.3x15cm); 5x4x8=160carton=320pcs/Slip Sheet;
4.此单需要验货，请自行多备包装物料。
5.在产品上和包装上要有日期码、MADE IN CHINA和ZURU字样。
6.每PCS要加RFID 贴纸，严格按照我们提供的位置图，不可擅自调整位置，贴纸也不可有任何破损或折坏，不可淋湿!!（如缺数请及时告知）</t>
  </si>
  <si>
    <t>94404-2.28</t>
  </si>
  <si>
    <t>4500153251-20</t>
  </si>
  <si>
    <t>日期码格式：DGYYYYMMDD(日期避开周末和法定节假日) 日期：按实际生产日期
Packaging Info: 翻单：4500116333
1.包装方式：
25282D：最新客版包装A版 （1L+23L警告语）+ MA G版9L说明书
Remark: 2. 此单走Slip sheet，外箱四面印刷RFID箱唛（需四面右下角有ZURU的Logo以及"Made in China" 字样)
主唛左前下角印刷艾利贴纸替代标箱唛(ITF-14格式)，条码只印刷一面。
Slip Sheet上贴外箱条码（工厂自己打印贴纸或者订购，不可用A4纸！）+普通贴纸（普通贴纸可用A4纸打印，尺寸不可比艾利贴纸小），普通贴纸见附件。
3. Include 3pcs AAA carbon batteries;
25282D-2023-S004 2pcs/CTN(carton size: 25x22.3x15cm); 5x4x8=160carton=320pcs/Slip Sheet;
4.此单需要验货，请自行多备包装物料。
5.在产品上和包装上要有日期码、MADE IN CHINA和ZURU字样。
6.每PCS要加RFID 贴纸，严格按照我们提供的位置图，不可擅自调整位置，贴纸也不可有任何破损或折坏，不可淋湿!!（如缺数请及时告知）</t>
  </si>
  <si>
    <t>0881396723</t>
  </si>
  <si>
    <t>4500153252-10</t>
  </si>
  <si>
    <t>3/1出货</t>
  </si>
  <si>
    <t>ZB00064-3.28</t>
  </si>
  <si>
    <t>0881396779</t>
  </si>
  <si>
    <t>4500153254-10</t>
  </si>
  <si>
    <t>94481-3.7</t>
  </si>
  <si>
    <t>0881396608</t>
  </si>
  <si>
    <t>4500153255-10</t>
  </si>
  <si>
    <t>2/27出货</t>
  </si>
  <si>
    <t>94343-2.25</t>
  </si>
  <si>
    <t>4500153255-20</t>
  </si>
  <si>
    <t>AMAZON FR</t>
  </si>
  <si>
    <t>Amazon
UK:4AJH2P8U</t>
  </si>
  <si>
    <t>4500154798-80</t>
  </si>
  <si>
    <t>（需最新版本电池）客版彩盒包装(参考PO#4500112288)+MA 9L G版说明书</t>
  </si>
  <si>
    <t>日期码格式：ZURU INC(BVI) 标准格式 日期：按实际生产日期 
Packaging Info: Amazon UK(71126/9543A/9297G/71109B)/FR(9543A)/DE(9543A/71126)
 4. 71109B：24pcs, 25282/ctn, blue;客版彩盒包装(参考PO#4500112288)+MA 9L G版说明书+3张贴纸(1张IT环保标+UPC#, 参考翻单PO#4500114777；1张ES回收标1
 号，参考翻单PO#4500143120；1张ZURU邮箱，参考翻单PO#4500152011);
 5. 最迟验货不得晚于2025/02/18;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</si>
  <si>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94444-3.5</t>
  </si>
  <si>
    <t>4500151566-10</t>
  </si>
  <si>
    <t>4500151567-10</t>
  </si>
  <si>
    <t>94531-3.13</t>
  </si>
  <si>
    <t>10001070607-3890</t>
  </si>
  <si>
    <t>4500153656-10</t>
  </si>
  <si>
    <t>3/5出货</t>
  </si>
  <si>
    <t>MA 1L说明书+客版彩盒（翻单4500136041）</t>
  </si>
  <si>
    <t>日期码格式：ZURU INC(BVI) 标准格式 日期：按实际生产日期 
Packaging Info: 25282A:s003，MA 说明书+客版彩盒（翻单4500136041）
Remark: 1. 2023-S003-ROBO ALIVE JUNIOR-BABY SHARK-SERIES 1-Swimming Shark(Yellow)-OPEN BOX,6pcs/CTN ,只出黄色；MA 1L说明书+客版彩盒（翻单4500136041），UPC 显示193052053183；
 2. 外箱正唛左上角位置粘贴条码箱贴纸，每箱只贴一张由ZURU订购,来料DPCI显示087-02-4560， UPC 20193052053187.
 3. 产品和包装上印刷tracking code信息，格式为ZURU常规格式
 4. 出货方式：货代自提，兴信出货</t>
  </si>
  <si>
    <t>94439-3.5</t>
  </si>
  <si>
    <t>4500145929-10</t>
  </si>
  <si>
    <t>3/3出货</t>
  </si>
  <si>
    <t>4500145932-10</t>
  </si>
  <si>
    <t>4500145933-10</t>
  </si>
  <si>
    <t>3/17出货</t>
  </si>
  <si>
    <t>4500153527-10</t>
  </si>
  <si>
    <t>25282-2023-S001-3L</t>
  </si>
  <si>
    <t>4/8出货</t>
  </si>
  <si>
    <t>MA3L+23warning 最新版彩卡+MA 9L最新版说明书</t>
  </si>
  <si>
    <t>日期码格式：ZURU INC(BVI) 标准格式 日期：按实际生产日期
Packaging Info: 25282：MA3L+23warning 最新版彩卡+1张EAN条码贴纸+MA 9L最新版说明书
Remark: 1. 此票无需验货, 请多备料预留1-2套大货样；
2. 此票出法国, 请确保所有产品符合EU标准及微塑料法国；
3. 客户全部用EAN条码；
4. 所有出口法国的产品, 法规规定禁止在包装和共公众用的印刷品中使用矿物油中含有的物质, 包装印刷油墨中含有的MOAH/MOSH的质量浓度不能超过1%, 否则出
货到法国被抽检出现问题, 供应商需要对此负责</t>
  </si>
  <si>
    <t>94707-4.7</t>
  </si>
  <si>
    <t>4500155011-10</t>
  </si>
  <si>
    <t>3/22出</t>
  </si>
  <si>
    <t>10001070649-3890</t>
  </si>
  <si>
    <t>4500155864-10</t>
  </si>
  <si>
    <t>3/19出货</t>
  </si>
  <si>
    <t>新客版彩盒+MA 说明书</t>
  </si>
  <si>
    <t>日期码格式：ZURU INC(BVI) 标准格式 日期：按实际生产日期 
Packaging Info: 客版彩盒+MA 说明书
Remark: 1. 2023-S003-ROBO ALIVE JUNIOR-BABY SHARK-SERIES 1-Swimming Shark(Yellow)-OPEN BOX,6pcs/CTN ,只出黄色；MA 1L说明书+客版彩盒，UPC 显示19305205318
 3；
 2. 外箱正唛左上角位置粘贴条码箱贴纸，每箱只贴一张由ZURU订购,来料DPCI显示087-02-4560， UPC 20193052053187.
 3. 产品和包装上印刷tracking code信息，格式为ZURU常规格式
 4. 出货方式：货代自提，兴信出货</t>
  </si>
  <si>
    <t>ZB00017-3.20</t>
  </si>
  <si>
    <t>4500155457-20</t>
  </si>
  <si>
    <t>3/25出货</t>
  </si>
  <si>
    <t>日期码格式：ZURU INC(BVI) 标准格式 日期：按实际生产日期 
Packaging Info: 
 2.25282：MA 1L UPC包装+一张防盗贴纸（贴纸类型10111887: 410 ECON，请工厂自行跟checkpoint供应商订购贴纸), 防盗贴纸贴在条码背面，贴纸和位置图翻PO#
 4500095305
 UPC#193052062611，请先检查包装条码是否正确再安排做货
Remark: 1）外箱有条码要求，排版时请留意并请确保条码清晰可扫描（封箱胶不要黏到条码上), 否则客人会有罚款。
 2) 订单出英国，产品及包装需要印UKCA图标，包装需要有ZURU UK LTD/ZURU France地址信息，QC同事请查核，如有问题与跟单确认。
 3) 箱唛日期码与包装保持一致
 4) 若外箱重量超过16KGS，请提前告知ZURU跟单，需要客人批准才能出货，并且外箱需要印2 man lift标志</t>
  </si>
  <si>
    <t>94619-3.24</t>
  </si>
  <si>
    <t>4500155038-10</t>
  </si>
  <si>
    <t>ZB00035-3.24</t>
  </si>
  <si>
    <t>ALDI France</t>
  </si>
  <si>
    <r>
      <rPr>
        <sz val="10"/>
        <color rgb="FF0E2EF0"/>
        <rFont val="宋体"/>
        <charset val="0"/>
      </rPr>
      <t>出德国</t>
    </r>
    <r>
      <rPr>
        <sz val="10"/>
        <color rgb="FF0E2EF0"/>
        <rFont val="Arial"/>
        <charset val="0"/>
      </rPr>
      <t>Germany</t>
    </r>
  </si>
  <si>
    <t>4500152754-30</t>
  </si>
  <si>
    <t>25282-2023-S004-2</t>
  </si>
  <si>
    <t>3/28第三方</t>
  </si>
  <si>
    <t>4/16出货</t>
  </si>
  <si>
    <t>2/5
双坑+保护卡</t>
  </si>
  <si>
    <t>产品上面需用打印 客户进口商地址</t>
  </si>
  <si>
    <t>客版彩卡，客版说明书</t>
  </si>
  <si>
    <t>日期码格式：ZURU INC(BVI) 标准格式 日期：按实际生产日期
Packaging Info: 1.包装：客版彩卡，客版说明书，8L WEEE说明书，不同颜色鲨鱼彩盒的条码不一样；
条码需要通过客户的扫描ok后，才能印刷彩盒大货。
25282A-2023: 4894680034457 (YELLOW)
25282B-2023: 4894680034464 (BLUE)
25282D-2023: 4894680034471 (PINK)
ITEM 25282-2023 比例如下,
③ 去德国
Baby (Yellow) x 2
Mummy (Pink) x 2
Daddy (Blue) x 2
Remark: 3.产品电池盖上面需用打印ZURU FRANCE 进口商地址，务必要清晰.
4.此单客户需要大货样品5套=15pcs，还有一箱大货样，请务必多备彩卡，说明书，外箱等物料。
5.此单出欧洲，所有材料需满足德国和欧洲的相关测试。
6.TUV 将在工厂做100% 验货，所以请多备一些物料供验货用；
7.外箱尺寸请参考PO外箱尺寸，如果有调整需先与跟单确认；
要求外箱必须为坚固5层纸FEFCO-ASSCO-Code 0204及再造纸材料造成，外箱上下必须各放上一张可遮盖全层面积的瓦楞纸板（至少450g/m2）以作开箱之保护。
箱唛上面箱规和重量与实际的箱唛箱规和重量差值不能超过3%。外箱的印刷净重为所有产品不含包装的重量。
8.每个货柜柜尾需加Loading net；
9.ALDI客人订单所有原材料、成品都不得放置于露天环境，需放置室内仓库中。
10. 需要各个国家1套责任样品放在出口每个国家的柜门处</t>
  </si>
  <si>
    <t>94767-4.15</t>
  </si>
  <si>
    <r>
      <rPr>
        <sz val="10"/>
        <color rgb="FF0E2EF0"/>
        <rFont val="宋体"/>
        <charset val="0"/>
      </rPr>
      <t>出法国</t>
    </r>
    <r>
      <rPr>
        <sz val="10"/>
        <color rgb="FF0E2EF0"/>
        <rFont val="Arial"/>
        <charset val="0"/>
      </rPr>
      <t xml:space="preserve"> FRANCE</t>
    </r>
  </si>
  <si>
    <t>4500152754-10</t>
  </si>
  <si>
    <t>25282-2023-S001-ALDI1</t>
  </si>
  <si>
    <t>2/26
双坑+保护卡</t>
  </si>
  <si>
    <t>日期码格式：ZURU INC(BVI) 标准格式 日期：按实际生产日期
Packaging Info: 1.包装：客版彩卡，客版说明书，8L WEEE说明书，不同颜色鲨鱼彩盒的条码不一样；
条码需要通过客户的扫描ok后，才能印刷彩盒大货。
25282A-2023: 4894680034457 (YELLOW)
25282B-2023: 4894680034464 (BLUE)
25282D-2023: 4894680034471 (PINK)
ITEM 25282-2023 比例如下,
① 去法国
Baby (Yellow) x 3
Mummy (Pink) x 3
Daddy (Blue) x 6
Remark: 3.产品电池盖上面需用打印ZURU FRANCE 进口商地址，务必要清晰.
4.此单客户需要大货样品5套=15pcs，还有一箱大货样，请务必多备彩卡，说明书，外箱等物料。
5.此单出欧洲，所有材料需满足德国和欧洲的相关测试。
6.TUV 将在工厂做100% 验货，所以请多备一些物料供验货用；
7.外箱尺寸请参考PO外箱尺寸，如果有调整需先与跟单确认；
要求外箱必须为坚固5层纸FEFCO-ASSCO-Code 0204及再造纸材料造成，外箱上下必须各放上一张可遮盖全层面积的瓦楞纸板（至少450g/m2）以作开箱之保护。
箱唛上面箱规和重量与实际的箱唛箱规和重量差值不能超过3%。外箱的印刷净重为所有产品不含包装的重量。
8.每个货柜柜尾需加Loading net；
9.ALDI客人订单所有原材料、成品都不得放置于露天环境，需放置室内仓库中。
10. 需要各个国家1套责任样品放在出口每个国家的柜门处</t>
  </si>
  <si>
    <r>
      <rPr>
        <sz val="10"/>
        <color rgb="FF0E2EF0"/>
        <rFont val="宋体"/>
        <charset val="0"/>
      </rPr>
      <t>出西班牙</t>
    </r>
    <r>
      <rPr>
        <sz val="10"/>
        <color rgb="FF0E2EF0"/>
        <rFont val="Arial"/>
        <charset val="0"/>
      </rPr>
      <t>Spain</t>
    </r>
  </si>
  <si>
    <t>4500152754-20</t>
  </si>
  <si>
    <t>25282-2023-S001-ALDI2</t>
  </si>
  <si>
    <t>日期码格式：ZURU INC(BVI) 标准格式 日期：按实际生产日期
Packaging Info: 1.包装：客版彩卡，客版说明书，8L WEEE说明书，不同颜色鲨鱼彩盒的条码不一样；
条码需要通过客户的扫描ok后，才能印刷彩盒大货。
25282A-2023: 4894680034457 (YELLOW)
25282B-2023: 4894680034464 (BLUE)
25282D-2023: 4894680034471 (PINK)
ITEM 25282-2023 比例如下,
② 去西班牙
Baby (Yellow) x 5
Mummy (Pink) x 3
Daddy (Blue) x 4
Remark: 3.产品电池盖上面需用打印ZURU FRANCE 进口商地址，务必要清晰.
4.此单客户需要大货样品5套=15pcs，还有一箱大货样，请务必多备彩卡，说明书，外箱等物料。
5.此单出欧洲，所有材料需满足德国和欧洲的相关测试。
6.TUV 将在工厂做100% 验货，所以请多备一些物料供验货用；
7.外箱尺寸请参考PO外箱尺寸，如果有调整需先与跟单确认；
要求外箱必须为坚固5层纸FEFCO-ASSCO-Code 0204及再造纸材料造成，外箱上下必须各放上一张可遮盖全层面积的瓦楞纸板（至少450g/m2）以作开箱之保护。
箱唛上面箱规和重量与实际的箱唛箱规和重量差值不能超过3%。外箱的印刷净重为所有产品不含包装的重量。
8.每个货柜柜尾需加Loading net；
9.ALDI客人订单所有原材料、成品都不得放置于露天环境，需放置室内仓库中。
10. 需要各个国家1套责任样品放在出口每个国家的柜门处</t>
  </si>
  <si>
    <t>KMART AUSTRALIA LTD</t>
  </si>
  <si>
    <t>4500158156-50</t>
  </si>
  <si>
    <t>4/4出货</t>
  </si>
  <si>
    <t>MA英语UPC包装</t>
  </si>
  <si>
    <t>日期码格式：ZURU INC(BVI) 标准格式 日期：按实际生产日期 
Packaging Info:
 25282: 全套MA英语UPC包装（首选1L，如果无1L可用多语含英语）+ 箱唛 + 外箱SCC Label，包装材质为PET;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</si>
  <si>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Lydia Wu</t>
  </si>
  <si>
    <t>94691-4.2</t>
  </si>
  <si>
    <t>KMART AUSTRALIA LTD(NEW ZEALAND)</t>
  </si>
  <si>
    <t>4500158157-50</t>
  </si>
  <si>
    <t>日期码格式：ZURU INC(BVI) 标准格式 日期：按实际生产日期 
Packaging Info: 
 25282: 全套MA英语UPC包装（首选1L，如果无1L可用多语含英语）+ 箱唛 + 外箱SCC Label，包装材质为PET;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</si>
  <si>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94692-4.2</t>
  </si>
  <si>
    <t>4500158935-10</t>
  </si>
  <si>
    <t>25282B-2023-S001-3L</t>
  </si>
  <si>
    <t>25282B-2023-S001</t>
  </si>
  <si>
    <t>4/6出货</t>
  </si>
  <si>
    <t>翻单#4500116913</t>
  </si>
  <si>
    <t>最新MA 3L+23L包装++MA最新9L 说明书+客版WEEE通用说明书（电池盖加ZURU FRANCE 地址）</t>
  </si>
  <si>
    <t>日期码格式：ZURU INC(BVI) 标准格式 日期：按实际生产日期
Packaging Info: 25282B：最新MA 3L+23L包装 +UPC条码贴纸(25282B#193052063182)翻单#4500116913+德语callout贴纸翻单#4500116913+MA最新9L 说明书+客版WEEE通用说明书(带
 电池)
Remark: 1. 此单出德国，需要满足Zuru Standard欧洲标准测试要求；
 2. 请准时出货，推期会有罚款；
 3. 出口欧洲，微塑料需符合法规。
 4. 大货样品一套
 5. 所有电子产品身上需要加字唛，为ZURU FRANCE 地址 (如无电子产品，或者产品布标有此地址，可忽略此信息)
 ZURU France 1/3, Rue d'Argenteuil 95210 SAINT-GRATIEN, FRANCE
 6. 标准配比
 7. 所有出往德国订单的电子产品需增加一张客版WEEE声明通用说明书纸，区分带电池和不带电池版本。如已做客版说明书可忽略此要求。</t>
  </si>
  <si>
    <t>4500158935-20</t>
  </si>
  <si>
    <t>25282D-2023-S001-3L</t>
  </si>
  <si>
    <t>25282D-2023-S001</t>
  </si>
  <si>
    <t>日期码格式：ZURU INC(BVI) 标准格式 日期：按实际生产日期 
Packaging Info:
 25282D：最新MA 3L+23L包装 +UPC条码贴纸(25282D#193052063199)翻单#4500116913+德语callout贴纸翻单#4500116913+MA最新9L 说明书+客版WEEE通用说明书(带
 电池)
Remark: 1. 此单出德国，需要满足Zuru Standard欧洲标准测试要求；
 2. 请准时出货，推期会有罚款；
 3. 出口欧洲，微塑料需符合法规。
 4. 大货样品一套
 5. 所有电子产品身上需要加字唛，为ZURU FRANCE 地址 (如无电子产品，或者产品布标有此地址，可忽略此信息)
 ZURU France 1/3, Rue d'Argenteuil 95210 SAINT-GRATIEN, FRANCE
 6. 标准配比
 7. 所有出往德国订单的电子产品需增加一张客版WEEE声明通用说明书纸，区分带电池和不带电池版本。如已做客版说明书可忽略此要求。</t>
  </si>
  <si>
    <t>MEIJER</t>
  </si>
  <si>
    <t>4500156266-10</t>
  </si>
  <si>
    <t>25282-2023-S014</t>
  </si>
  <si>
    <t>鯊魚3只装</t>
  </si>
  <si>
    <t>日期码格式：ZURU INC(BVI) 标准格式 日期：按实际生产日期 
Packaging Info:  1. MA 1L 包装
  2. 客人指定箱唛排版
Remark: 出货前 Zuru QC 验货</t>
  </si>
  <si>
    <t>ZB00122-4.10</t>
  </si>
  <si>
    <t>4500156267-10</t>
  </si>
  <si>
    <t>日期码格式：ZURU INC(BVI) 标准格式 日期：按实际生产日期
Packaging Info: 1. MA 1L 包装
 2. 客人指定箱唛排版
Remark: 出货前 Zuru QC 验货</t>
  </si>
  <si>
    <t>ZB00123-4.10</t>
  </si>
  <si>
    <t>4500158785-50</t>
  </si>
  <si>
    <r>
      <rPr>
        <sz val="10"/>
        <color rgb="FF0E2EF0"/>
        <rFont val="宋体"/>
        <charset val="0"/>
      </rPr>
      <t>全套</t>
    </r>
    <r>
      <rPr>
        <sz val="10"/>
        <color rgb="FF0E2EF0"/>
        <rFont val="Arial"/>
        <charset val="0"/>
      </rPr>
      <t>MA</t>
    </r>
    <r>
      <rPr>
        <sz val="10"/>
        <color rgb="FF0E2EF0"/>
        <rFont val="宋体"/>
        <charset val="0"/>
      </rPr>
      <t>英语</t>
    </r>
    <r>
      <rPr>
        <sz val="10"/>
        <color rgb="FF0E2EF0"/>
        <rFont val="Arial"/>
        <charset val="0"/>
      </rPr>
      <t>UPC</t>
    </r>
    <r>
      <rPr>
        <sz val="10"/>
        <color rgb="FF0E2EF0"/>
        <rFont val="宋体"/>
        <charset val="0"/>
      </rPr>
      <t>包装</t>
    </r>
  </si>
  <si>
    <t>日期码格式：ZURU INC(BVI) 标准格式 日期：按实际生产日期 
Packaging Info: 
 25282: 全套MA英语UPC包装（首选1L，如果无1L可用多语含英语）+ 箱唛 + 外箱SCC Label，包装材质为PET;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</si>
  <si>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94744-4.10</t>
  </si>
  <si>
    <t>4500158787-50</t>
  </si>
  <si>
    <t>日期码格式：ZURU INC(BVI) 标准格式 日期：按实际生产日期 
Packaging Info: 
 25282: 全套MA英语UPC包装（首选1L，如果无1L可用多语含英语）+ 箱唛 + 外箱SCC Label，包装材质为PET;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</si>
  <si>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94743-4.10</t>
  </si>
  <si>
    <t>4500159721-10</t>
  </si>
  <si>
    <t>恢复出货</t>
  </si>
  <si>
    <r>
      <rPr>
        <sz val="10"/>
        <color rgb="FF0E2EF0"/>
        <rFont val="Arial"/>
        <charset val="0"/>
      </rPr>
      <t>5/9</t>
    </r>
    <r>
      <rPr>
        <sz val="10"/>
        <color rgb="FF0E2EF0"/>
        <rFont val="宋体"/>
        <charset val="0"/>
      </rPr>
      <t>出货</t>
    </r>
  </si>
  <si>
    <r>
      <rPr>
        <sz val="10"/>
        <color rgb="FF0E2EF0"/>
        <rFont val="Arial"/>
        <charset val="0"/>
      </rPr>
      <t xml:space="preserve">ZURU MA UPC </t>
    </r>
    <r>
      <rPr>
        <sz val="10"/>
        <color rgb="FF0E2EF0"/>
        <rFont val="宋体"/>
        <charset val="0"/>
      </rPr>
      <t>现有版本包装</t>
    </r>
  </si>
  <si>
    <t>ZB00210-5.9</t>
  </si>
  <si>
    <t>4500160268-30</t>
  </si>
  <si>
    <t>全套MA英语UPC包装</t>
  </si>
  <si>
    <t>日期码格式：ZURU INC(BVI) 标准格式 日期：按实际生产日期
Packaging Info:
25282: 全套MA英语UPC包装（首选1L，如果无1L可用多语含英语）+ 箱唛 + 外箱SCC Label，包装材质为PET;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92119实际为LCL出货</t>
  </si>
  <si>
    <t>94836-4.24</t>
  </si>
  <si>
    <t>4500160271-20</t>
  </si>
  <si>
    <t>日期码格式：ZURU INC(BVI) 标准格式 日期：按实际生产日期
Packaging Info:
25282: 全套MA英语UPC包装（首选1L，如果无1L可用多语含英语）+ 箱唛 + 外箱SCC Label，包装材质为PET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92119实际为LCL出货</t>
  </si>
  <si>
    <t>94825-4.24</t>
  </si>
  <si>
    <t>ALDI South -GmbH &amp; Co. OhG</t>
  </si>
  <si>
    <r>
      <rPr>
        <sz val="11"/>
        <color rgb="FF0E2EF0"/>
        <rFont val="宋体"/>
        <charset val="0"/>
      </rPr>
      <t>出德国</t>
    </r>
    <r>
      <rPr>
        <sz val="11"/>
        <color rgb="FF0E2EF0"/>
        <rFont val="Arial"/>
        <charset val="0"/>
      </rPr>
      <t>Germany
(S)</t>
    </r>
  </si>
  <si>
    <t>4500152757-10</t>
  </si>
  <si>
    <t>4/23第三方</t>
  </si>
  <si>
    <r>
      <rPr>
        <sz val="10"/>
        <color rgb="FF0E2EF0"/>
        <rFont val="Arial"/>
        <charset val="0"/>
      </rPr>
      <t>5/5</t>
    </r>
    <r>
      <rPr>
        <sz val="10"/>
        <color rgb="FF0E2EF0"/>
        <rFont val="宋体"/>
        <charset val="0"/>
      </rPr>
      <t>出货</t>
    </r>
  </si>
  <si>
    <t>3/7 
双坑/保护卡</t>
  </si>
  <si>
    <t>电池盖打印客户进口商地址（内容位置与4500152754一致）</t>
  </si>
  <si>
    <r>
      <rPr>
        <sz val="10"/>
        <color rgb="FF0E2EF0"/>
        <rFont val="宋体"/>
        <charset val="0"/>
      </rPr>
      <t>新客版彩卡，客版</t>
    </r>
    <r>
      <rPr>
        <sz val="10"/>
        <color rgb="FF0E2EF0"/>
        <rFont val="Arial"/>
        <charset val="0"/>
      </rPr>
      <t>6L</t>
    </r>
    <r>
      <rPr>
        <sz val="10"/>
        <color rgb="FF0E2EF0"/>
        <rFont val="宋体"/>
        <charset val="0"/>
      </rPr>
      <t>说明书</t>
    </r>
    <r>
      <rPr>
        <sz val="10"/>
        <color rgb="FF0E2EF0"/>
        <rFont val="Arial"/>
        <charset val="0"/>
      </rPr>
      <t>(</t>
    </r>
    <r>
      <rPr>
        <sz val="10"/>
        <color rgb="FF0E2EF0"/>
        <rFont val="宋体"/>
        <charset val="0"/>
      </rPr>
      <t>翻单：</t>
    </r>
    <r>
      <rPr>
        <sz val="10"/>
        <color rgb="FF0E2EF0"/>
        <rFont val="Arial"/>
        <charset val="0"/>
      </rPr>
      <t>4500152754)</t>
    </r>
    <r>
      <rPr>
        <sz val="10"/>
        <color rgb="FF0E2EF0"/>
        <rFont val="宋体"/>
        <charset val="0"/>
      </rPr>
      <t>，</t>
    </r>
    <r>
      <rPr>
        <sz val="10"/>
        <color rgb="FF0E2EF0"/>
        <rFont val="Arial"/>
        <charset val="0"/>
      </rPr>
      <t>8L WEEE</t>
    </r>
    <r>
      <rPr>
        <sz val="10"/>
        <color rgb="FF0E2EF0"/>
        <rFont val="宋体"/>
        <charset val="0"/>
      </rPr>
      <t>说明书</t>
    </r>
    <r>
      <rPr>
        <sz val="10"/>
        <color rgb="FF0E2EF0"/>
        <rFont val="Arial"/>
        <charset val="0"/>
      </rPr>
      <t>(</t>
    </r>
    <r>
      <rPr>
        <sz val="10"/>
        <color rgb="FF0E2EF0"/>
        <rFont val="宋体"/>
        <charset val="0"/>
      </rPr>
      <t>翻单：</t>
    </r>
    <r>
      <rPr>
        <sz val="10"/>
        <color rgb="FF0E2EF0"/>
        <rFont val="Arial"/>
        <charset val="0"/>
      </rPr>
      <t>4500152754)</t>
    </r>
  </si>
  <si>
    <t>日期码格式：ZURU INC(BVI) 标准格式 日期：按实际生产日期
Packaging Info: 1.包装：客版彩卡，客版6L说明书(翻单：4500152754)，8L WEEE说明书(翻单：4500152754), 不同颜色鲨鱼彩盒的条码不一样；
 条码需要通过客户的扫描ok后，才能印刷彩盒大货。
 25282A-2023: 4894680034457 (YELLOW)
 25282B-2023: 4894680034464 (BLUE)
 25282D-2023: 4894680034471 (PINK)
 ITEM 25282-2023-S001 12PCS/CTN，比例如下,
 不同颜色鲨鱼的彩盒上面的条码不同, 具体请见以下：
 Baby Shark(yellow)/ Mummy Shark(pink)/ Daddy Shark(blue)=1:1:1;
 include 3pcs AAA carbon batteries;
Remark: 3.产品上面需用打印 客户进口商地址，务必要清晰. (内容位置与4500152754一致)
 ZURU FRANCE
 1/3, Rue d'Argenteuil 95210 SAINT-GRATIEN FRANCE.
 care@zuru.com
 4. 此单客户需要大货样品15套。请务必多备彩卡，说明书等客版物料，LGA 认证测试需要的。
 5.此单出欧洲德国，所有材料需满足德国和欧洲的GS 相关测试。具体测试要求会在邮件中提供。
待客户通知测试OK后才可以安排大货生产，且大货的原材料需与测试样品的原材料一致；
 6.TUV 将在工厂做30% ，和100% 验货，所以请多备一些物料供验货用；
 7.外箱尺寸请参考PO外箱尺寸，如果有调整需先与跟单确认；
 要求外箱必须为坚固5层纸FEFCO-ASSCO-Code 0204及再造纸材料造成，外箱上下必须各放上一张可遮盖全层面积的瓦楞纸板（至少450g/m2）以作开箱之保护。
 箱唛上面箱规和重量与实际的箱唛箱规和重量差值不能超过3%。外箱的印刷净重为所有产品不含包装的重量。
 8.每个货柜柜尾需加Loading net；
 9.ALDI客人订单所有原材料、成品都不得放置于露天环境，需放置室内仓库中。</t>
  </si>
  <si>
    <t xml:space="preserve"> Amy Xiao</t>
  </si>
  <si>
    <t>94929-5.6</t>
  </si>
  <si>
    <t>4500152757-20</t>
  </si>
  <si>
    <t>瑞士</t>
  </si>
  <si>
    <r>
      <rPr>
        <sz val="11"/>
        <color rgb="FF0E2EF0"/>
        <rFont val="宋体"/>
        <charset val="0"/>
      </rPr>
      <t>出瑞士</t>
    </r>
    <r>
      <rPr>
        <sz val="11"/>
        <color rgb="FF0E2EF0"/>
        <rFont val="Arial"/>
        <charset val="0"/>
      </rPr>
      <t>Switzer
land</t>
    </r>
  </si>
  <si>
    <t>4500152757-30</t>
  </si>
  <si>
    <t>匈牙利</t>
  </si>
  <si>
    <r>
      <rPr>
        <sz val="11"/>
        <color rgb="FF0E2EF0"/>
        <rFont val="宋体"/>
        <charset val="0"/>
      </rPr>
      <t>出匈牙利</t>
    </r>
    <r>
      <rPr>
        <sz val="11"/>
        <color rgb="FF0E2EF0"/>
        <rFont val="Arial"/>
        <charset val="0"/>
      </rPr>
      <t>Hunga
ry</t>
    </r>
  </si>
  <si>
    <t>4500152757-40</t>
  </si>
  <si>
    <t>意大利</t>
  </si>
  <si>
    <r>
      <rPr>
        <sz val="11"/>
        <color rgb="FF0E2EF0"/>
        <rFont val="宋体"/>
        <charset val="0"/>
      </rPr>
      <t>出意大利</t>
    </r>
    <r>
      <rPr>
        <sz val="11"/>
        <color rgb="FF0E2EF0"/>
        <rFont val="Arial"/>
        <charset val="0"/>
      </rPr>
      <t>Italy</t>
    </r>
  </si>
  <si>
    <t>4500152757-50</t>
  </si>
  <si>
    <t>日期码格式：ZURU INC(BVI) 标准格式 日期：按实际生产日期
Packaging Info: 1.包装：客版彩卡，客版6L说明书(翻单：4500152754)，8L WEEE说明书(翻单：4500152754), 不同颜色鲨鱼彩盒的条码不一样；
条码需要通过客户的扫描ok后，才能印刷彩盒大货。
25282A-2023: 4894680034457 (YELLOW)
25282B-2023: 4894680034464 (BLUE)
25282D-2023: 4894680034471 (PINK)
ITEM 25282-2023-S001 12PCS/CTN，比例如下,
不同颜色鲨鱼的彩盒上面的条码不同, 具体请见以下：
Baby Shark(yellow)/ Mummy Shark(pink)/ Daddy Shark(blue)=1:1:1;
include 3pcs AAA carbon batteries;
Remark: 3.产品上面需用打印 客户进口商地址，务必要清晰. (内容位置与4500152754一致)
ZURU FRANCE
1/3, Rue d'Argenteuil 95210 SAINT-GRATIEN FRANCE.
care@zuru.com
4. 此单客户需要大货样品15套。请务必多备彩卡，说明书等客版物料，LGA 认证测试需要的。
5.此单出欧洲德国，所有材料需满足德国和欧洲的GS 相关测试。具体测试要求会在邮件中提供。
待客户通知测试OK后才可以安排大货生产，且大货的原材料需与测试样品的原材料一致；
6.TUV 将在工厂做30% ，和100% 验货，所以请多备一些物料供验货用；
7.外箱尺寸请参考PO外箱尺寸，如果有调整需先与跟单确认；
要求外箱必须为坚固5层纸FEFCO-ASSCO-Code 0204及再造纸材料造成，外箱上下必须各放上一张可遮盖全层面积的瓦楞纸板（至少450g/m2）以作开箱之保护。
箱唛上面箱规和重量与实际的箱唛箱规和重量差值不能超过3%。外箱的印刷净重为所有产品不含包装的重量。
8.每个货柜柜尾需加Loading net；
9.ALDI客人订单所有原材料、成品都不得放置于露天环境，需放置室内仓库中。</t>
  </si>
  <si>
    <t>Babyhouse</t>
  </si>
  <si>
    <t>乌兹别克斯坦</t>
  </si>
  <si>
    <t>4500159866-110</t>
  </si>
  <si>
    <t>MA 彩卡+MA 说明书</t>
  </si>
  <si>
    <t>日期码格式：ZURU INC(BVI) 标准格式 日期：按实际生产日期
Packaging Info:
25282: MA 彩卡+ 进口商贴纸 ; MA 说明书/指南（如有）.
Remark: 标准配比</t>
  </si>
  <si>
    <t>94879-4.29</t>
  </si>
  <si>
    <t>TOY KINGDOM (PTY) LTD</t>
  </si>
  <si>
    <t>4500161136-20</t>
  </si>
  <si>
    <t xml:space="preserve"> MA PKG</t>
  </si>
  <si>
    <t>日期码格式：ZURU INC(BVI) 标准格式 日期：按实际生产日期
Packaging Info: MA PKG ,优先1L
Remark:</t>
  </si>
  <si>
    <t>94837-4.24</t>
  </si>
  <si>
    <r>
      <rPr>
        <sz val="11"/>
        <color rgb="FF0E2EF0"/>
        <rFont val="宋体"/>
        <charset val="0"/>
      </rPr>
      <t>客户</t>
    </r>
    <r>
      <rPr>
        <sz val="11"/>
        <color rgb="FF0E2EF0"/>
        <rFont val="Arial"/>
        <charset val="0"/>
      </rPr>
      <t>PO:440047
1624</t>
    </r>
  </si>
  <si>
    <t>4500160258-20</t>
  </si>
  <si>
    <t>翻PO#4500116913</t>
  </si>
  <si>
    <r>
      <rPr>
        <sz val="10"/>
        <color rgb="FF0E2EF0"/>
        <rFont val="Arial"/>
        <charset val="0"/>
      </rPr>
      <t>MA3L+23L</t>
    </r>
    <r>
      <rPr>
        <sz val="10"/>
        <color rgb="FF0E2EF0"/>
        <rFont val="宋体"/>
        <charset val="0"/>
      </rPr>
      <t>警告语</t>
    </r>
    <r>
      <rPr>
        <sz val="10"/>
        <color rgb="FF0E2EF0"/>
        <rFont val="Arial"/>
        <charset val="0"/>
      </rPr>
      <t xml:space="preserve"> MA</t>
    </r>
    <r>
      <rPr>
        <sz val="10"/>
        <color rgb="FF0E2EF0"/>
        <rFont val="宋体"/>
        <charset val="0"/>
      </rPr>
      <t>彩盒</t>
    </r>
    <r>
      <rPr>
        <sz val="10"/>
        <color rgb="FF0E2EF0"/>
        <rFont val="Arial"/>
        <charset val="0"/>
      </rPr>
      <t>+MA</t>
    </r>
    <r>
      <rPr>
        <sz val="10"/>
        <color rgb="FF0E2EF0"/>
        <rFont val="宋体"/>
        <charset val="0"/>
      </rPr>
      <t>最新</t>
    </r>
    <r>
      <rPr>
        <sz val="10"/>
        <color rgb="FF0E2EF0"/>
        <rFont val="Arial"/>
        <charset val="0"/>
      </rPr>
      <t>9L</t>
    </r>
    <r>
      <rPr>
        <sz val="10"/>
        <color rgb="FF0E2EF0"/>
        <rFont val="宋体"/>
        <charset val="0"/>
      </rPr>
      <t>说明书</t>
    </r>
  </si>
  <si>
    <t>日期码格式：ZURU INC(BVI) 标准格式 日期：按实际生产日期 
Packaging Info: 
 25282B: MA3L+23L警告语 MA彩盒+一张新的UPC条码贴纸(25282B#193052063182)+一张德语callout贴纸+MA最新9L 说明书--贴纸和位置图都翻PO#4500116913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</si>
  <si>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94932-5.6</t>
  </si>
  <si>
    <t>4500160258-10</t>
  </si>
  <si>
    <t>日期码格式：ZURU INC(BVI) 标准格式 日期：按实际生产日期 
Packaging Info: 25282D: MA3L+23L警告语 MA彩盒+一张新的UPC条码贴纸(25282D#193052063199)+一张德语callout贴纸+MA最新9L 说明书--贴纸和位置图都翻PO#4500116913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</si>
  <si>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Amazon
UK:8YHNJ9PS</t>
  </si>
  <si>
    <t>4500160662-10</t>
  </si>
  <si>
    <t>71109D-2023-S001</t>
  </si>
  <si>
    <r>
      <rPr>
        <sz val="10"/>
        <color rgb="FF0E2EF0"/>
        <rFont val="Arial"/>
        <charset val="0"/>
      </rPr>
      <t>5/13</t>
    </r>
    <r>
      <rPr>
        <sz val="10"/>
        <color rgb="FF0E2EF0"/>
        <rFont val="宋体"/>
        <charset val="0"/>
      </rPr>
      <t>交仓</t>
    </r>
  </si>
  <si>
    <t>空白外箱（加印带Zuru字样的最新logo，除了邮包盒直接做外箱的产品） + SSCC LABEL一张, 无箱唛，MADE IN CHINA 外箱只印一正一侧。</t>
  </si>
  <si>
    <t>客版彩盒包装(参考PO#4500112288)+MA最新9L G版说明书</t>
  </si>
  <si>
    <t>日期码格式：ZURU INC(BVI) 标准格式 日期：按实际生产日期
Packaging Info: Amazon UK(71109D)
3. 71109D：24pcs 25282/ctn,pink; 客版彩盒包装(参考PO#4500112288)+MA 9L G版说明书+2张贴纸(1张IT环保标+UPC#， 参考翻单PO#4500114777；1张ES回收环保标志1号，参考翻单PO#4500142613)；
11. 最迟验货不得晚于2025/4/30;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</si>
  <si>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4500159816-10</t>
  </si>
  <si>
    <t>日期码格式：ZURU INC(BVI) 标准格式 日期：按实际生产日期
Packaging Info: 1.25282-2023-S004：MA 1L UPC包装+一张防盗贴纸（贴纸类型10111887: 410 ECON，请工厂自行跟checkpoint供应商订购贴纸), 防盗贴纸贴在条码背面，贴纸和位
置图翻PO#4500095305
UPC#193052062611，请先检查包装条码是否正确再安排做货
Remark: 1）外箱有条码要求，排版时请留意并请确保条码清晰可扫描（封箱胶不要黏到条码上), 否则客人会有罚款。
2) 订单出英国，产品及包装需要印UKCA图标，包装需要有ZURU UK LTD/ZURU France地址信息，QC同事请查核，如有问题与跟单确认。
3) 箱唛日期码与包装保持一致
4) 若外箱重量超过16KGS，请提前告知ZURU跟单，需要客人批准才能出货，并且外箱需要印2 man lift标志</t>
  </si>
  <si>
    <t>BRK1174933227</t>
  </si>
  <si>
    <t>4500160346-10</t>
  </si>
  <si>
    <r>
      <rPr>
        <sz val="10"/>
        <color rgb="FF0E2EF0"/>
        <rFont val="Arial"/>
        <charset val="0"/>
      </rPr>
      <t>5/21</t>
    </r>
    <r>
      <rPr>
        <sz val="10"/>
        <color rgb="FF0E2EF0"/>
        <rFont val="宋体"/>
        <charset val="0"/>
      </rPr>
      <t>出</t>
    </r>
  </si>
  <si>
    <r>
      <rPr>
        <sz val="10"/>
        <color rgb="FF0E2EF0"/>
        <rFont val="Arial"/>
        <charset val="0"/>
      </rPr>
      <t xml:space="preserve">MA PKG, </t>
    </r>
    <r>
      <rPr>
        <sz val="10"/>
        <color rgb="FF0E2EF0"/>
        <rFont val="宋体"/>
        <charset val="0"/>
      </rPr>
      <t>优先</t>
    </r>
    <r>
      <rPr>
        <sz val="10"/>
        <color rgb="FF0E2EF0"/>
        <rFont val="Arial"/>
        <charset val="0"/>
      </rPr>
      <t>1L</t>
    </r>
  </si>
  <si>
    <t>日期码格式：ZURU INC(BVI) 标准格式 日期：按实际生产日期
Packaging Info: MA PKG, 优先1L
Remark: 请留意箱唛色带高度为40mm, 色带顶部需留出10mm高空白地方
客户PO#BRK1174933227</t>
  </si>
  <si>
    <t>2025ZURU11</t>
  </si>
  <si>
    <t>4500159666-50</t>
  </si>
  <si>
    <r>
      <rPr>
        <sz val="10"/>
        <color rgb="FF0E2EF0"/>
        <rFont val="Arial"/>
        <charset val="0"/>
      </rPr>
      <t>5/20</t>
    </r>
    <r>
      <rPr>
        <sz val="10"/>
        <color rgb="FF0E2EF0"/>
        <rFont val="宋体"/>
        <charset val="0"/>
      </rPr>
      <t>出</t>
    </r>
  </si>
  <si>
    <r>
      <rPr>
        <sz val="10"/>
        <color rgb="FF0E2EF0"/>
        <rFont val="Arial"/>
        <charset val="0"/>
      </rPr>
      <t xml:space="preserve">MA </t>
    </r>
    <r>
      <rPr>
        <sz val="10"/>
        <color rgb="FF0E2EF0"/>
        <rFont val="宋体"/>
        <charset val="0"/>
      </rPr>
      <t>多语</t>
    </r>
    <r>
      <rPr>
        <sz val="10"/>
        <color rgb="FF0E2EF0"/>
        <rFont val="Arial"/>
        <charset val="0"/>
      </rPr>
      <t>UPC</t>
    </r>
    <r>
      <rPr>
        <sz val="10"/>
        <color rgb="FF0E2EF0"/>
        <rFont val="宋体"/>
        <charset val="0"/>
      </rPr>
      <t>包装</t>
    </r>
  </si>
  <si>
    <t>日期码格式： 标准格式 日期：按实际生产日期 
Packaging Info: 
 25282 MA 多语UPC包装， UPC号码193052062611
Remark: 出加拿大
Zuru验货.日期跟踪码：产品外包装及产品本身都必须有日期跟踪码，ZURU标准格式日期码。（箱唛日期码按跟单提供格式）</t>
  </si>
  <si>
    <t>4500161960-70</t>
  </si>
  <si>
    <t>5/14-5/16出</t>
  </si>
  <si>
    <t>日期码格式：ZURU INC(BVI) 标准格式 日期：按实际生产日期
Packaging Info: 
25282: 全套MA英语UPC包装（首选1L，如果无1L可用多语含英语）+ 箱唛 + 外箱SCC Label，包装材质为PET;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</si>
  <si>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4500161963-60</t>
  </si>
  <si>
    <t>日期码格式：ZURU INC(BVI) 标准格式 日期：按实际生产日期
Packaging Info: 
25282: 全套MA英语UPC包装（首选1L，如果无1L可用多语含英语）+ 箱唛 + 外箱SCC Label，包装材质为PET;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</si>
  <si>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4500163159-10</t>
  </si>
  <si>
    <r>
      <rPr>
        <sz val="10"/>
        <color rgb="FF0E2EF0"/>
        <rFont val="Arial"/>
        <charset val="0"/>
      </rPr>
      <t>5/27</t>
    </r>
    <r>
      <rPr>
        <sz val="10"/>
        <color rgb="FF0E2EF0"/>
        <rFont val="宋体"/>
        <charset val="0"/>
      </rPr>
      <t>出</t>
    </r>
  </si>
  <si>
    <t>4500163162-10</t>
  </si>
  <si>
    <t>4500162968-100</t>
  </si>
  <si>
    <t>包装材质为PET</t>
  </si>
  <si>
    <r>
      <rPr>
        <sz val="10"/>
        <color rgb="FF0E2EF0"/>
        <rFont val="Arial"/>
        <charset val="0"/>
      </rPr>
      <t>5/27-5/30</t>
    </r>
    <r>
      <rPr>
        <sz val="10"/>
        <color rgb="FF0E2EF0"/>
        <rFont val="宋体"/>
        <charset val="0"/>
      </rPr>
      <t>出</t>
    </r>
  </si>
  <si>
    <t>5/6-外箱贴</t>
  </si>
  <si>
    <t>4500162969-70</t>
  </si>
  <si>
    <t>4500159720-10</t>
  </si>
  <si>
    <r>
      <rPr>
        <sz val="10"/>
        <color rgb="FF0E2EF0"/>
        <rFont val="Arial"/>
        <charset val="0"/>
      </rPr>
      <t>4/13</t>
    </r>
    <r>
      <rPr>
        <sz val="10"/>
        <color rgb="FF0E2EF0"/>
        <rFont val="宋体"/>
        <charset val="0"/>
      </rPr>
      <t>出货</t>
    </r>
  </si>
  <si>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t>
  </si>
  <si>
    <t>AB Gee of Ripley Ltd.</t>
  </si>
  <si>
    <t>777 3APR25</t>
  </si>
  <si>
    <t>4500164759-80</t>
  </si>
  <si>
    <r>
      <rPr>
        <sz val="10"/>
        <color rgb="FF0E2EF0"/>
        <rFont val="Arial"/>
        <charset val="0"/>
      </rPr>
      <t>6/9</t>
    </r>
    <r>
      <rPr>
        <sz val="10"/>
        <color rgb="FF0E2EF0"/>
        <rFont val="宋体"/>
        <charset val="0"/>
      </rPr>
      <t>出</t>
    </r>
  </si>
  <si>
    <t>MA 最新UPC包装+WEEE带电池走货欧洲30语通用黑白说明书</t>
  </si>
  <si>
    <t>日期码格式：ZURU INC(BVI) 标准格式 日期：按实际生产日期
Packaging Info: 
8. 25282-2023-S001: MA 最新UPC包装+WEEE带电池走货欧洲30语通用黑白说明书, UPC#193052062611，请先检查条码是否正确再安排做货，如有问题请告知
Remark: 1.产品及包装需要印UKCA图标，包装需要有ZURU UK LTD/ZURU France地址信息，QC同事请核查，如有问题与跟单确认。
2. 需要符合欧洲标准不能含有闪粉和微塑料，否则不合法规会有客诉产生</t>
  </si>
  <si>
    <t>4500165216-10</t>
  </si>
  <si>
    <r>
      <rPr>
        <sz val="10"/>
        <color rgb="FF0E2EF0"/>
        <rFont val="Arial"/>
        <charset val="0"/>
      </rPr>
      <t>6/11-6/13</t>
    </r>
    <r>
      <rPr>
        <sz val="10"/>
        <color rgb="FF0E2EF0"/>
        <rFont val="宋体"/>
        <charset val="0"/>
      </rPr>
      <t>出</t>
    </r>
  </si>
  <si>
    <t>5/20-外箱贴</t>
  </si>
  <si>
    <t>日期码格式：ZURU INC(BVI) 标准格式 日期：按实际生产日期
Packaging Info: 25282: 全套MA英语UPC包装（首选1L，如果无1L可用多语含英语）+ 箱唛 + 外箱SCC Label，包装材质为PET;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</si>
  <si>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4500165215-10</t>
  </si>
  <si>
    <t>日期码格式：ZURU INC(BVI) 标准格式 日期：按实际生产日期
Packaging Info: 25282: 全套MA英语UPC包装（首选1L，如果无1L可用多语含英语）+ 箱唛 + 外箱SCC Label，包装材质为PET;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</si>
  <si>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4500165069-10</t>
  </si>
  <si>
    <r>
      <rPr>
        <sz val="10"/>
        <color rgb="FF0E2EF0"/>
        <rFont val="Arial"/>
        <charset val="0"/>
      </rPr>
      <t>6/17</t>
    </r>
    <r>
      <rPr>
        <sz val="10"/>
        <color rgb="FF0E2EF0"/>
        <rFont val="宋体"/>
        <charset val="0"/>
      </rPr>
      <t>出</t>
    </r>
  </si>
  <si>
    <t>UPC条码贴纸+德语callout贴纸翻4500116913</t>
  </si>
  <si>
    <t>25282D：MA3L+23L警告语 MA彩盒</t>
  </si>
  <si>
    <t>日期码格式：ZURU INC(BVI) 标准格式 日期：按实际生产日期
Packaging Info: 25282D：MA3L+23L警告语 MA彩盒+一张新的UPC条码贴纸(25282D#193052063199)+一张德语callout贴纸+MA最新9L 说明书+WEEE声明通用30L说明书（带电池），贴
 纸都翻PO#4500116913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</si>
  <si>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4500165069-20</t>
  </si>
  <si>
    <t>25282B：MA3L+23L警告语 MA彩盒</t>
  </si>
  <si>
    <t>日期码格式：ZURU INC(BVI) 标准格式 日期：按实际生产日期
Packaging Info: 
 25282B：MA3L+23L警告语 MA彩盒+一张新的UPC条码贴纸(25282B#193052063182)+一张德语callout贴纸+MA最新9L 说明书+WEEE声明通用30L说明书（带电池），贴
 纸都翻PO#4500116913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</si>
  <si>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4500165069-30</t>
  </si>
  <si>
    <t>25282A-2023-S001-3L</t>
  </si>
  <si>
    <t>25282A-2023-S001</t>
  </si>
  <si>
    <t>黄色鲨鱼</t>
  </si>
  <si>
    <t>25282A：MA3L+23L警告语 MA彩盒</t>
  </si>
  <si>
    <t>日期码格式：ZURU INC(BVI) 标准格式 日期：按实际生产日期
Packaging Info: 
 25282A：MA3L+23L警告语 MA彩盒(25282A UPC#193052062611)+一张德语callout贴纸（翻单#4500116913）+MA最新9L 说明书+WEEE声明通用30L说明书（带电池）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</si>
  <si>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 xml:space="preserve"> Amazon CA (Vendor Center)</t>
  </si>
  <si>
    <t>19C98GMO</t>
  </si>
  <si>
    <t>4500166364-20</t>
  </si>
  <si>
    <t>71109A-2023-S001</t>
  </si>
  <si>
    <t>5/14收到</t>
  </si>
  <si>
    <t>5/24-外箱贴纸</t>
  </si>
  <si>
    <t>5/24-客供防伪帖纸</t>
  </si>
  <si>
    <t>彩盒图稿跟翻单#450011228</t>
  </si>
  <si>
    <t>日期码格式：ZURU INC(BVI) 标准格式 日期：按实际生产日期
Packaging Info: 
 #71109 产品直接入彩盒+MA说明书， 彩盒图稿跟翻单#4500112288. A：193052062963 ， #71109要加一张客供防伪帖纸，贴纸跟单提供。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</si>
  <si>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 xml:space="preserve"> Kelly Shen</t>
  </si>
  <si>
    <t>8R7Y6M5E</t>
  </si>
  <si>
    <t>4500166364-30</t>
  </si>
  <si>
    <t>1TDPXHHX</t>
  </si>
  <si>
    <t>4500166364-40</t>
  </si>
  <si>
    <t>65CNVY3H</t>
  </si>
  <si>
    <t>4500166364-50</t>
  </si>
  <si>
    <t>8OVYYMJM</t>
  </si>
  <si>
    <t>4500166364-60</t>
  </si>
  <si>
    <t>1ND8JA6B</t>
  </si>
  <si>
    <t>4500166364-70</t>
  </si>
  <si>
    <t>191DBA2O</t>
  </si>
  <si>
    <t>4500166364-80</t>
  </si>
  <si>
    <t>B&amp;M RETAIL LIMITED</t>
  </si>
  <si>
    <r>
      <rPr>
        <sz val="11"/>
        <color rgb="FF0E2EF0"/>
        <rFont val="宋体"/>
        <charset val="0"/>
      </rPr>
      <t>客户</t>
    </r>
    <r>
      <rPr>
        <sz val="11"/>
        <color rgb="FF0E2EF0"/>
        <rFont val="Arial"/>
        <charset val="0"/>
      </rPr>
      <t>PO:019236
89/1</t>
    </r>
  </si>
  <si>
    <t>4500159588-30</t>
  </si>
  <si>
    <r>
      <rPr>
        <sz val="10"/>
        <color rgb="FF0E2EF0"/>
        <rFont val="Arial"/>
        <charset val="0"/>
      </rPr>
      <t>6/24</t>
    </r>
    <r>
      <rPr>
        <sz val="10"/>
        <color rgb="FF0E2EF0"/>
        <rFont val="宋体"/>
        <charset val="0"/>
      </rPr>
      <t>出</t>
    </r>
  </si>
  <si>
    <t>MA UPC版本</t>
  </si>
  <si>
    <r>
      <rPr>
        <sz val="11"/>
        <color rgb="FF0E2EF0"/>
        <rFont val="宋体"/>
        <charset val="0"/>
      </rPr>
      <t>日期码格式：</t>
    </r>
    <r>
      <rPr>
        <sz val="11"/>
        <color rgb="FF0E2EF0"/>
        <rFont val="Arial"/>
        <charset val="0"/>
      </rPr>
      <t xml:space="preserve">ZURU INC(BVI) </t>
    </r>
    <r>
      <rPr>
        <sz val="11"/>
        <color rgb="FF0E2EF0"/>
        <rFont val="宋体"/>
        <charset val="0"/>
      </rPr>
      <t>标准格式</t>
    </r>
    <r>
      <rPr>
        <sz val="11"/>
        <color rgb="FF0E2EF0"/>
        <rFont val="Arial"/>
        <charset val="0"/>
      </rPr>
      <t xml:space="preserve"> </t>
    </r>
    <r>
      <rPr>
        <sz val="11"/>
        <color rgb="FF0E2EF0"/>
        <rFont val="宋体"/>
        <charset val="0"/>
      </rPr>
      <t>日期：按实际生产日期</t>
    </r>
    <r>
      <rPr>
        <sz val="11"/>
        <color rgb="FF0E2EF0"/>
        <rFont val="Arial"/>
        <charset val="0"/>
      </rPr>
      <t xml:space="preserve">
Packaging Info: </t>
    </r>
    <r>
      <rPr>
        <sz val="11"/>
        <color rgb="FF0E2EF0"/>
        <rFont val="宋体"/>
        <charset val="0"/>
      </rPr>
      <t>订单对应</t>
    </r>
    <r>
      <rPr>
        <sz val="11"/>
        <color rgb="FF0E2EF0"/>
        <rFont val="Arial"/>
        <charset val="0"/>
      </rPr>
      <t>2</t>
    </r>
    <r>
      <rPr>
        <sz val="11"/>
        <color rgb="FF0E2EF0"/>
        <rFont val="宋体"/>
        <charset val="0"/>
      </rPr>
      <t>个</t>
    </r>
    <r>
      <rPr>
        <sz val="11"/>
        <color rgb="FF0E2EF0"/>
        <rFont val="Arial"/>
        <charset val="0"/>
      </rPr>
      <t>PO</t>
    </r>
    <r>
      <rPr>
        <sz val="11"/>
        <color rgb="FF0E2EF0"/>
        <rFont val="宋体"/>
        <charset val="0"/>
      </rPr>
      <t>，请分开做货，一个</t>
    </r>
    <r>
      <rPr>
        <sz val="11"/>
        <color rgb="FF0E2EF0"/>
        <rFont val="Arial"/>
        <charset val="0"/>
      </rPr>
      <t>PO</t>
    </r>
    <r>
      <rPr>
        <sz val="11"/>
        <color rgb="FF0E2EF0"/>
        <rFont val="宋体"/>
        <charset val="0"/>
      </rPr>
      <t>一个柜，</t>
    </r>
    <r>
      <rPr>
        <sz val="11"/>
        <color rgb="FF0E2EF0"/>
        <rFont val="Arial"/>
        <charset val="0"/>
      </rPr>
      <t xml:space="preserve"> </t>
    </r>
    <r>
      <rPr>
        <sz val="11"/>
        <color rgb="FF0E2EF0"/>
        <rFont val="宋体"/>
        <charset val="0"/>
      </rPr>
      <t>不要混装</t>
    </r>
    <r>
      <rPr>
        <sz val="11"/>
        <color rgb="FF0E2EF0"/>
        <rFont val="Arial"/>
        <charset val="0"/>
      </rPr>
      <t xml:space="preserve">
*MA UPC</t>
    </r>
    <r>
      <rPr>
        <sz val="11"/>
        <color rgb="FF0E2EF0"/>
        <rFont val="宋体"/>
        <charset val="0"/>
      </rPr>
      <t>版本按工厂现有最新库存即可，订单出英国，请注意检查产品及包装应带</t>
    </r>
    <r>
      <rPr>
        <sz val="11"/>
        <color rgb="FF0E2EF0"/>
        <rFont val="Arial"/>
        <charset val="0"/>
      </rPr>
      <t>UKCA</t>
    </r>
    <r>
      <rPr>
        <sz val="11"/>
        <color rgb="FF0E2EF0"/>
        <rFont val="宋体"/>
        <charset val="0"/>
      </rPr>
      <t>图标，包装显示</t>
    </r>
    <r>
      <rPr>
        <sz val="11"/>
        <color rgb="FF0E2EF0"/>
        <rFont val="Arial"/>
        <charset val="0"/>
      </rPr>
      <t>ZURU UK LTD</t>
    </r>
    <r>
      <rPr>
        <sz val="11"/>
        <color rgb="FF0E2EF0"/>
        <rFont val="宋体"/>
        <charset val="0"/>
      </rPr>
      <t>信息，</t>
    </r>
    <r>
      <rPr>
        <sz val="11"/>
        <color rgb="FF0E2EF0"/>
        <rFont val="Arial"/>
        <charset val="0"/>
      </rPr>
      <t>QC</t>
    </r>
    <r>
      <rPr>
        <sz val="11"/>
        <color rgb="FF0E2EF0"/>
        <rFont val="宋体"/>
        <charset val="0"/>
      </rPr>
      <t>同事请查核，如有问题与跟单确认。</t>
    </r>
    <r>
      <rPr>
        <sz val="11"/>
        <color rgb="FF0E2EF0"/>
        <rFont val="Arial"/>
        <charset val="0"/>
      </rPr>
      <t xml:space="preserve">
*</t>
    </r>
    <r>
      <rPr>
        <sz val="11"/>
        <color rgb="FF0E2EF0"/>
        <rFont val="宋体"/>
        <charset val="0"/>
      </rPr>
      <t>生产日期按实际（法定工作日），按</t>
    </r>
    <r>
      <rPr>
        <sz val="11"/>
        <color rgb="FF0E2EF0"/>
        <rFont val="Arial"/>
        <charset val="0"/>
      </rPr>
      <t>ZURU</t>
    </r>
    <r>
      <rPr>
        <sz val="11"/>
        <color rgb="FF0E2EF0"/>
        <rFont val="宋体"/>
        <charset val="0"/>
      </rPr>
      <t>标准格式即可</t>
    </r>
    <r>
      <rPr>
        <sz val="11"/>
        <color rgb="FF0E2EF0"/>
        <rFont val="Arial"/>
        <charset val="0"/>
      </rPr>
      <t xml:space="preserve"> </t>
    </r>
    <r>
      <rPr>
        <sz val="11"/>
        <color rgb="FF0E2EF0"/>
        <rFont val="宋体"/>
        <charset val="0"/>
      </rPr>
      <t>，但是请知悉包装日期码需要早于或者等于外箱日期码</t>
    </r>
    <r>
      <rPr>
        <sz val="11"/>
        <color rgb="FF0E2EF0"/>
        <rFont val="Arial"/>
        <charset val="0"/>
      </rPr>
      <t xml:space="preserve"> </t>
    </r>
    <r>
      <rPr>
        <sz val="11"/>
        <color rgb="FF0E2EF0"/>
        <rFont val="宋体"/>
        <charset val="0"/>
      </rPr>
      <t>，不能晚于外箱日期码</t>
    </r>
    <r>
      <rPr>
        <sz val="11"/>
        <color rgb="FF0E2EF0"/>
        <rFont val="Arial"/>
        <charset val="0"/>
      </rPr>
      <t xml:space="preserve">
*</t>
    </r>
    <r>
      <rPr>
        <sz val="11"/>
        <color rgb="FF0E2EF0"/>
        <rFont val="宋体"/>
        <charset val="0"/>
      </rPr>
      <t>请注意所有订单都需要经过</t>
    </r>
    <r>
      <rPr>
        <sz val="11"/>
        <color rgb="FF0E2EF0"/>
        <rFont val="Arial"/>
        <charset val="0"/>
      </rPr>
      <t>ZURU QC</t>
    </r>
    <r>
      <rPr>
        <sz val="11"/>
        <color rgb="FF0E2EF0"/>
        <rFont val="宋体"/>
        <charset val="0"/>
      </rPr>
      <t>验货并且通过后方可出货</t>
    </r>
    <r>
      <rPr>
        <sz val="11"/>
        <color rgb="FF0E2EF0"/>
        <rFont val="Arial"/>
        <charset val="0"/>
      </rPr>
      <t xml:space="preserve">
*</t>
    </r>
    <r>
      <rPr>
        <sz val="11"/>
        <color rgb="FF0E2EF0"/>
        <rFont val="宋体"/>
        <charset val="0"/>
      </rPr>
      <t>条码以订单显示为准</t>
    </r>
    <r>
      <rPr>
        <sz val="11"/>
        <color rgb="FF0E2EF0"/>
        <rFont val="Arial"/>
        <charset val="0"/>
      </rPr>
      <t xml:space="preserve"> </t>
    </r>
    <r>
      <rPr>
        <sz val="11"/>
        <color rgb="FF0E2EF0"/>
        <rFont val="宋体"/>
        <charset val="0"/>
      </rPr>
      <t>，请安排生产前先核对</t>
    </r>
    <r>
      <rPr>
        <sz val="11"/>
        <color rgb="FF0E2EF0"/>
        <rFont val="Arial"/>
        <charset val="0"/>
      </rPr>
      <t xml:space="preserve"> </t>
    </r>
    <r>
      <rPr>
        <sz val="11"/>
        <color rgb="FF0E2EF0"/>
        <rFont val="宋体"/>
        <charset val="0"/>
      </rPr>
      <t>，有问题请提出。</t>
    </r>
    <r>
      <rPr>
        <sz val="11"/>
        <color rgb="FF0E2EF0"/>
        <rFont val="Arial"/>
        <charset val="0"/>
      </rPr>
      <t xml:space="preserve">
*</t>
    </r>
    <r>
      <rPr>
        <sz val="11"/>
        <color rgb="FF0E2EF0"/>
        <rFont val="宋体"/>
        <charset val="0"/>
      </rPr>
      <t>所有产品按符合欧洲标准走货，需要是不含微塑料版本</t>
    </r>
    <r>
      <rPr>
        <sz val="11"/>
        <color rgb="FF0E2EF0"/>
        <rFont val="Arial"/>
        <charset val="0"/>
      </rPr>
      <t xml:space="preserve"> </t>
    </r>
    <r>
      <rPr>
        <sz val="11"/>
        <color rgb="FF0E2EF0"/>
        <rFont val="宋体"/>
        <charset val="0"/>
      </rPr>
      <t>。</t>
    </r>
    <r>
      <rPr>
        <sz val="11"/>
        <color rgb="FF0E2EF0"/>
        <rFont val="Arial"/>
        <charset val="0"/>
      </rPr>
      <t xml:space="preserve">
*</t>
    </r>
    <r>
      <rPr>
        <sz val="11"/>
        <color rgb="FF0E2EF0"/>
        <rFont val="宋体"/>
        <charset val="0"/>
      </rPr>
      <t>涉及到硼的，如可选择情况下应使用低硼版本</t>
    </r>
    <r>
      <rPr>
        <sz val="11"/>
        <color rgb="FF0E2EF0"/>
        <rFont val="Arial"/>
        <charset val="0"/>
      </rPr>
      <t xml:space="preserve"> </t>
    </r>
    <r>
      <rPr>
        <sz val="11"/>
        <color rgb="FF0E2EF0"/>
        <rFont val="宋体"/>
        <charset val="0"/>
      </rPr>
      <t>（</t>
    </r>
    <r>
      <rPr>
        <sz val="11"/>
        <color rgb="FF0E2EF0"/>
        <rFont val="Arial"/>
        <charset val="0"/>
      </rPr>
      <t xml:space="preserve">slime </t>
    </r>
    <r>
      <rPr>
        <sz val="11"/>
        <color rgb="FF0E2EF0"/>
        <rFont val="宋体"/>
        <charset val="0"/>
      </rPr>
      <t>类别低硼一般低于</t>
    </r>
    <r>
      <rPr>
        <sz val="11"/>
        <color rgb="FF0E2EF0"/>
        <rFont val="Arial"/>
        <charset val="0"/>
      </rPr>
      <t>300ppm)</t>
    </r>
    <r>
      <rPr>
        <sz val="11"/>
        <color rgb="FF0E2EF0"/>
        <rFont val="宋体"/>
        <charset val="0"/>
      </rPr>
      <t>，无选择的应与跟单复核再安排</t>
    </r>
    <r>
      <rPr>
        <sz val="11"/>
        <color rgb="FF0E2EF0"/>
        <rFont val="Arial"/>
        <charset val="0"/>
      </rPr>
      <t xml:space="preserve"> </t>
    </r>
    <r>
      <rPr>
        <sz val="11"/>
        <color rgb="FF0E2EF0"/>
        <rFont val="宋体"/>
        <charset val="0"/>
      </rPr>
      <t>。</t>
    </r>
    <r>
      <rPr>
        <sz val="11"/>
        <color rgb="FF0E2EF0"/>
        <rFont val="Arial"/>
        <charset val="0"/>
      </rPr>
      <t xml:space="preserve">
*</t>
    </r>
    <r>
      <rPr>
        <sz val="11"/>
        <color rgb="FF0E2EF0"/>
        <rFont val="宋体"/>
        <charset val="0"/>
      </rPr>
      <t>大货完成后请及时提供</t>
    </r>
    <r>
      <rPr>
        <sz val="11"/>
        <color rgb="FF0E2EF0"/>
        <rFont val="Arial"/>
        <charset val="0"/>
      </rPr>
      <t xml:space="preserve">shipment images </t>
    </r>
    <r>
      <rPr>
        <sz val="11"/>
        <color rgb="FF0E2EF0"/>
        <rFont val="宋体"/>
        <charset val="0"/>
      </rPr>
      <t>供客户批复</t>
    </r>
    <r>
      <rPr>
        <sz val="11"/>
        <color rgb="FF0E2EF0"/>
        <rFont val="Arial"/>
        <charset val="0"/>
      </rPr>
      <t xml:space="preserve"> </t>
    </r>
    <r>
      <rPr>
        <sz val="11"/>
        <color rgb="FF0E2EF0"/>
        <rFont val="宋体"/>
        <charset val="0"/>
      </rPr>
      <t>，如未提供照片就直接走柜，有问题由工厂负责</t>
    </r>
    <r>
      <rPr>
        <sz val="11"/>
        <color rgb="FF0E2EF0"/>
        <rFont val="Arial"/>
        <charset val="0"/>
      </rPr>
      <t xml:space="preserve"> </t>
    </r>
    <r>
      <rPr>
        <sz val="11"/>
        <color rgb="FF0E2EF0"/>
        <rFont val="宋体"/>
        <charset val="0"/>
      </rPr>
      <t>。</t>
    </r>
    <r>
      <rPr>
        <sz val="11"/>
        <color rgb="FF0E2EF0"/>
        <rFont val="Arial"/>
        <charset val="0"/>
      </rPr>
      <t xml:space="preserve">
*</t>
    </r>
    <r>
      <rPr>
        <sz val="11"/>
        <color rgb="FF0E2EF0"/>
        <rFont val="宋体"/>
        <charset val="0"/>
      </rPr>
      <t>最终出货工厂需要按船务要求为集装箱挂网，如不按要求挂网导致罚款由工厂承担</t>
    </r>
    <r>
      <rPr>
        <sz val="11"/>
        <color rgb="FF0E2EF0"/>
        <rFont val="Arial"/>
        <charset val="0"/>
      </rPr>
      <t xml:space="preserve"> </t>
    </r>
    <r>
      <rPr>
        <sz val="11"/>
        <color rgb="FF0E2EF0"/>
        <rFont val="宋体"/>
        <charset val="0"/>
      </rPr>
      <t>。</t>
    </r>
    <r>
      <rPr>
        <sz val="11"/>
        <color rgb="FF0E2EF0"/>
        <rFont val="Arial"/>
        <charset val="0"/>
      </rPr>
      <t xml:space="preserve">
Remark: </t>
    </r>
    <r>
      <rPr>
        <sz val="11"/>
        <color rgb="FF0E2EF0"/>
        <rFont val="宋体"/>
        <charset val="0"/>
      </rPr>
      <t>标准配比</t>
    </r>
    <r>
      <rPr>
        <sz val="11"/>
        <color rgb="FF0E2EF0"/>
        <rFont val="Arial"/>
        <charset val="0"/>
      </rPr>
      <t>(UPC</t>
    </r>
    <r>
      <rPr>
        <sz val="11"/>
        <color rgb="FF0E2EF0"/>
        <rFont val="宋体"/>
        <charset val="0"/>
      </rPr>
      <t>版本，</t>
    </r>
    <r>
      <rPr>
        <sz val="11"/>
        <color rgb="FF0E2EF0"/>
        <rFont val="Arial"/>
        <charset val="0"/>
      </rPr>
      <t xml:space="preserve"> </t>
    </r>
    <r>
      <rPr>
        <sz val="11"/>
        <color rgb="FF0E2EF0"/>
        <rFont val="宋体"/>
        <charset val="0"/>
      </rPr>
      <t>优先</t>
    </r>
    <r>
      <rPr>
        <sz val="11"/>
        <color rgb="FF0E2EF0"/>
        <rFont val="Arial"/>
        <charset val="0"/>
      </rPr>
      <t>1L)</t>
    </r>
  </si>
  <si>
    <t>CORA ZHOU</t>
  </si>
  <si>
    <r>
      <rPr>
        <sz val="11"/>
        <color rgb="FF0E2EF0"/>
        <rFont val="宋体"/>
        <charset val="0"/>
      </rPr>
      <t>客户</t>
    </r>
    <r>
      <rPr>
        <sz val="11"/>
        <color rgb="FF0E2EF0"/>
        <rFont val="Arial"/>
        <charset val="0"/>
      </rPr>
      <t>PO:019236
90/1</t>
    </r>
  </si>
  <si>
    <t>4500159588-40</t>
  </si>
  <si>
    <t>DD'S DISCOUNT</t>
  </si>
  <si>
    <t>4500161275-10</t>
  </si>
  <si>
    <t>正常生产</t>
  </si>
  <si>
    <r>
      <rPr>
        <sz val="10"/>
        <color rgb="FF0E2EF0"/>
        <rFont val="Arial"/>
        <charset val="0"/>
      </rPr>
      <t>6/27</t>
    </r>
    <r>
      <rPr>
        <sz val="10"/>
        <color rgb="FF0E2EF0"/>
        <rFont val="宋体"/>
        <charset val="0"/>
      </rPr>
      <t>出</t>
    </r>
  </si>
  <si>
    <t>日期码格式：ZURU INC(BVI) 标准格式 日期：按实际生产日期
Packaging Info: 1.ZURU MA UPC 现有版本包装 ，出口美国 , 优先使用MA 1L 最新版本 。
Remark: 1.ZURU MA UPC 现有版本包装 ，出口美国 , 优先使用MA 1L 最新版本 。
 2.标准日期码格式，产品和包装必须有日期码 。
 3.同个产品同个货期不可出现不同的包装。</t>
  </si>
  <si>
    <t>4500165963-10</t>
  </si>
  <si>
    <r>
      <rPr>
        <sz val="10"/>
        <color rgb="FF0E2EF0"/>
        <rFont val="Arial"/>
        <charset val="0"/>
      </rPr>
      <t>6/26</t>
    </r>
    <r>
      <rPr>
        <sz val="10"/>
        <color rgb="FF0E2EF0"/>
        <rFont val="宋体"/>
        <charset val="0"/>
      </rPr>
      <t>出</t>
    </r>
  </si>
  <si>
    <t>5/9收到</t>
  </si>
  <si>
    <t>德语callout贴纸翻4500116913+WEEE带电池走货欧洲 30 语通用黑白说明书</t>
  </si>
  <si>
    <t>25282A:最新MA3L+23L警告语 彩盒(用MA彩盒条码193052062611)</t>
  </si>
  <si>
    <t>日期码格式：ZURU INC(BVI) 标准格式 日期：按实际生产日期
Packaging Info: 25282A:最新MA3L+23L警告语 彩盒(用MA彩盒条码193052062611)+一张德语callout贴纸（翻单#4500116913）+MA最新9L 说明书+WEEE带电池走货欧洲 30 语通用黑白
说明书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所有出往德国订单的电子产品需增加一张WEEE声明30语通用说明书，区分带电池和不带电池版本, 如已做客版说明书可忽略此要求。
6. 标准配比</t>
  </si>
  <si>
    <t>4500165963-20</t>
  </si>
  <si>
    <t>UPC条码贴纸翻4500116913+德语callout贴纸翻4500116913+WEEE带电池走货欧洲 30 语通用黑白说明书</t>
  </si>
  <si>
    <t>最新MA3L+23L警告语 彩盒</t>
  </si>
  <si>
    <t>日期码格式：ZURU INC(BVI) 标准格式 日期：按实际生产日期
Packaging Info:
25282B:最新MA3L+23L警告语 彩盒+一张新的UPC条码贴纸(25282B#193052063182)翻单#4500116913+一张德语callout贴纸（翻单#4500116913）+MA最新9L 说明书+W
EEE带电池走货欧洲 30 语通用黑白说明书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所有出往德国订单的电子产品需增加一张WEEE声明30语通用说明书，区分带电池和不带电池版本, 如已做客版说明书可忽略此要求。
6. 标准配比</t>
  </si>
  <si>
    <t>4500167243-40</t>
  </si>
  <si>
    <t>4500166516-180</t>
  </si>
  <si>
    <r>
      <rPr>
        <sz val="10"/>
        <color rgb="FF0E2EF0"/>
        <rFont val="Arial"/>
        <charset val="0"/>
      </rPr>
      <t>7/2</t>
    </r>
    <r>
      <rPr>
        <sz val="10"/>
        <color rgb="FF0E2EF0"/>
        <rFont val="宋体"/>
        <charset val="0"/>
      </rPr>
      <t>出</t>
    </r>
  </si>
  <si>
    <t>4500166977-10</t>
  </si>
  <si>
    <r>
      <rPr>
        <sz val="10"/>
        <color rgb="FF0E2EF0"/>
        <rFont val="Arial"/>
        <charset val="0"/>
      </rPr>
      <t>7/2-7/4</t>
    </r>
    <r>
      <rPr>
        <sz val="10"/>
        <color rgb="FF0E2EF0"/>
        <rFont val="宋体"/>
        <charset val="0"/>
      </rPr>
      <t>出</t>
    </r>
  </si>
  <si>
    <t>6//9-外箱贴</t>
  </si>
  <si>
    <t>25282: 全套MA英语UPC包装（首选1L，如果无1L可用多语含英语）</t>
  </si>
  <si>
    <t>95564-7.5</t>
  </si>
  <si>
    <t>4500166286-30</t>
  </si>
  <si>
    <t>日期码格式：ZURU INC(BVI) 标准格式 日期：按实际生产日期
Packaging Info:
25282: 全套MA英语UPC包装（首选1L，如果无1L可用多语含英语）+ 箱唛 + 外箱SCC Label，包装材质为PET;
此订单有分两种装运类型，请注意外箱贴纸需要按贴纸文件顺序安排贴纸顺序，先贴整柜的数量，剩下的贴散货的数量。
如：柜货+散货：
25282 贴纸文件label no第1-48为墨尔本港口整柜装运部分的贴纸，第49-116为散货装运部分的贴纸。
以此类推，如不按此安排，此次出货请自行记录好外箱对应贴纸的相关信息。如客户收到后有贴纸重复或贴纸顺序记录错误等问题产生的相关费用需由工厂自己承担
。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</si>
  <si>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95855-7.31</t>
  </si>
  <si>
    <t>4500166286-50</t>
  </si>
  <si>
    <t>95856-7.31</t>
  </si>
  <si>
    <t>BRICKLAND LLC</t>
  </si>
  <si>
    <t>蒙古</t>
  </si>
  <si>
    <t>Zuru.2025Q2(June.addon)</t>
  </si>
  <si>
    <t>4500165462-40</t>
  </si>
  <si>
    <r>
      <rPr>
        <sz val="10"/>
        <color rgb="FF0E2EF0"/>
        <rFont val="Arial"/>
        <charset val="0"/>
      </rPr>
      <t>7/19</t>
    </r>
    <r>
      <rPr>
        <sz val="10"/>
        <color rgb="FF0E2EF0"/>
        <rFont val="宋体"/>
        <charset val="0"/>
      </rPr>
      <t>出</t>
    </r>
  </si>
  <si>
    <t>5/15收到</t>
  </si>
  <si>
    <t>进口商贴纸图翻4500125884</t>
  </si>
  <si>
    <t xml:space="preserve"> MA UPC packages(优先1L)</t>
  </si>
  <si>
    <t>日期码格式：ZURU INC(BVI) 标准格式 日期：按实际生产日期
Packaging Info: MA UPC packages(优先1L)+1张进口商贴纸;贴纸aw及位置图待提供
 25282贴纸图稿及位置图翻4500125884
Remark:
 25282-Baby Shark(yellow)/ Mummy Shark(pink)/ Daddy Shark(blue) =1:1:1;</t>
  </si>
  <si>
    <t xml:space="preserve"> Emma Wu</t>
  </si>
  <si>
    <t>95714-7.21</t>
  </si>
  <si>
    <t>4500161262-10</t>
  </si>
  <si>
    <r>
      <rPr>
        <sz val="10"/>
        <color rgb="FF0E2EF0"/>
        <rFont val="Arial"/>
        <charset val="0"/>
      </rPr>
      <t>7/11</t>
    </r>
    <r>
      <rPr>
        <sz val="10"/>
        <color rgb="FF0E2EF0"/>
        <rFont val="宋体"/>
        <charset val="0"/>
      </rPr>
      <t>出</t>
    </r>
  </si>
  <si>
    <t>6/20-客供价格贴纸</t>
  </si>
  <si>
    <t>1DN45G1E</t>
  </si>
  <si>
    <t>4500168266-10</t>
  </si>
  <si>
    <t>彩盒图稿跟翻单#4500112288</t>
  </si>
  <si>
    <t>6/18-客供防伪帖纸</t>
  </si>
  <si>
    <t>71109 产品直接入彩盒+MA说明书</t>
  </si>
  <si>
    <t>日期码格式：ZURU INC(BVI) 标准格式 日期：按实际生产日期
Packaging Info: #71109 产品直接入彩盒+MA说明书， 彩盒图稿跟翻单#4500112288. A：193052062963 ， #71109要加一张客供防伪帖纸，贴纸跟单提供。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</si>
  <si>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95693-7.18</t>
  </si>
  <si>
    <t>6OBDQJAH</t>
  </si>
  <si>
    <t>4500168266-20</t>
  </si>
  <si>
    <t>5X5S6AKG</t>
  </si>
  <si>
    <t>4500168266-30</t>
  </si>
  <si>
    <t>6KLUJBKD</t>
  </si>
  <si>
    <t>4500168266-40</t>
  </si>
  <si>
    <t>4500169040-10</t>
  </si>
  <si>
    <t>6/12收到</t>
  </si>
  <si>
    <t>6/23-外箱SCC</t>
  </si>
  <si>
    <t>95674-7.17</t>
  </si>
  <si>
    <t>4500166942-20</t>
  </si>
  <si>
    <t>UPC条码贴纸翻4500116913+德语callout贴纸翻4500116913+WEEE带电池走货通用30L黑白说明书</t>
  </si>
  <si>
    <t>25282D：最新MA 3L+23L包装</t>
  </si>
  <si>
    <t>日期码格式：ZURU INC(BVI) 标准格式 日期：按实际生产日期
Packaging Info: 
25282D：最新MA 3L+23L包装 +UPC条码贴纸(25282D#193052063199)翻单#4500116913+德语callout贴纸翻单#4500116913+MA最新9L 说明书+WEEE带电池走货通用30L
黑白说明书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</si>
  <si>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4500166942-30</t>
  </si>
  <si>
    <t>25282B：MA最新3L+23L警告语 MA彩盒</t>
  </si>
  <si>
    <t>日期码格式：ZURU INC(BVI) 标准格式 日期：按实际生产日期
Packaging Info: 
25282B：MA最新3L+23L警告语 MA彩盒+一张新的UPC条码贴纸(25282B#193052063182)翻单#4500116913+一张德语callout贴纸（翻单#4500116913）+MA最新9L 说明书
++WEEE带电池走货通用30L黑白说明书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</si>
  <si>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4500159839-20</t>
  </si>
  <si>
    <r>
      <rPr>
        <sz val="10"/>
        <color rgb="FF0E2EF0"/>
        <rFont val="Arial"/>
        <charset val="0"/>
      </rPr>
      <t>7/29</t>
    </r>
    <r>
      <rPr>
        <sz val="10"/>
        <color rgb="FF0E2EF0"/>
        <rFont val="宋体"/>
        <charset val="0"/>
      </rPr>
      <t>出</t>
    </r>
  </si>
  <si>
    <t>6/19收到</t>
  </si>
  <si>
    <t>6/18-防盗贴纸</t>
  </si>
  <si>
    <t>2.25282-2023-S004：MA 1L UPC包装</t>
  </si>
  <si>
    <t>日期码格式：ZURU INC(BVI) 标准格式 日期：按实际生产日期
Packaging Info:
2.25282-2023-S004：MA 1L UPC包装+一张防盗贴纸（贴纸类型10111887: 410 ECON，请工厂自行跟checkpoint供应商订购贴纸), 防盗贴纸贴在条码背面，贴纸和位
置图翻PO#4500095305
UPC#193052062611，请先检查包装条码是否正确再安排做货
Remark: 1）外箱有条码要求，排版时请留意并请确保条码清晰可扫描（封箱胶不要黏到条码上), 否则客人会有罚款。
2) 订单出英国，产品及包装需要印UKCA图标，包装需要有ZURU UK LTD/ZURU France地址信息，QC同事请查核，如有问题与跟单确认。
3) 箱唛日期码与包装保持一致
4) 若外箱重量超过16KGS，请提前告知ZURU跟单，需要客人批准才能出货，并且外箱需要印2 man lift标志</t>
  </si>
  <si>
    <t>95800-7.28</t>
  </si>
  <si>
    <t>5EZVQF6M</t>
  </si>
  <si>
    <t>4500169708-60</t>
  </si>
  <si>
    <t>7/9-客供防伪帖纸+外箱贴纸+UPC贴纸翻4500122523</t>
  </si>
  <si>
    <t>71109 产品直接入彩盒+MA说明书， 彩盒图稿跟翻单#4500112288.</t>
  </si>
  <si>
    <t>日期码格式：ZURU INC(BVI) 标准格式 日期：按实际生产日期
Packaging Info:
#71109 产品直接入彩盒+MA说明书， 彩盒图稿跟翻单#4500112288. B,D 款要另外加UPC贴纸，贴纸资料跟翻单4500122523. B：193052062970，D：193052062987 ，
#71109要加一张客供防伪帖纸，贴纸跟单提供。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</si>
  <si>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2OHAV51B</t>
  </si>
  <si>
    <t>4500169708-70</t>
  </si>
  <si>
    <t>8BCWSRMM</t>
  </si>
  <si>
    <t>4500169708-80</t>
  </si>
  <si>
    <t>7XFF8IRW</t>
  </si>
  <si>
    <t>4500169708-90</t>
  </si>
  <si>
    <t>5HH7M3XH</t>
  </si>
  <si>
    <t>4500169708-100</t>
  </si>
  <si>
    <t>5PGNITCM</t>
  </si>
  <si>
    <t>4500169971-10</t>
  </si>
  <si>
    <t>日期码格式：ZURU INC(BVI) 标准格式 日期：按实际生产日期
Packaging Info: #71109 产品直接入彩盒+MA说明书， 彩盒图稿跟翻单#4500112288. B款要加UPC贴纸贴纸资料跟翻单#4500122523。 B：193052062970 ， #71109要加一张客供防伪
帖纸，贴纸跟单提供。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</si>
  <si>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5FLB8P5J</t>
  </si>
  <si>
    <t>4500169971-20</t>
  </si>
  <si>
    <t>8G5SMLVU</t>
  </si>
  <si>
    <t>4500169971-30</t>
  </si>
  <si>
    <t>3FG4SQ9I</t>
  </si>
  <si>
    <t>4500169971-40</t>
  </si>
  <si>
    <t>6HBZP7FY</t>
  </si>
  <si>
    <t>4500169971-50</t>
  </si>
  <si>
    <t>7COIX78U</t>
  </si>
  <si>
    <t>4500169971-60</t>
  </si>
  <si>
    <t>8SHKKSYP</t>
  </si>
  <si>
    <t>4500169971-70</t>
  </si>
  <si>
    <t>7HGWS9PE</t>
  </si>
  <si>
    <t>4500169971-80</t>
  </si>
  <si>
    <t>4NXDDMEY</t>
  </si>
  <si>
    <t>4500169971-90</t>
  </si>
  <si>
    <t>PO0000974</t>
  </si>
  <si>
    <t>4500169319-10</t>
  </si>
  <si>
    <r>
      <rPr>
        <sz val="10"/>
        <color rgb="FF0E2EF0"/>
        <rFont val="Arial"/>
        <charset val="0"/>
      </rPr>
      <t>8/4</t>
    </r>
    <r>
      <rPr>
        <sz val="10"/>
        <color rgb="FF0E2EF0"/>
        <rFont val="宋体"/>
        <charset val="0"/>
      </rPr>
      <t>出</t>
    </r>
  </si>
  <si>
    <t>7/9-进口商贴纸</t>
  </si>
  <si>
    <t>25282 MA 多语 UPC版</t>
  </si>
  <si>
    <t>日期码格式：ZURU INC(BVI) 标准格式 日期：按实际生产日期
Packaging Info: 25282 MA 多语 UPC版
Remark: 出加拿大
每款产品都需要加进口商贴纸
Zuru验货.日期跟踪码：产品外包装及产品本身都必须有日期跟踪码，ZURU标准格式
日期码</t>
  </si>
  <si>
    <t>Bella Tan</t>
  </si>
  <si>
    <t>2N1VJ4RP</t>
  </si>
  <si>
    <t>4500170137-90</t>
  </si>
  <si>
    <t>日期码格式：ZURU INC(BVI) 标准格式 日期：按实际生产日期
Packaging Info:
#71109 产品直接入彩盒+MA说明书， 彩盒图稿跟翻单#4500112288.B/D款要加UPC贴纸资料，贴纸资料跟翻单#4500122523。 B：193052062970，D：193052062987
， #71109要加一张客供防伪帖纸，贴纸跟单提供。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</si>
  <si>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283H1JQW</t>
  </si>
  <si>
    <t>4500170137-100</t>
  </si>
  <si>
    <t>1VV2ZGUO</t>
  </si>
  <si>
    <t>4500170137-110</t>
  </si>
  <si>
    <t>1QH8N8KV</t>
  </si>
  <si>
    <t>4500170137-120</t>
  </si>
  <si>
    <t>4500167625-30</t>
  </si>
  <si>
    <r>
      <rPr>
        <sz val="10"/>
        <color rgb="FF0E2EF0"/>
        <rFont val="Arial"/>
        <charset val="0"/>
      </rPr>
      <t>8/5</t>
    </r>
    <r>
      <rPr>
        <sz val="10"/>
        <color rgb="FF0E2EF0"/>
        <rFont val="宋体"/>
        <charset val="0"/>
      </rPr>
      <t>出</t>
    </r>
  </si>
  <si>
    <t>UPC条码贴纸+德语callout贴纸++WEEE声明通用30L说明书带电池贴纸都翻PO#4500116913</t>
  </si>
  <si>
    <t>25282B：最新MA3L+23L警告语 MA彩盒</t>
  </si>
  <si>
    <t>日期码格式：ZURU INC(BVI) 标准格式 日期：按实际生产日期
Packaging Info:
3. 25282B：最新MA3L+23L警告语 MA彩盒+一张新的UPC条码贴纸(25282B#193052063182)+一张德语callout贴纸+MA最新9L 说明书+WEEE声明通用30L说明书（带电池
），贴纸都翻PO#4500116913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</si>
  <si>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4500167625-40</t>
  </si>
  <si>
    <t>日期码格式：ZURU INC(BVI) 标准格式 日期：按实际生产日期
Packaging Info:
4. 25282A：MA3L+23L警告语 MA彩盒(25282A UPC#193052062611)+一张德语callout贴纸（翻单#4500116913）+MA最新9L 说明书+WEEE声明通用30L说明书（带电池）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</si>
  <si>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4500169878-10</t>
  </si>
  <si>
    <t>7/7- 外箱SCC</t>
  </si>
  <si>
    <t>4500171774-20</t>
  </si>
  <si>
    <t>4500170978-10</t>
  </si>
  <si>
    <r>
      <rPr>
        <sz val="10"/>
        <color rgb="FF0E2EF0"/>
        <rFont val="Arial"/>
        <charset val="0"/>
      </rPr>
      <t>8/6-8/8</t>
    </r>
    <r>
      <rPr>
        <sz val="10"/>
        <color rgb="FF0E2EF0"/>
        <rFont val="宋体"/>
        <charset val="0"/>
      </rPr>
      <t>出</t>
    </r>
  </si>
  <si>
    <t>7/1收到</t>
  </si>
  <si>
    <t>7/14- 外箱SCC</t>
  </si>
  <si>
    <t>4500170975-10</t>
  </si>
  <si>
    <t>4500167625-20</t>
  </si>
  <si>
    <t>25282D：最新MA3L+23L警告语 MA彩盒</t>
  </si>
  <si>
    <t>日期码格式：ZURU INC(BVI) 标准格式 日期：按实际生产日期
Packaging Info:
2. 25282D：最新MA3L+23L警告语 MA彩盒+一张新的UPC条码贴纸(25282D#193052063199)+一张德语callout贴纸+MA最新9L 说明书+WEEE声明通用30L说明书（带电池
），贴纸都翻PO#4500116913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</si>
  <si>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CUS
PO#4400491946</t>
  </si>
  <si>
    <t>4500172110-10</t>
  </si>
  <si>
    <r>
      <rPr>
        <sz val="10"/>
        <color rgb="FF0E2EF0"/>
        <rFont val="Arial"/>
        <charset val="0"/>
      </rPr>
      <t>8/8</t>
    </r>
    <r>
      <rPr>
        <sz val="10"/>
        <color rgb="FF0E2EF0"/>
        <rFont val="宋体"/>
        <charset val="0"/>
      </rPr>
      <t>出</t>
    </r>
  </si>
  <si>
    <t>7/4收到</t>
  </si>
  <si>
    <t>德语callout贴纸翻450011691）+WEEE带电池走货欧洲 30 语通用黑白B版说明书</t>
  </si>
  <si>
    <t>日期码格式：ZURU INC(BVI) 标准格式 日期：按实际生产日期
Packaging Info: 25282A:最新MA3L+23L警告语 彩盒(用MA彩盒条码193052062611)+一张德语callout贴纸（翻单#4500116913）+MA最新9L 说明书+WEEE带电池走货欧洲 30 语通用黑白
B版说明书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所有出往德国订单的电子产品需增加一张WEEE声明30语通用说明书B版（不接受A版本，翻译有误），区分带电池和不带电池版本, 如已做客版说明书可忽略此要
求</t>
  </si>
  <si>
    <t>4500172110-20</t>
  </si>
  <si>
    <t>UPC条码贴纸+德语callout贴纸（翻单#4500116913）+WEEE带电池走货欧洲 30 语通用黑白B版说明书</t>
  </si>
  <si>
    <t>25282B:最新MA3L+23L警告语 彩盒(用MA彩盒条码193052062611)</t>
  </si>
  <si>
    <t>日期码格式：ZURU INC(BVI) 标准格式 日期：按实际生产日期
Packaging Info:
25282B:最新MA3L+23L警告语 彩盒+一张新的UPC条码贴纸(25282B#193052063182)翻单#4500116913+一张德语callout贴纸（翻单#4500116913）+MA最新9L 说明书+W
EEE带电池走货欧洲 30 语通用黑白B版说明书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所有出往德国订单的电子产品需增加一张WEEE声明30语通用说明书B版（不接受A版本，翻译有误），区分带电池和不带电池版本, 如已做客版说明书可忽略此要
求</t>
  </si>
  <si>
    <t>4500172110-30</t>
  </si>
  <si>
    <t>25282D:最新MA3L+23L警告语 彩盒(用MA彩盒条码193052062611)</t>
  </si>
  <si>
    <t>日期码格式：ZURU INC(BVI) 标准格式 日期：按实际生产日期
Packaging Info: 
25282D：最新MA3L+23L警告语 彩盒+一张新的UPC条码贴纸(25282D#193052063199)翻单#4500116913+一张德语callout贴纸（翻单#4500116913）+MA最新9L 说明书+W
EEE带电池走货欧洲 30 语通用黑白B版说明书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所有出往德国订单的电子产品需增加一张WEEE声明30语通用说明书B版（不接受A版本，翻译有误），区分带电池和不带电池版本, 如已做客版说明书可忽略此要
求</t>
  </si>
  <si>
    <t xml:space="preserve"> 
14642239</t>
  </si>
  <si>
    <t>4500160598-10</t>
  </si>
  <si>
    <r>
      <rPr>
        <sz val="10"/>
        <color rgb="FF0E2EF0"/>
        <rFont val="Arial"/>
        <charset val="0"/>
      </rPr>
      <t>8/28</t>
    </r>
    <r>
      <rPr>
        <sz val="10"/>
        <color rgb="FF0E2EF0"/>
        <rFont val="宋体"/>
        <charset val="0"/>
      </rPr>
      <t>出</t>
    </r>
  </si>
  <si>
    <t>1.25282-2023-S004：MA 1L UPC包装</t>
  </si>
  <si>
    <t>4500172597-10</t>
  </si>
  <si>
    <r>
      <rPr>
        <sz val="10"/>
        <color rgb="FF0E2EF0"/>
        <rFont val="Arial"/>
        <charset val="0"/>
      </rPr>
      <t>8/13-8/15</t>
    </r>
    <r>
      <rPr>
        <sz val="10"/>
        <color rgb="FF0E2EF0"/>
        <rFont val="宋体"/>
        <charset val="0"/>
      </rPr>
      <t>出</t>
    </r>
  </si>
  <si>
    <t>7/21- 外箱SCC</t>
  </si>
  <si>
    <t>4500172600-10</t>
  </si>
  <si>
    <t>4500173065-40</t>
  </si>
  <si>
    <r>
      <rPr>
        <sz val="10"/>
        <color rgb="FF0E2EF0"/>
        <rFont val="Arial"/>
        <charset val="0"/>
      </rPr>
      <t>8/17</t>
    </r>
    <r>
      <rPr>
        <sz val="10"/>
        <color rgb="FF0E2EF0"/>
        <rFont val="宋体"/>
        <charset val="0"/>
      </rPr>
      <t>出</t>
    </r>
  </si>
  <si>
    <t>7/10收到</t>
  </si>
  <si>
    <t>日期码格式：ZURU INC(BVI) 标准格式 日期：按实际生产日期
Packaging Info: 1.订单出新西兰
2. MA UPC 英语包装（优先1L英语版本,或者3L/5L含英语即可）
3.CRD日期基于我司 QC完成验货;
4.请确保发货100%的订单数量/ sku;
5. 我司验货日期(请联系Mia Yu Mia.yu@zuru.com提前预定验货日期)，预约验货至少需在完货日期前一周申请;
6, 箱唛: 按照邮件确认的文档
Remark:
25282: BABY SHARK(YELLOW)/ MUMMY SHARK(PINK)/ DADDY SHARK(BLUE) =1:1:1;</t>
  </si>
  <si>
    <t>Jess Huang</t>
  </si>
  <si>
    <t>4500172108-10</t>
  </si>
  <si>
    <t>Amazon UK:
8S3RFENQ</t>
  </si>
  <si>
    <t>4500173446-20</t>
  </si>
  <si>
    <t>空白外箱（加印带Zuru字样的最新logo，除了邮包盒直接做外箱的产品） + MADE IN CHINA 外箱只印一正一侧。</t>
  </si>
  <si>
    <t>7/17-IT/ES环保标+UPC#+Care邮箱地址+外箱</t>
  </si>
  <si>
    <t>日期码格式：ZURU INC(BVI) 标准格式 日期：按实际生产日期
Packaging Info: Amazon UK(92104H/71109D/77486)/DE(92104H/9296E)/FR(71126/15701A)
2. 71109D: 24pcs 25282/ctn,pink; 客版彩盒包装(参考PO#4500112288)+MA 9L G版说明书+1张贴纸(含IT/ES环保标+UPC#+Care邮箱地址)；
7. 验货时间不迟于2025/8/20.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</si>
  <si>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4500171777-10</t>
  </si>
  <si>
    <r>
      <rPr>
        <sz val="10"/>
        <color rgb="FF0E2EF0"/>
        <rFont val="Arial"/>
        <charset val="0"/>
      </rPr>
      <t>8/29</t>
    </r>
    <r>
      <rPr>
        <sz val="10"/>
        <color rgb="FF0E2EF0"/>
        <rFont val="宋体"/>
        <charset val="0"/>
      </rPr>
      <t>出</t>
    </r>
  </si>
  <si>
    <t>8/2-客供价格贴纸</t>
  </si>
  <si>
    <t>4500172109-10</t>
  </si>
  <si>
    <t>CUS
PO#4400493540</t>
  </si>
  <si>
    <t>4500174165-10</t>
  </si>
  <si>
    <r>
      <rPr>
        <sz val="10"/>
        <color rgb="FF0E2EF0"/>
        <rFont val="Arial"/>
        <charset val="0"/>
      </rPr>
      <t>9/8</t>
    </r>
    <r>
      <rPr>
        <sz val="10"/>
        <color rgb="FF0E2EF0"/>
        <rFont val="宋体"/>
        <charset val="0"/>
      </rPr>
      <t>出</t>
    </r>
  </si>
  <si>
    <t>UPC条码贴纸+德语callout贴纸+WEEE声明通用30L说明书（带电池）翻4500116913</t>
  </si>
  <si>
    <t>最新MA3L+23L警告语 MA彩盒</t>
  </si>
  <si>
    <t>日期码格式：ZURU INC(BVI) 标准格式 日期：按实际生产日期
Packaging Info: 25282D: 最新MA3L+23L警告语 MA彩盒+一张新的UPC条码贴纸(25282D#193052063199)+一张德语callout贴纸+MA最新9L 说明书+WEEE声明通用30L说明书（带电池），
贴纸都翻PO#4500116913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</si>
  <si>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96355-9.8</t>
  </si>
  <si>
    <t>4500174165-20</t>
  </si>
  <si>
    <t>蓝色鯊魚</t>
  </si>
  <si>
    <t>日期码格式：ZURU INC(BVI) 标准格式 日期：按实际生产日期
Packaging Info: 
25282B: 最新MA3L+23L警告语 MA彩盒+一张新的UPC条码贴纸(25282B#193052063182)+一张德语callout贴纸+MA最新9L 说明书+WEEE声明通用30L说明书（带电池），
贴纸都翻PO#4500116913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</si>
  <si>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4500174165-30</t>
  </si>
  <si>
    <t>日期码格式：ZURU INC(BVI) 标准格式 日期：按实际生产日期
Packaging Info:
25282A: MA3L+23L警告语 MA彩盒(25282A UPC#193052062611)+一张德语callout贴纸（翻单#4500116913）+MA最新9L 说明书+WEEE声明通用30L说明书（带电池）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</si>
  <si>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AMAZON ES</t>
  </si>
  <si>
    <t>Amazon ES:
8OZFL5MD</t>
  </si>
  <si>
    <t>4500174900-10</t>
  </si>
  <si>
    <t>IT/ES环保标+UPC#+GPSR邮箱care@zuru.com翻4500173446+8/4-客供外箱贴纸</t>
  </si>
  <si>
    <t>日期码格式：ZURU INC(BVI) 标准格式 日期：按实际生产日期
Packaging Info: Amazon ES(71109D)/IT(9279ABD/9543B)
1. 71109D：24pcs 25282/ctn,pink; 客版彩盒包装(参考PO#4500112288)+MA 9L G版说明书+1张贴纸(含IT/ES环保标+UPC#+GPSR邮箱care@zuru.com，参考翻单PO#45
00173446)；
4.最迟验货不得晚于2025/8/29;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</si>
  <si>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4500172405-20</t>
  </si>
  <si>
    <t>8/11-外箱SCC</t>
  </si>
  <si>
    <t>96340-9.6</t>
  </si>
  <si>
    <t>4500172403-20</t>
  </si>
  <si>
    <r>
      <rPr>
        <sz val="10"/>
        <color rgb="FF0E2EF0"/>
        <rFont val="Arial"/>
        <charset val="0"/>
      </rPr>
      <t>9/3-9/5</t>
    </r>
    <r>
      <rPr>
        <sz val="10"/>
        <color rgb="FF0E2EF0"/>
        <rFont val="宋体"/>
        <charset val="0"/>
      </rPr>
      <t>出</t>
    </r>
  </si>
  <si>
    <t>日期码格式：ZURU INC(BVI) 标准格式 日期：按实际生产日期
Packaging Info:
25282: 全套MA英语UPC包装（首选1L，如果无1L可用多语含英语）+ 箱唛 + 外箱SCC Label，包装材质为PET;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</si>
  <si>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96339-9.6</t>
  </si>
  <si>
    <t>Amazon DE:
87KWRP2J</t>
  </si>
  <si>
    <t>4500175025-80</t>
  </si>
  <si>
    <t>客版彩盒包装(参考PO#4500112288)</t>
  </si>
  <si>
    <t>8/8-含IT/ES环保标+UPC#+GPSR邮箱care@zuru.com)翻4500173446+8/4-外箱贴纸</t>
  </si>
  <si>
    <t>71109D: 24pcs 25282/ctn,pink; 客版彩盒包装(参考PO#4500112288)+MA 9L G版说明书</t>
  </si>
  <si>
    <t>日期码格式：ZURU INC(BVI) 标准格式 日期：按实际生产日期
Packaging Info: Amazon UK(71126/7190/92104G/9279BD)/DE(71109D/71126/92104H/9279AB/9543B)/FR(71126/92104H/9279ABD/9543BE)
3. 71109D: 24pcs 25282/ctn,pink; 客版彩盒包装(参考PO#4500112288)+MA 9L G版说明书+1张贴纸(含IT/ES环保标+UPC#+GPSR邮箱care@zuru.com)；
7. 验货时间不迟于2025/9/2.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</si>
  <si>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4500175640-10</t>
  </si>
  <si>
    <t>8/1收到</t>
  </si>
  <si>
    <t xml:space="preserve"> MA UPC 英语包装（优先1L英语版本,或者3L/5L含英语即可）</t>
  </si>
  <si>
    <t>日期码格式：ZURU INC(BVI) 标准格式 日期：按实际生产日期
Packaging Info: 1.订单出新西兰
2. MA UPC 英语包装（优先1L英语版本,或者3L/5L含英语即可）
3.CRD日期基于我司 QC完成验货;
4.请确保发货100%的订单数量/ sku;
5. 我司验货日期(请联系Mia Yu Mia.yu@zuru.com提前预定验货日期)，预约验货至少需在完货日期前一周申请;
6, 箱唛: 按照邮件确认的文档
Remark: 25282: BABY SHARK(YELLOW)/ MUMMY SHARK(PINK)/ DADDY SHARK(BLUE) =1:1:1</t>
  </si>
  <si>
    <t>96330-9.6</t>
  </si>
  <si>
    <t>5NY3AJFN</t>
  </si>
  <si>
    <t>4500175030-150</t>
  </si>
  <si>
    <r>
      <rPr>
        <sz val="10"/>
        <color rgb="FF0E2EF0"/>
        <rFont val="Arial"/>
        <charset val="0"/>
      </rPr>
      <t>9/12</t>
    </r>
    <r>
      <rPr>
        <sz val="10"/>
        <color rgb="FF0E2EF0"/>
        <rFont val="宋体"/>
        <charset val="0"/>
      </rPr>
      <t>出</t>
    </r>
  </si>
  <si>
    <t>UPC贴纸资料翻4500122523+8/21-客供防伪帖纸</t>
  </si>
  <si>
    <t>日期码格式：ZURU INC(BVI) 标准格式 日期：按实际生产日期
Packaging Info: 
#71109 产品直接入彩盒+MA说明书， 彩盒图稿跟翻单#4500112288.B/D款要加UPC贴纸资料，贴纸资料跟翻单#4500122523。D：193052062987
， #71109要加一张客供防伪帖纸，贴纸跟单提供。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</si>
  <si>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5P1U5Z3W</t>
  </si>
  <si>
    <t>4500175030-160</t>
  </si>
  <si>
    <t>5CJQJ3TY</t>
  </si>
  <si>
    <t>4500175030-170</t>
  </si>
  <si>
    <t>2MZF6F4U</t>
  </si>
  <si>
    <t>4500175030-180</t>
  </si>
  <si>
    <t>5PSTVNAC</t>
  </si>
  <si>
    <t>4500175030-190</t>
  </si>
  <si>
    <t>5LXYZQEV</t>
  </si>
  <si>
    <t>4500175030-200</t>
  </si>
  <si>
    <t>7V9EGK7D</t>
  </si>
  <si>
    <t>4500175030-210</t>
  </si>
  <si>
    <t>日期码格式：ZURU INC(BVI) 标准格式 日期：按实际生产日期
Packaging Info: 
#71109 产品直接入彩盒+MA说明书， 彩盒图稿跟翻单#4500112288.B/D款要加UPC贴纸资料，贴纸资料跟翻单#4500122523。 B：193052062970，
， #71109要加一张客供防伪帖纸，贴纸跟单提供。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</si>
  <si>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6DKLWZ7Z</t>
  </si>
  <si>
    <t>4500175030-220</t>
  </si>
  <si>
    <t>1F7L62TW</t>
  </si>
  <si>
    <t>4500175030-230</t>
  </si>
  <si>
    <t>1E4X31AK</t>
  </si>
  <si>
    <t>4500175030-240</t>
  </si>
  <si>
    <t>CUS
PO#4400493541</t>
  </si>
  <si>
    <t>4500174207-10</t>
  </si>
  <si>
    <r>
      <rPr>
        <sz val="10"/>
        <color rgb="FF0E2EF0"/>
        <rFont val="Arial"/>
        <charset val="0"/>
      </rPr>
      <t>9/10</t>
    </r>
    <r>
      <rPr>
        <sz val="10"/>
        <color rgb="FF0E2EF0"/>
        <rFont val="宋体"/>
        <charset val="0"/>
      </rPr>
      <t>出</t>
    </r>
  </si>
  <si>
    <t>UPC条码贴纸+德语callout贴纸+WEEE声明通用30L B版说明书带电池 翻4500116913</t>
  </si>
  <si>
    <t>日期码格式：ZURU INC(BVI) 标准格式 日期：按实际生产日期
Packaging Info: 25282D: 最新MA3L+23L警告语 MA彩盒+一张新的UPC条码贴纸(25282D#193052063199)+一张德语callout贴纸+MA最新9L 说明书+WEEE声明通用30L B版说明书（带电池），贴纸都翻PO#4500116913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</si>
  <si>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96407-9.12</t>
  </si>
  <si>
    <t>4500174207-20</t>
  </si>
  <si>
    <t>日期码格式：ZURU INC(BVI) 标准格式 日期：按实际生产日期
Packaging Info: 
25282B: 最新MA3L+23L警告语 MA彩盒+一张新的UPC条码贴纸(25282B#193052063182)+一张德语callout贴纸+MA最新9L 说明书+WEEE声明通用30L B版说明书（带电池
），贴纸都翻PO#4500116913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</si>
  <si>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4500174207-30</t>
  </si>
  <si>
    <t>日期码格式：ZURU INC(BVI) 标准格式 日期：按实际生产日期
Packaging Info:
25282A: MA3L+23L警告语 MA彩盒(25282A UPC#193052062611)+一张德语callout贴纸（翻单#4500116913）+MA最新9L 说明书+WEEE声明通用30L B版说明书（带电池）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</si>
  <si>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ASDA STORES LTD</t>
  </si>
  <si>
    <t>4500176452-10</t>
  </si>
  <si>
    <t>25282SLB-2023-S002</t>
  </si>
  <si>
    <t>鯊魚卡板装</t>
  </si>
  <si>
    <r>
      <rPr>
        <sz val="10"/>
        <color rgb="FF0E2EF0"/>
        <rFont val="Arial"/>
        <charset val="0"/>
      </rPr>
      <t>9/17</t>
    </r>
    <r>
      <rPr>
        <sz val="10"/>
        <color rgb="FF0E2EF0"/>
        <rFont val="宋体"/>
        <charset val="0"/>
      </rPr>
      <t>出</t>
    </r>
  </si>
  <si>
    <t>8/8收到</t>
  </si>
  <si>
    <t>8/8-slip sheet贴纸</t>
  </si>
  <si>
    <t xml:space="preserve"> MA最新UPC包装</t>
  </si>
  <si>
    <t>日期码格式：ZURU INC(BVI) 标准格式 日期：按实际生产日期
Packaging Info: 25282SLB-2023-S002
25282-2023-S011: MA最新UPC包装，UPC: 193052062611 ，请先检查条码是否正确再安排做货。
Slip sheet: (CTN SIZE:25*22.3*15CM);32*5H=160CTN/320PCS/Slip Sheet;一共需要6套slip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</si>
  <si>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A96804-10.31</t>
  </si>
  <si>
    <t>已打印</t>
  </si>
  <si>
    <t>4500175179-10</t>
  </si>
  <si>
    <t>包装材质为PET;</t>
  </si>
  <si>
    <r>
      <rPr>
        <sz val="10"/>
        <color rgb="FF0E2EF0"/>
        <rFont val="Arial"/>
        <charset val="0"/>
      </rPr>
      <t>9/10-9/12</t>
    </r>
    <r>
      <rPr>
        <sz val="10"/>
        <color rgb="FF0E2EF0"/>
        <rFont val="宋体"/>
        <charset val="0"/>
      </rPr>
      <t>出</t>
    </r>
  </si>
  <si>
    <t>8/18-外箱SCC</t>
  </si>
  <si>
    <t>96415-9.12</t>
  </si>
  <si>
    <t>4500175179-20</t>
  </si>
  <si>
    <t>4500175177-10</t>
  </si>
  <si>
    <t>96414-9.12</t>
  </si>
  <si>
    <t>4500175177-20</t>
  </si>
  <si>
    <t>4500174511-10</t>
  </si>
  <si>
    <r>
      <rPr>
        <sz val="10"/>
        <color rgb="FF0E2EF0"/>
        <rFont val="Arial"/>
        <charset val="0"/>
      </rPr>
      <t>9/18</t>
    </r>
    <r>
      <rPr>
        <sz val="10"/>
        <color rgb="FF0E2EF0"/>
        <rFont val="宋体"/>
        <charset val="0"/>
      </rPr>
      <t>出</t>
    </r>
  </si>
  <si>
    <t>8/18-外箱贴纸</t>
  </si>
  <si>
    <t xml:space="preserve"> ZURU MA （首选1L）UPC版本</t>
  </si>
  <si>
    <t>ZB01958-9.17</t>
  </si>
  <si>
    <t>4500175925-20</t>
  </si>
  <si>
    <t>8/25-外箱SCC</t>
  </si>
  <si>
    <t>测试</t>
  </si>
  <si>
    <t>A96808-10.31</t>
  </si>
  <si>
    <t>4500175925-40</t>
  </si>
  <si>
    <t>4500175924-20</t>
  </si>
  <si>
    <r>
      <rPr>
        <sz val="10"/>
        <color rgb="FF0E2EF0"/>
        <rFont val="Arial"/>
        <charset val="0"/>
      </rPr>
      <t>9/17-9/19</t>
    </r>
    <r>
      <rPr>
        <sz val="10"/>
        <color rgb="FF0E2EF0"/>
        <rFont val="宋体"/>
        <charset val="0"/>
      </rPr>
      <t>出</t>
    </r>
  </si>
  <si>
    <t>A96807-10.31</t>
  </si>
  <si>
    <t>4500175924-40</t>
  </si>
  <si>
    <t>4500174764-20</t>
  </si>
  <si>
    <r>
      <rPr>
        <sz val="10"/>
        <color rgb="FF0E2EF0"/>
        <rFont val="Arial"/>
        <charset val="0"/>
      </rPr>
      <t>9/20</t>
    </r>
    <r>
      <rPr>
        <sz val="10"/>
        <color rgb="FF0E2EF0"/>
        <rFont val="宋体"/>
        <charset val="0"/>
      </rPr>
      <t>出</t>
    </r>
  </si>
  <si>
    <t>4500175962-40</t>
  </si>
  <si>
    <t>日期码格式：ZURU INC(BVI) 标准格式 日期：按实际生产日期
Packaging Info: 1. 包装方式：MA UPC 优先1L 最新包装，出口美国
Remark: 2. 产品和包装上印刷tracking code信息，格式为ZURU常规;
3. ZURU QC验货即可出货;
4. 25282外箱两正唛各贴一张UPC贴纸, 侧唛不用贴，贴纸做成普通白色贴纸即可.</t>
  </si>
  <si>
    <t>AB GEE OF RIPLEY LTD.</t>
  </si>
  <si>
    <t>777 1OCT</t>
  </si>
  <si>
    <t>4500175085-20</t>
  </si>
  <si>
    <r>
      <rPr>
        <sz val="10"/>
        <color rgb="FF0E2EF0"/>
        <rFont val="Arial"/>
        <charset val="0"/>
      </rPr>
      <t>9/24</t>
    </r>
    <r>
      <rPr>
        <sz val="10"/>
        <color rgb="FF0E2EF0"/>
        <rFont val="宋体"/>
        <charset val="0"/>
      </rPr>
      <t>出</t>
    </r>
  </si>
  <si>
    <t>8/25收到</t>
  </si>
  <si>
    <t>B版 WEEE声明带电池走货欧洲 30 语通用黑白说明书</t>
  </si>
  <si>
    <t>25282:最新MA UPC包装</t>
  </si>
  <si>
    <t>日期码格式：ZURU INC(BVI) 标准格式 日期：按实际生产日期
Packaging Info: 
25282:最新MA UPC包装+B版 WEEE声明带电池走货欧洲 30 语通用黑白说明书，UPC#193052062611 ,配比都跟MA
Remark: 1.产品及包装需要印UKCA图标，包装需要有ZURU UK LTD/ZURU France地址信息，QC同事请核查，如有问题与跟单确认。
2. 需要符合欧洲标准不能含有闪粉和微塑料，否则不合法规会有客诉产生</t>
  </si>
  <si>
    <t>Zoe Zhou</t>
  </si>
  <si>
    <t>96510-9.23</t>
  </si>
  <si>
    <t>4500173503-10</t>
  </si>
  <si>
    <r>
      <rPr>
        <sz val="10"/>
        <color rgb="FF0E2EF0"/>
        <rFont val="Arial"/>
        <charset val="0"/>
      </rPr>
      <t>10/11</t>
    </r>
    <r>
      <rPr>
        <sz val="10"/>
        <color rgb="FF0E2EF0"/>
        <rFont val="宋体"/>
        <charset val="0"/>
      </rPr>
      <t>出</t>
    </r>
  </si>
  <si>
    <t>.ZURU MA UPC 现有版本包装</t>
  </si>
  <si>
    <t>1100030564-2</t>
  </si>
  <si>
    <t>4500176300-20</t>
  </si>
  <si>
    <t>8/7收到</t>
  </si>
  <si>
    <t>MA PKG,优先1L</t>
  </si>
  <si>
    <t>日期码格式：ZURU INC(BVI) 标准格式 日期：按实际生产日期
Packaging Info: MA PKG,优先1L
Remark:</t>
  </si>
  <si>
    <t>96512-9.23</t>
  </si>
  <si>
    <t>4500176409-10</t>
  </si>
  <si>
    <r>
      <rPr>
        <sz val="10"/>
        <color rgb="FF0E2EF0"/>
        <rFont val="Arial"/>
        <charset val="0"/>
      </rPr>
      <t>9/30</t>
    </r>
    <r>
      <rPr>
        <sz val="10"/>
        <color rgb="FF0E2EF0"/>
        <rFont val="宋体"/>
        <charset val="0"/>
      </rPr>
      <t>出</t>
    </r>
  </si>
  <si>
    <t>UPC条码贴纸+一张德语callout贴纸翻4500116913+B版WEEE声明通用30L说明书（带电池）</t>
  </si>
  <si>
    <t>25282D：最新MA3L+23L警告语 MA彩盒+</t>
  </si>
  <si>
    <t>日期码格式：ZURU INC(BVI) 标准格式 日期：按实际生产日期
Packaging Info: 25282D：最新MA3L+23L警告语 MA彩盒+一张新的UPC条码贴纸(25282D#193052063199)+一张德语callout贴纸（贴纸都翻PO#4500116913）+MA最新9L 说明书+B版WEEE
声明通用30L说明书（带电池）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</si>
  <si>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A96616-10.8</t>
  </si>
  <si>
    <t>4500176409-20</t>
  </si>
  <si>
    <t>25282B：最新MA3L+23L警告语 MA彩盒+</t>
  </si>
  <si>
    <t>日期码格式：ZURU INC(BVI) 标准格式 日期：按实际生产日期
Packaging Info: 
25282B：最新MA3L+23L警告语 MA彩盒+一张新的UPC条码贴纸(25282B#193052063182)+一张德语callout贴纸（贴纸都翻PO#4500116913）+MA最新9L 说明书+B 版WEEE
声明通用30L说明书（带电池）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</si>
  <si>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4500176409-30</t>
  </si>
  <si>
    <t>25282A：最新MA3L+23L警告语 MA彩盒+</t>
  </si>
  <si>
    <t>日期码格式：ZURU INC(BVI) 标准格式 日期：按实际生产日期
Packaging Info: 
25282A：MA3L+23L警告语 MA彩盒(25282A UPC#193052062611)+一张德语callout贴纸（贴纸翻#4500116913）+MA最新9L 说明书+B版WEEE声明通用30L说明书（带电池
）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</si>
  <si>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4500177236-10</t>
  </si>
  <si>
    <r>
      <rPr>
        <sz val="10"/>
        <color rgb="FF0E2EF0"/>
        <rFont val="Arial"/>
        <charset val="0"/>
      </rPr>
      <t>10/9-10/10</t>
    </r>
    <r>
      <rPr>
        <sz val="10"/>
        <color rgb="FF0E2EF0"/>
        <rFont val="宋体"/>
        <charset val="0"/>
      </rPr>
      <t>出</t>
    </r>
  </si>
  <si>
    <t>8/29收到</t>
  </si>
  <si>
    <t>9/15 外箱SCC</t>
  </si>
  <si>
    <t>A96625-10.10</t>
  </si>
  <si>
    <t>21012328</t>
  </si>
  <si>
    <t>4500177240-10</t>
  </si>
  <si>
    <t>A96626-10.10</t>
  </si>
  <si>
    <t>2VKFLP8E</t>
  </si>
  <si>
    <t>4500178034-10</t>
  </si>
  <si>
    <r>
      <rPr>
        <sz val="10"/>
        <color rgb="FF0E2EF0"/>
        <rFont val="宋体"/>
        <charset val="0"/>
      </rPr>
      <t>收到</t>
    </r>
    <r>
      <rPr>
        <sz val="10"/>
        <color rgb="FF0E2EF0"/>
        <rFont val="Arial"/>
        <charset val="0"/>
      </rPr>
      <t>SO</t>
    </r>
  </si>
  <si>
    <t>UPC贴纸翻4500122523+9/18-外箱贴纸</t>
  </si>
  <si>
    <t>71109 产品直接入彩盒+MA说明书， 彩盒图稿跟返单4500122523.</t>
  </si>
  <si>
    <t>日期码格式：ZURU INC(BVI) 标准格式 日期：按实际生产日期
Packaging Info: 
#71109 产品直接入彩盒+MA说明书， 彩盒图稿跟返单4500122523. B/D款要加UPC贴纸， UPC贴纸图稿跟返单4500122523。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</si>
  <si>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5ZG9J95K</t>
  </si>
  <si>
    <t>4500178034-50</t>
  </si>
  <si>
    <t>UPC贴纸翻4500122523+9/15-外箱贴纸+防窜码贴纸</t>
  </si>
  <si>
    <t>日期码格式：ZURU INC(BVI) 标准格式 日期：按实际生产日期
Packaging Info: 
#71109 产品直接入彩盒+MA说明书， 彩盒图稿跟返单4500122523. B/D款要加UPC贴纸， UPC贴纸图稿跟返单4500122523。71109B需要加一张客供防伪帖纸，贴纸跟
单提供。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</si>
  <si>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2Q6L9GXL</t>
  </si>
  <si>
    <t>4500178020-10</t>
  </si>
  <si>
    <t>日期码格式：ZURU INC(BVI) 标准格式 日期：按实际生产日期
Packaging Info: #71109 产品直接入彩盒+MA说明书， 彩盒图稿跟返单4500122523. B/D款要加UPC贴纸， UPC贴纸图稿跟返单4500122523。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</si>
  <si>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2USJNG5V</t>
  </si>
  <si>
    <t>4500178020-90</t>
  </si>
  <si>
    <t>7G56SZ5Y</t>
  </si>
  <si>
    <t>4500178020-100</t>
  </si>
  <si>
    <t>日期码格式：ZURU INC(BVI) 标准格式 日期：按实际生产日期
Packaging Info: #71109 产品直接入彩盒+MA说明书， 彩盒图稿跟返单4500122523. B/D款要加UPC贴纸， UPC贴纸图稿跟返单4500122523。71109B需要加一张客供防伪帖纸，贴纸跟
单提供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</si>
  <si>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47IDNS1C</t>
  </si>
  <si>
    <t>4500178020-180</t>
  </si>
  <si>
    <t>2U1G5DTS</t>
  </si>
  <si>
    <t>4500177996-10</t>
  </si>
  <si>
    <t>UPC贴纸翻4500122523+9/18外箱贴纸</t>
  </si>
  <si>
    <t>3IJZ1SIF</t>
  </si>
  <si>
    <t>4500177996-20</t>
  </si>
  <si>
    <t>日期码格式：ZURU INC(BVI) 标准格式 日期：按实际生产日期
Packaging Info: #71109 产品直接入彩盒+MA说明书， 彩盒图稿跟返单4500122523. B/D款要加UPC贴纸， UPC贴纸图稿跟返单4500122523。71109B需要加一张客供防伪帖纸，贴纸跟
单提供。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</si>
  <si>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497SL7PO</t>
  </si>
  <si>
    <t>4500177996-150</t>
  </si>
  <si>
    <t>2IBG1JVX</t>
  </si>
  <si>
    <t>4500177996-160</t>
  </si>
  <si>
    <t>6W2SY9GN</t>
  </si>
  <si>
    <t>4500177996-190</t>
  </si>
  <si>
    <t>BABYHOUSE</t>
  </si>
  <si>
    <t>4500177534-120</t>
  </si>
  <si>
    <r>
      <rPr>
        <sz val="10"/>
        <color rgb="FF0E2EF0"/>
        <rFont val="Arial"/>
        <charset val="0"/>
      </rPr>
      <t>10/20</t>
    </r>
    <r>
      <rPr>
        <sz val="10"/>
        <color rgb="FF0E2EF0"/>
        <rFont val="宋体"/>
        <charset val="0"/>
      </rPr>
      <t>出</t>
    </r>
  </si>
  <si>
    <t>8/22收到</t>
  </si>
  <si>
    <t>8/22-进口商贴纸</t>
  </si>
  <si>
    <t>25282: MA 彩卡</t>
  </si>
  <si>
    <t>日期码格式：ZURU INC(BVI) 标准格式 日期：按实际生产日期
Packaging Info: 
25282: MA 彩卡+ 进口商贴纸 ; MA 说明书/指南（如有）.
Remark: 标准配比</t>
  </si>
  <si>
    <t>4500176165-10</t>
  </si>
  <si>
    <r>
      <rPr>
        <sz val="10"/>
        <color rgb="FF0E2EF0"/>
        <rFont val="Arial"/>
        <charset val="0"/>
      </rPr>
      <t>10/25</t>
    </r>
    <r>
      <rPr>
        <sz val="10"/>
        <color rgb="FF0E2EF0"/>
        <rFont val="宋体"/>
        <charset val="0"/>
      </rPr>
      <t>出</t>
    </r>
  </si>
  <si>
    <t>9/4收到</t>
  </si>
  <si>
    <t>9/12-客供价格贴纸</t>
  </si>
  <si>
    <t>ZB02559(REV1)-10.23</t>
  </si>
  <si>
    <t>4500176570-30</t>
  </si>
  <si>
    <r>
      <rPr>
        <sz val="10"/>
        <color rgb="FF0E2EF0"/>
        <rFont val="Arial"/>
        <charset val="0"/>
      </rPr>
      <t>10/21</t>
    </r>
    <r>
      <rPr>
        <sz val="10"/>
        <color rgb="FF0E2EF0"/>
        <rFont val="宋体"/>
        <charset val="0"/>
      </rPr>
      <t>出</t>
    </r>
  </si>
  <si>
    <t>8/13收到</t>
  </si>
  <si>
    <t>日期码格式：ZURU INC(BVI) 标准格式 日期：按实际生产日期
Packaging Info: 
25282D:最新MA3L+23L警告语 MA彩盒+一张新的UPC条码贴纸(25282D#193052063199)+一张德语callout贴纸（贴纸都翻PO#4500116913）+MA最新9L 说明书+B版WEEE声
明通用30L说明书（带电池）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</si>
  <si>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A96699-10.21</t>
  </si>
  <si>
    <t>4500176570-40</t>
  </si>
  <si>
    <t>日期码格式：ZURU INC(BVI) 标准格式 日期：按实际生产日期
Packaging Info: 
25282B:最新MA3L+23L警告语 MA彩盒+一张新的UPC条码贴纸(25282B#193052063182)+一张德语callout贴纸（贴纸都翻PO#4500116913）+MA最新9L 说明书+B 版WEEE
声明通用30L说明书（带电池）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</si>
  <si>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4500176570-50</t>
  </si>
  <si>
    <t>日期码格式：ZURU INC(BVI) 标准格式 日期：按实际生产日期
Packaging Info: 
25282A:MA3L+23L警告语 MA彩盒(25282A UPC#193052062611)+一张德语callout贴纸（贴纸翻#4500116913）+MA最新9L 说明书+B版WEEE声明通用30L说明书（带电池
）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</si>
  <si>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4500177972-20</t>
  </si>
  <si>
    <r>
      <rPr>
        <sz val="10"/>
        <color rgb="FF0E2EF0"/>
        <rFont val="Arial"/>
        <charset val="0"/>
      </rPr>
      <t>10/15-10/17</t>
    </r>
    <r>
      <rPr>
        <sz val="10"/>
        <color rgb="FF0E2EF0"/>
        <rFont val="宋体"/>
        <charset val="0"/>
      </rPr>
      <t>出</t>
    </r>
  </si>
  <si>
    <t>9/23- 外箱SCC</t>
  </si>
  <si>
    <t>A96680-10.17</t>
  </si>
  <si>
    <t>4500177974-10</t>
  </si>
  <si>
    <t>A96681-10.17</t>
  </si>
  <si>
    <t>4500173505-10</t>
  </si>
  <si>
    <t>WM MORRISON SUPERMARKETS LIMITED</t>
  </si>
  <si>
    <t>4500178200-10</t>
  </si>
  <si>
    <r>
      <rPr>
        <sz val="10"/>
        <color rgb="FF0E2EF0"/>
        <rFont val="Arial"/>
        <charset val="0"/>
      </rPr>
      <t>11/4</t>
    </r>
    <r>
      <rPr>
        <sz val="10"/>
        <color rgb="FF0E2EF0"/>
        <rFont val="宋体"/>
        <charset val="0"/>
      </rPr>
      <t>出</t>
    </r>
  </si>
  <si>
    <t>WEEE_带电池走货 _ 说明书欧洲EN+30L-B版+107-防盗贴纸</t>
  </si>
  <si>
    <t>.25282-2023-S004：MA 1L UPC包装</t>
  </si>
  <si>
    <t>日期码格式：ZURU INC(BVI) 标准格式 日期：按实际生产日期
Packaging Info: 1.25282-2023-S004：MA 1L UPC包装+WEEE_带电池走货 _ 说明书欧洲EN+30L-B版+一张防盗贴纸（贴纸类型10111887: 410 ECON，请工厂自行跟checkpoint供应商订
购贴纸), 防盗贴纸贴在条码背面，贴纸和位置图翻PO#4500095305
UPC#193052062611，请先检查包装条码是否正确再安排做货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7.外箱有条码要求，排版时请留意并请确保条码清晰可扫描（封箱胶不要黏到条码上), 否则客人会有罚款。
8.若外箱重量超过16KGS，请提前告知ZURU跟单，需要客人批准才能出货，并且外箱需要印2 man lift标志.
10.做货前请先复核包装条码与订单是否一致再安排，对不上的需与ZURU跟单确认再安排</t>
  </si>
  <si>
    <t>21138686</t>
  </si>
  <si>
    <t>4500178925-60</t>
  </si>
  <si>
    <t>10/22-10/24出</t>
  </si>
  <si>
    <t>9/5收到</t>
  </si>
  <si>
    <t>9/29- 外箱SCC</t>
  </si>
  <si>
    <t>A96721-2-10.24</t>
  </si>
  <si>
    <t>4500178926-60</t>
  </si>
  <si>
    <t>A96722-2-10.24</t>
  </si>
  <si>
    <t>60X419497</t>
  </si>
  <si>
    <t>4500178449-60</t>
  </si>
  <si>
    <t>25282-2023-S029</t>
  </si>
  <si>
    <r>
      <rPr>
        <sz val="10"/>
        <color rgb="FF0E2EF0"/>
        <rFont val="Arial"/>
        <charset val="0"/>
      </rPr>
      <t>12/6</t>
    </r>
    <r>
      <rPr>
        <sz val="10"/>
        <color rgb="FF0E2EF0"/>
        <rFont val="宋体"/>
        <charset val="0"/>
      </rPr>
      <t>出</t>
    </r>
  </si>
  <si>
    <t>客版1L UPC 彩盒（翻单4500143920）飞机孔</t>
  </si>
  <si>
    <t>日期码格式：ZURU INC(BVI) 标准格式 日期：按实际生产日期
Packaging Info: 1. ZURU MA包装；最新UPC 版本；出口美国；
25282-2023-S029： 客版1L UPC 彩盒（翻单4500143920），彩卡上打飞机孔；
Remark: 2. 日期跟踪码：ZURU标准格式日期码，产品包装及产品本身都必须有ZURU标准格式日期码，并且确保两者信息保持一致(请自行调整具体年月日生产期，但不能为
周末）。
3. 大货样。
#25282需10月15日前需寄出3套大货样板(含PDQ)，样板须跟大货一模一样（含日期码）。
样板一套我们将给到美国HEB，两套寄到以下深圳利丰地址，到时利丰会回签一套用于第三方100%大货验货。
回签的样板工厂需保存好，只要产品没更新签样一年有效每次的第三方验货都是用这套样板做参考不再走客户签样流程。
* 一套样板寄到以下地址（一套含PDQ）
深圳雨禾伟业实业有限公司
地址：广东省深圳市罗湖区东门南路1006号文锦渡口岸大厦B栋7楼
收件人：Elsa
电话：0755 6688 1988 Ext3337
*2套（4pcs成品+2个空PDQ（如果产品涉及PDQ的话）+2套散件（如果产品涉及散件的话））寄到以下地址：
Li Fung　
深圳市福田区绒花路8号深福保大厦附楼3楼。
收件人： Yoland Dai　电话：+0755 8825 3756
4. 验货+ 抽板 （同一天进行）
预约10月31日第三方（利丰）到工厂做100%大货现场验货和抽板，验货需打印EPM出来跟客户回签样板供第三方验货参考。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
7. 外箱胶带必须按照工字型封箱</t>
  </si>
  <si>
    <t>4500179341-10</t>
  </si>
  <si>
    <r>
      <rPr>
        <sz val="10"/>
        <color rgb="FF0E2EF0"/>
        <rFont val="Arial"/>
        <charset val="0"/>
      </rPr>
      <t>10/29-10/31</t>
    </r>
    <r>
      <rPr>
        <sz val="10"/>
        <color rgb="FF0E2EF0"/>
        <rFont val="宋体"/>
        <charset val="0"/>
      </rPr>
      <t>出</t>
    </r>
  </si>
  <si>
    <t>9/25收到</t>
  </si>
  <si>
    <t>10/9-外箱SCC</t>
  </si>
  <si>
    <t>A96772-10.30</t>
  </si>
  <si>
    <t>4500179340-10</t>
  </si>
  <si>
    <t>A96773-10.30</t>
  </si>
  <si>
    <t>777 2JAN26</t>
  </si>
  <si>
    <t>4500179105-10</t>
  </si>
  <si>
    <r>
      <rPr>
        <sz val="10"/>
        <color rgb="FF0E2EF0"/>
        <rFont val="Arial"/>
        <charset val="0"/>
      </rPr>
      <t>11/10</t>
    </r>
    <r>
      <rPr>
        <sz val="10"/>
        <color rgb="FF0E2EF0"/>
        <rFont val="宋体"/>
        <charset val="0"/>
      </rPr>
      <t>出</t>
    </r>
  </si>
  <si>
    <t>9/16收到</t>
  </si>
  <si>
    <t>WEEE声明带电池走货欧洲 30 语通用黑白说明书</t>
  </si>
  <si>
    <t>25282-2023:最新MA UPC包装</t>
  </si>
  <si>
    <t>日期码格式：ZURU INC(BVI) 标准格式 日期：按实际生产日期
Packaging Info: MA 最新UPC包装，各款的条码如下，请先检查条码是否正确再安排做货，如有问题请告知
配比跟MA
1.25282-2023:最新MA UPC包装+B版 WEEE声明带电池走货欧洲 30 语通用黑白说明书，UPC#193052062611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如果是电子产品不带电池出货，请加上WEEE不带电池走货欧洲30语通用黑
白说明书</t>
  </si>
  <si>
    <t>A97000-11-22</t>
  </si>
  <si>
    <t>CUS PO
4400512876</t>
  </si>
  <si>
    <t>4500180852-10</t>
  </si>
  <si>
    <t>UPC条码贴纸翻4500116913+WEEE声明通用30L-B版说明书（带电池）</t>
  </si>
  <si>
    <t>25282D: 最新MA3L+23L警告语 MA彩盒</t>
  </si>
  <si>
    <t>日期码格式：ZURU INC(BVI) 标准格式 日期：按实际生产日期
Packaging Info: 25282D: 最新MA3L+23L警告语 MA彩盒+一张新的UPC条码贴纸(25282D#193052063199; 翻PO#4500116913)+MA 9L说明书+WEEE声明通用30L-B版说明书（带电池）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</si>
  <si>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4500180852-20</t>
  </si>
  <si>
    <t>25282B: 最新MA3L+23L警告语 MA彩盒</t>
  </si>
  <si>
    <t>日期码格式：ZURU INC(BVI) 标准格式 日期：按实际生产日期
Packaging Info: 
25282B: 最新MA3L+23L警告语 MA彩盒+一张新的UPC条码贴纸(25282B#193052063182; 翻PO#4500116913)+MA 9L说明书+WEEE声明通用30L-B版说明书（带电池）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</si>
  <si>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4500180852-30</t>
  </si>
  <si>
    <t>WEEE声明通用30L-B版说明书（带电池）</t>
  </si>
  <si>
    <t>25282A: 最新MA3L+23L警告语 MA彩盒</t>
  </si>
  <si>
    <t>日期码格式：ZURU INC(BVI) 标准格式 日期：按实际生产日期
Packaging Info: 
25282A: 最新MA3L+23L警告语 MA彩盒(25282A UPC#193052062611)+MA 9L说明书+WEEE声明通用30L-B版说明书（带电池）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</si>
  <si>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CUS PO
4400512877</t>
  </si>
  <si>
    <t>4500180853-10</t>
  </si>
  <si>
    <r>
      <rPr>
        <sz val="10"/>
        <color rgb="FF0E2EF0"/>
        <rFont val="Arial"/>
        <charset val="0"/>
      </rPr>
      <t>11/18</t>
    </r>
    <r>
      <rPr>
        <sz val="10"/>
        <color rgb="FF0E2EF0"/>
        <rFont val="宋体"/>
        <charset val="0"/>
      </rPr>
      <t>出</t>
    </r>
  </si>
  <si>
    <t>4500180853-20</t>
  </si>
  <si>
    <t>4500180853-30</t>
  </si>
  <si>
    <t>Zuru.2025Q4</t>
  </si>
  <si>
    <t>4500181872-30</t>
  </si>
  <si>
    <t>10/14收到</t>
  </si>
  <si>
    <t>固定进口商贴纸翻4500165462</t>
  </si>
  <si>
    <t>MA UPC包装(优先1L)</t>
  </si>
  <si>
    <t>日期码格式：ZURU INC(BVI) 标准格式 日期：按实际生产日期
Packaging Info: MA UPC包装(优先1L)+1张固定进口商贴纸,贴纸图稿及位置图翻单如下;
25282-4500165462
此客人一般是集中所有货物在一个东莞的工厂提货, 做发票收款前请同我确认价格类型;订单先开EXW;
Remark: 
25282-Baby Shark(yellow)/ Mummy Shark(pink)/ Daddy Shark(blue) =1:1:1;</t>
  </si>
  <si>
    <t>PO#2950867218</t>
  </si>
  <si>
    <t>4500181035-30</t>
  </si>
  <si>
    <r>
      <rPr>
        <sz val="10"/>
        <color rgb="FF0E2EF0"/>
        <rFont val="Arial"/>
        <charset val="0"/>
      </rPr>
      <t>11/26</t>
    </r>
    <r>
      <rPr>
        <sz val="10"/>
        <color rgb="FF0E2EF0"/>
        <rFont val="宋体"/>
        <charset val="0"/>
      </rPr>
      <t>出</t>
    </r>
  </si>
  <si>
    <t>10/11收到slip sheet贴纸</t>
  </si>
  <si>
    <t>日期码格式：ZURU INC(BVI) 标准格式 日期：按实际生产日期
Packaging Info:
25282SLB-2023-S002, MA最新UPC包装，UPC :193052062611，请先检查条码是否正确再安排做货。
Slip sheet: 25282-2023-S011 (CTN SIZE:25*22.3*15CM);32*5H=160CTN/320PCS/Slip Sheet
;一共需要4个slip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</si>
  <si>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Meyya Liu</t>
  </si>
  <si>
    <t>A97012-11-25</t>
  </si>
  <si>
    <t>4500176577-10</t>
  </si>
  <si>
    <r>
      <rPr>
        <sz val="10"/>
        <color rgb="FF0E2EF0"/>
        <rFont val="Arial"/>
        <charset val="0"/>
      </rPr>
      <t>11/27</t>
    </r>
    <r>
      <rPr>
        <sz val="10"/>
        <color rgb="FF0E2EF0"/>
        <rFont val="宋体"/>
        <charset val="0"/>
      </rPr>
      <t>出</t>
    </r>
  </si>
  <si>
    <t>10/16收到</t>
  </si>
  <si>
    <t>10/16-客供价格贴纸</t>
  </si>
  <si>
    <t>ZB03135-11-28</t>
  </si>
  <si>
    <t>PO# R251089
91164821</t>
  </si>
  <si>
    <t>4500181359-10</t>
  </si>
  <si>
    <t>12/2出</t>
  </si>
  <si>
    <t>10/20收到</t>
  </si>
  <si>
    <t>优先ZURU MA 1L包装，</t>
  </si>
  <si>
    <t>日期码格式：ZURU INC(BVI) 标准格式 日期：按实际生产日期
Packaging Info: 优先ZURU MA 1L包装，显示ZURU UPC条码，出口美国
Remark: 1、无第三方测试和验货；Zuru QC 验货即可出货；
2、如果产品含塑胶袋，厚度小于1/1000 inch（0.0254 毫米），需印警告语</t>
  </si>
  <si>
    <t>Angel Lin</t>
  </si>
  <si>
    <t>PO# R251091
96106584</t>
  </si>
  <si>
    <t>4500181420-10</t>
  </si>
  <si>
    <r>
      <rPr>
        <sz val="10"/>
        <color rgb="FF0E2EF0"/>
        <rFont val="Arial"/>
        <charset val="0"/>
      </rPr>
      <t>11/25</t>
    </r>
    <r>
      <rPr>
        <sz val="10"/>
        <color rgb="FF0E2EF0"/>
        <rFont val="宋体"/>
        <charset val="0"/>
      </rPr>
      <t>出</t>
    </r>
  </si>
  <si>
    <t>85YAR4TX</t>
  </si>
  <si>
    <t>4500181602-130</t>
  </si>
  <si>
    <t>彩盒图稿跟翻单#4500112288.</t>
  </si>
  <si>
    <t>11/6-客供防伪帖纸</t>
  </si>
  <si>
    <t>彩盒+MA说明书， 彩盒图稿跟翻单#4500112288</t>
  </si>
  <si>
    <t>日期码格式：ZURU INC(BVI) 标准格式 日期：按实际生产日期
Packaging Info: 出口加拿大，包装需要至少2/3L UPC版，无硼版本。
#71109 产品直接入彩盒+MA说明书， 彩盒图稿跟翻单#4500112288. A:193052062963， #71109要加一张客供防伪帖纸，贴纸跟单提供。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
Or</t>
  </si>
  <si>
    <t>2ETI513G</t>
  </si>
  <si>
    <t>4500181602-140</t>
  </si>
  <si>
    <t>CUS
PO#4400514829</t>
  </si>
  <si>
    <t>4500182612-10</t>
  </si>
  <si>
    <t>日期码格式：ZURU INC(BVI) 标准格式 日期：按实际生产日期
Packaging Info: 25282B: 最新MA3L+23L警告语 MA彩盒+一张新的UPC条码贴纸(25282B#193052063182)+一张德语callout贴纸+MA最新9L 说明书+WEEE声明通用30L说明书（带电池），
贴纸都翻PO#4500116913
25282D: 最新MA3L+23L警告语 MA彩盒+一张新的UPC条码贴纸(25282D#193052063199)+一张德语callout贴纸+MA最新9L 说明书+WEEE声明通用30L说明书（带电池），
贴纸都翻PO#4500116913
25282A: MA最新3L+23L警告语 MA彩盒+一张德语callout贴纸（翻单#4500116913）+MA最新9L 说明书---用MA彩盒条码+WEEE声明通用30L说明书（带电池）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t>
  </si>
  <si>
    <t>A97013-11-25</t>
  </si>
  <si>
    <t>4500182612-20</t>
  </si>
  <si>
    <t>4500182612-30</t>
  </si>
  <si>
    <t>Amazon UK:
1ZSKG69R</t>
  </si>
  <si>
    <t>4500180750-20</t>
  </si>
  <si>
    <t>贴纸(含IT/ES环保标+UPC翻单PO#4500173446+11/6-外箱贴纸</t>
  </si>
  <si>
    <t>日期码格式：ZURU INC(BVI) 标准格式 日期：按实际生产日期
Packaging Info: Amazon UK(71109D/77515/9543AE)/DE(77555/9543E)/FR(92104H/9543AE)
1.71109D: 24pcs 25282/ctn,pink; 客版彩盒包装(参考PO#4500112288)+MA 9L G版说明书+1张贴纸(含IT/ES环保标+UPC#+GPSR邮箱care@zuru.com，参考翻单PO#45
00173446)；
6. 验货时间不迟于2025/12/1.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</si>
  <si>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4500184172-10</t>
  </si>
  <si>
    <r>
      <rPr>
        <sz val="10"/>
        <color rgb="FF0000FF"/>
        <rFont val="Arial"/>
        <charset val="0"/>
      </rPr>
      <t>12/12</t>
    </r>
    <r>
      <rPr>
        <sz val="10"/>
        <color rgb="FF0000FF"/>
        <rFont val="宋体"/>
        <charset val="0"/>
      </rPr>
      <t>出</t>
    </r>
  </si>
  <si>
    <t>4500184172-30</t>
  </si>
  <si>
    <t>4500184172-50</t>
  </si>
  <si>
    <t>4500184172-70</t>
  </si>
  <si>
    <t>4500184536-60</t>
  </si>
  <si>
    <t>WEEE_带电池走货 _ 说明书欧洲EN+30L-B版+11/27-防盗贴纸翻PO#4500095305</t>
  </si>
  <si>
    <t>25282: MA 1L UPC包装</t>
  </si>
  <si>
    <t>日期码格式：ZURU INC(BVI) 标准格式 日期：按实际生产日期
Packaging Info:
25282: MA 1L UPC包装+WEEE_带电池走货 _ 说明书欧洲EN+30L-B版+一张防盗贴纸（贴纸类型10111887: 410 ECON，请工厂自行跟checkpoint供应商订购贴纸), 防
盗贴纸贴在条码背面，贴纸和位置图翻PO#4500095305
UPC#193052062611，请先检查包装条码是否正确再安排做货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7.外箱有条码要求，排版时请留意并请确保条码清晰可扫描（封箱胶不要黏到条码上), 否则客人会有罚款。
8.若外箱重量超过16KGS，请提前告知ZURU跟单，需要客人批准才能出货，并且外箱需要印2 man lift标志.
9.做货前请先复核包装条码与订单是否一致再安排，对不上的需与ZURU跟单确认再安排。</t>
  </si>
  <si>
    <t>CUS
PO#4400517280</t>
  </si>
  <si>
    <t>4500184234-10</t>
  </si>
  <si>
    <r>
      <rPr>
        <sz val="10"/>
        <color rgb="FF0000FF"/>
        <rFont val="Arial"/>
        <charset val="0"/>
      </rPr>
      <t>12/16</t>
    </r>
    <r>
      <rPr>
        <sz val="10"/>
        <color rgb="FF0000FF"/>
        <rFont val="宋体"/>
        <charset val="0"/>
      </rPr>
      <t>出</t>
    </r>
  </si>
  <si>
    <t>UPC条码贴纸翻PO#4500116913+WEEE声明通用30L-B版说明书（带电池）</t>
  </si>
  <si>
    <t>4500184234-20</t>
  </si>
  <si>
    <t>4500184234-30</t>
  </si>
  <si>
    <t>日期码格式：ZURU INC(BVI) 标准格式 日期：按实际生产日期
Packaging Info:
25282A: 最新MA3L+23L警告语 MA彩盒(25282A UPC#193052062611)+MA 9L说明书+WEEE声明通用30L-B版说明书（带电池）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</si>
  <si>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58Y74ZTK</t>
  </si>
  <si>
    <t>4500184827-160</t>
  </si>
  <si>
    <r>
      <rPr>
        <sz val="10"/>
        <color rgb="FF0000FF"/>
        <rFont val="宋体"/>
        <charset val="0"/>
      </rPr>
      <t>彩盒图稿跟翻单</t>
    </r>
    <r>
      <rPr>
        <sz val="10"/>
        <color rgb="FF0000FF"/>
        <rFont val="Arial"/>
        <charset val="0"/>
      </rPr>
      <t>#4500112288</t>
    </r>
  </si>
  <si>
    <t>11/26-客供防伪帖纸</t>
  </si>
  <si>
    <t>日期码格式：ZURU INC(BVI) 标准格式 日期：按实际生产日期
Packaging Info: 出口加拿大，包装需要至少2/3L UPC版，无硼版本。
#71109 产品直接入彩盒+MA说明书， 彩盒图稿跟翻单#4500112288. A:193052062963， #71109要加一张客供防伪帖纸，贴纸跟单提供。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</si>
  <si>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5ANIA1EZ</t>
  </si>
  <si>
    <t>4500184827-170</t>
  </si>
  <si>
    <t>4500184180-10</t>
  </si>
  <si>
    <r>
      <rPr>
        <sz val="10"/>
        <color rgb="FF0000FF"/>
        <rFont val="Arial"/>
        <charset val="0"/>
      </rPr>
      <t>12/29</t>
    </r>
    <r>
      <rPr>
        <sz val="10"/>
        <color rgb="FF0000FF"/>
        <rFont val="宋体"/>
        <charset val="0"/>
      </rPr>
      <t>出</t>
    </r>
  </si>
  <si>
    <t>12/1-客供价格贴纸</t>
  </si>
  <si>
    <t>4500184546-10</t>
  </si>
  <si>
    <r>
      <rPr>
        <sz val="10"/>
        <color rgb="FF0000FF"/>
        <rFont val="Arial"/>
        <charset val="0"/>
      </rPr>
      <t>1/12</t>
    </r>
    <r>
      <rPr>
        <sz val="10"/>
        <color rgb="FF0000FF"/>
        <rFont val="宋体"/>
        <charset val="0"/>
      </rPr>
      <t>出</t>
    </r>
  </si>
  <si>
    <t>日期码格式：ZURU INC(BVI) 标准格式 日期：按实际生产日期
Packaging Info: 25282: MA 1L UPC包装+WEEE_带电池走货 _ 说明书欧洲EN+30L-B版+一张防盗贴纸（贴纸类型10111887: 410 ECON，请工厂自行跟checkpoint供应商订购贴纸), 防
盗贴纸贴在条码背面，贴纸和位置图翻PO#4500095305
UPC#193052062611，请先检查包装条码是否正确再安排做货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7.外箱有条码要求，排版时请留意并请确保条码清晰可扫描（封箱胶不要黏到条码上), 否则客人会有罚款。
8.若外箱重量超过16KGS，请提前告知ZURU跟单，需要客人批准才能出货，并且外箱需要印2 man lift标志.
9.做货前请先复核包装条码与订单是否一致再安排，对不上的需与ZURU跟单确认再安排。</t>
  </si>
  <si>
    <t>4500184950-10</t>
  </si>
  <si>
    <t>11/28-外箱贴纸</t>
  </si>
  <si>
    <t>4500184953-10</t>
  </si>
  <si>
    <t>WALGREENS CO.</t>
  </si>
  <si>
    <t>4500185002-20</t>
  </si>
  <si>
    <t>1/4出</t>
  </si>
  <si>
    <t>WIC 贴纸翻 4500153786</t>
  </si>
  <si>
    <t>日期码格式：ZURU INC(BVI) 标准格式 日期：12-15-2025
Packaging Info: MA 包装 + WIC 贴纸 （WIC # 772948，同PO4500153786）
Remark: 产品和包装上要有ZURU 标准格式 tracking code DG20251215
请在12/23前寄出2套大货样。</t>
  </si>
  <si>
    <t>4500185002-30</t>
  </si>
  <si>
    <t>4500185002-40</t>
  </si>
  <si>
    <t>4500185002-60</t>
  </si>
  <si>
    <t>4500185002-70</t>
  </si>
  <si>
    <t>4500185002-80</t>
  </si>
  <si>
    <t>1/5出</t>
  </si>
  <si>
    <t>4500185002-90</t>
  </si>
  <si>
    <t>4500185002-100</t>
  </si>
  <si>
    <t>4500185002-10</t>
  </si>
  <si>
    <t>4500185002-50</t>
  </si>
  <si>
    <t>4500187190-10</t>
  </si>
  <si>
    <r>
      <rPr>
        <sz val="10"/>
        <color rgb="FF0E2EF0"/>
        <rFont val="Arial"/>
        <charset val="0"/>
      </rPr>
      <t>1/20</t>
    </r>
    <r>
      <rPr>
        <sz val="10"/>
        <color rgb="FF0E2EF0"/>
        <rFont val="宋体"/>
        <charset val="0"/>
      </rPr>
      <t>出</t>
    </r>
  </si>
  <si>
    <t>11/27-slip sheet贴纸</t>
  </si>
  <si>
    <t>MA最新UPC包装</t>
  </si>
  <si>
    <t>日期码格式：ZURU INC(BVI) 标准格式 日期：按实际生产日期
Packaging Info: "25282SLB-2023-S002, MA最新UPC包装，UPC :193052062611，请先检查条码是否正确再安排做货。
Slip sheet: 25282-2023-S011 (CTN SIZE:25*22.3*15CM);32*5H=160CTN/320PCS/Slip Sheet
;一共需要4个slip sheet；
Slip Sheet打包好后，需要在正唛、侧唛右下角各贴一张slip sheet贴纸，直接用A4纸打印出来即可，贴纸尺寸160mm width x 140mm high；"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
Order</t>
  </si>
  <si>
    <t>4500184183-10</t>
  </si>
  <si>
    <t>4500187503-10</t>
  </si>
  <si>
    <r>
      <rPr>
        <sz val="10"/>
        <color rgb="FF0E2EF0"/>
        <rFont val="Arial"/>
        <charset val="0"/>
      </rPr>
      <t>2/3</t>
    </r>
    <r>
      <rPr>
        <sz val="10"/>
        <color rgb="FF0E2EF0"/>
        <rFont val="宋体"/>
        <charset val="0"/>
      </rPr>
      <t>出</t>
    </r>
  </si>
  <si>
    <t>日期码格式：ZURU INC(BVI) 标准格式 日期：按实际生产日期
Packaging Info: 25282D: 最新MA3L+23L警告语 MA彩盒+一张新的UPC条码贴纸(25282D#193052063199; 翻PO#4500116913)+MA 9L说明书+WEEE声明通用30L-B版说明书（带电池）
25282B: 最新MA3L+23L警告语 MA彩盒+一张新的UPC条码贴纸(25282B#193052063182; 翻PO#4500116913)+MA 9L说明书+WEEE声明通用30L-B版说明书（带电池）
25282A: 最新MA3L+23L警告语 MA彩盒(25282A UPC#193052062611)+MA 9L说明书+WEEE声明通用30L-B版说明书（带电池）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</si>
  <si>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4500187503-20</t>
  </si>
  <si>
    <t>4500187503-30</t>
  </si>
  <si>
    <t>4500189004-10</t>
  </si>
  <si>
    <r>
      <rPr>
        <sz val="10"/>
        <color rgb="FF0E2EF0"/>
        <rFont val="Arial"/>
        <charset val="0"/>
      </rPr>
      <t>2/5</t>
    </r>
    <r>
      <rPr>
        <sz val="10"/>
        <color rgb="FF0E2EF0"/>
        <rFont val="宋体"/>
        <charset val="0"/>
      </rPr>
      <t>出</t>
    </r>
  </si>
  <si>
    <t xml:space="preserve"> 25282D: 最新MA3L+23L警告语 MA彩盒</t>
  </si>
  <si>
    <t>4500189004-20</t>
  </si>
  <si>
    <t>4500189004-30</t>
  </si>
  <si>
    <t>4500184187-10</t>
  </si>
  <si>
    <t>1/2-客供价格贴纸</t>
  </si>
  <si>
    <t>4500184178-10</t>
  </si>
  <si>
    <t>4500184178-30</t>
  </si>
  <si>
    <t>4500184178-50</t>
  </si>
  <si>
    <t>4500184178-70</t>
  </si>
  <si>
    <t>KANDYTOYS LIMITED</t>
  </si>
  <si>
    <t>AS191225ZUR15274</t>
  </si>
  <si>
    <t>4500190991-10</t>
  </si>
  <si>
    <t>WEEE 30L B 带电池说明书</t>
  </si>
  <si>
    <t xml:space="preserve"> 25282: MA UPC 1L</t>
  </si>
  <si>
    <t>日期码格式：ZURU INC(BVI) 标准格式 日期：按实际生产日期
Packaging Info: 25282: MA UPC 1L+WEEE 30L B 带电池说明书
Remark: 1.订单出英国，请注意检查产品及包装应带UKCA图标，包装需要显示ZURU UK LTD/ZURU France地址信息，QC同事请查核，如有问题与跟单确认。
2.生产日期按实际的（法定工作日），按ZURU标准格式即可 ，并需要在出货前提供每个产品外包上对应的生产日期明细
3.请注意所有订单都需要经过ZURU QC验货并且通过后方可出货
4.产品条码以订单显示为准 ，请安排生产前先核对再生产。
5.外箱上的条码请确保清晰可扫描，有PDQ， 需要在PDQ底部贴一张带条码并可扫描的贴纸(ZURU 跟单提供模板）。
6.所有产品按符合欧洲标准走货，微塑料需合规并增加IFUD声明，含电池的需要增加WEEE说明书。
7.涉及到硼的，需要符合欧洲标准
8.包装不能用PVC材质</t>
  </si>
  <si>
    <t>6HUGYDFI</t>
  </si>
  <si>
    <t>4500190805-30</t>
  </si>
  <si>
    <t>客版彩盒包装(参考PO#4500112288)+</t>
  </si>
  <si>
    <t>空白外箱（加印带Zuru字样的最新logo，除了邮包盒直接做外箱的产品） + MADE IN CHINA 外箱只印一正一侧</t>
  </si>
  <si>
    <t>IT/ES环保标+UPC+GPSR邮箱care@zuru.com翻4500173446+WEEE电子产品说明书30L(带电池走货B版)</t>
  </si>
  <si>
    <t>71109D:24pcs 25282/ctn,pink; 客版彩盒包装</t>
  </si>
  <si>
    <t>日期码格式：ZURU INC(BVI) 标准格式 日期：按实际生产日期
Packaging Info: Amazon UK: PO#6HUGYDFI, 5NNS39FE
Amazon GPE: PO#36IYPXRC
Amazon UK(71109D)
3. 71109D:24pcs 25282/ctn,pink; 客版彩盒包装(参考PO#4500112288)+MA 9L G版说明书+1张贴纸(含IT/ES环保标+UPC#+GPSR邮箱care@zuru.com，参考翻单PO#45
00173446)+WEEE电子产品说明书30L(带电池走货B版)
6. 验货时间不迟于2026/3/6.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 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</si>
  <si>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Luna Lin</t>
  </si>
  <si>
    <t>AMAZON EU SARL, NDL DEUTSCHLAND</t>
  </si>
  <si>
    <t>4I915PAR</t>
  </si>
  <si>
    <t>4500190813-20</t>
  </si>
  <si>
    <t>日期码格式：ZURU INC(BVI) 标准格式 日期：按实际生产日期
Packaging Info: Amazon UK: PO#5HR1R8JN
Amazon DE: PO#4I915PAR
Amazon UK(71109D)
1. 71109D:24pcs 25282/ctn,pink; 客版彩盒包装(参考PO#4500112288)+MA 9L G版说明书+1张贴纸(含IT/ES环保标+UPC#+GPSR邮箱care@zuru.com，参考翻单PO#45
00173446)+WEEE电子产品说明书30L(带电池走货B版)；
3. 验货时间不迟于2026/3/16.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</si>
  <si>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4500191105-10</t>
  </si>
  <si>
    <t>1/22收到</t>
  </si>
  <si>
    <t>4500191105-20</t>
  </si>
  <si>
    <t>日期码格式：ZURU INC(BVI) 标准格式 日期：按实际生产日期
Packaging Info:
25282B: 最新MA3L+23L警告语 MA彩盒+一张新的UPC条码贴纸(25282B#193052063182; 翻PO#4500116913)+MA 9L说明书+WEEE声明通用30L-B版说明书（带电池）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</si>
  <si>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7M963CMC</t>
  </si>
  <si>
    <t>4500191480-70</t>
  </si>
  <si>
    <t>彩盒图稿跟返单4500122523</t>
  </si>
  <si>
    <t>欠外箱贴纸</t>
  </si>
  <si>
    <t>日期码格式：ZURU INC(BVI) 标准格式 日期：按实际生产日期
Packaging Info:
#71109 产品直接入彩盒+MA说明书， 彩盒图稿跟返单4500122523.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</si>
  <si>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1KGN8BZA</t>
  </si>
  <si>
    <t>4500191499-70</t>
  </si>
  <si>
    <t>日期码格式：ZURU INC(BVI) 标准格式 日期：按实际生产日期
Packaging Info: 
#71109 产品直接入彩盒+MA说明书， 彩盒图稿跟返单4500122523.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</si>
  <si>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2IPRHY2L</t>
  </si>
  <si>
    <t>4500191560-90</t>
  </si>
  <si>
    <t>6KBRZ6UF</t>
  </si>
  <si>
    <t>4500191547-50</t>
  </si>
  <si>
    <t>6E5U4V9J</t>
  </si>
  <si>
    <t>4500191531-30</t>
  </si>
  <si>
    <t>8A2TW11D</t>
  </si>
  <si>
    <t>4500191511-30</t>
  </si>
  <si>
    <t>4500192994-10</t>
  </si>
  <si>
    <t>WAL045</t>
  </si>
  <si>
    <t>预计订单取消</t>
  </si>
  <si>
    <t>PRODUCT REQUERIMENTS
Tracking Code:Date code format：ZURU Standard format Date：03-26-2025
Packaging Info:同PO 4500185002
Remark:此单为手工单，客版物料等收到正式PO后再备</t>
  </si>
  <si>
    <t>4500192931-10</t>
  </si>
  <si>
    <t>日期码格式：ZURU INC(BVI) 标准格式 日期：按实际生产日期
Packaging Info:
25282D: 最新MA3L+23L警告语 MA彩盒+一张新的UPC条码贴纸(25282D#193052063199; 翻PO#4500116913)+MA 9L说明书+WEEE声明通用30L-B版说明书（带电池）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</si>
  <si>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4500192931-20</t>
  </si>
  <si>
    <t>4500192931-30</t>
  </si>
  <si>
    <t xml:space="preserve">                                                                                                                                                                                                                                                                                                                                                                                                                                                                                                                                                                                                                                                                                                                                                                                                              </t>
  </si>
  <si>
    <t xml:space="preserve">  </t>
  </si>
  <si>
    <r>
      <rPr>
        <b/>
        <sz val="16"/>
        <rFont val="Arial"/>
        <charset val="0"/>
      </rPr>
      <t xml:space="preserve">ZURU  </t>
    </r>
    <r>
      <rPr>
        <b/>
        <sz val="16"/>
        <rFont val="宋体"/>
        <charset val="134"/>
      </rPr>
      <t>游水动物取消訂單</t>
    </r>
  </si>
  <si>
    <r>
      <rPr>
        <b/>
        <sz val="10"/>
        <rFont val="宋体"/>
        <charset val="134"/>
      </rPr>
      <t>第三方客户</t>
    </r>
    <r>
      <rPr>
        <b/>
        <sz val="10"/>
        <rFont val="宋体"/>
        <charset val="0"/>
      </rPr>
      <t xml:space="preserve">
 PO NO#</t>
    </r>
  </si>
  <si>
    <r>
      <rPr>
        <b/>
        <sz val="10"/>
        <rFont val="宋体"/>
        <charset val="0"/>
      </rPr>
      <t>PO</t>
    </r>
    <r>
      <rPr>
        <b/>
        <sz val="10"/>
        <rFont val="宋体"/>
        <charset val="134"/>
      </rPr>
      <t>数量</t>
    </r>
    <r>
      <rPr>
        <b/>
        <sz val="10"/>
        <rFont val="宋体"/>
        <charset val="0"/>
      </rPr>
      <t xml:space="preserve">
(pcs)</t>
    </r>
  </si>
  <si>
    <r>
      <rPr>
        <b/>
        <sz val="10"/>
        <rFont val="宋体"/>
        <charset val="134"/>
      </rPr>
      <t>外箱装箱数量</t>
    </r>
    <r>
      <rPr>
        <b/>
        <sz val="10"/>
        <rFont val="宋体"/>
        <charset val="0"/>
      </rPr>
      <t>(pcs)</t>
    </r>
  </si>
  <si>
    <r>
      <rPr>
        <b/>
        <sz val="10"/>
        <rFont val="宋体"/>
        <charset val="0"/>
      </rPr>
      <t>ZURU</t>
    </r>
    <r>
      <rPr>
        <b/>
        <sz val="10"/>
        <rFont val="宋体"/>
        <charset val="134"/>
      </rPr>
      <t>订单走货日期</t>
    </r>
  </si>
  <si>
    <r>
      <rPr>
        <b/>
        <sz val="10"/>
        <rFont val="宋体"/>
        <charset val="0"/>
      </rPr>
      <t>ZURU</t>
    </r>
    <r>
      <rPr>
        <b/>
        <sz val="10"/>
        <rFont val="宋体"/>
        <charset val="134"/>
      </rPr>
      <t>验货
日期</t>
    </r>
  </si>
  <si>
    <r>
      <rPr>
        <b/>
        <sz val="10"/>
        <rFont val="宋体"/>
        <charset val="0"/>
      </rPr>
      <t>ZURU</t>
    </r>
    <r>
      <rPr>
        <b/>
        <sz val="10"/>
        <rFont val="宋体"/>
        <charset val="134"/>
      </rPr>
      <t>确认走货日期</t>
    </r>
  </si>
  <si>
    <r>
      <rPr>
        <b/>
        <sz val="10"/>
        <rFont val="宋体"/>
        <charset val="134"/>
      </rPr>
      <t>箱唛资料</t>
    </r>
    <r>
      <rPr>
        <b/>
        <sz val="10"/>
        <rFont val="宋体"/>
        <charset val="0"/>
      </rPr>
      <t>(收到日期)</t>
    </r>
  </si>
  <si>
    <r>
      <rPr>
        <b/>
        <sz val="10"/>
        <rFont val="宋体"/>
        <charset val="134"/>
      </rPr>
      <t>客供贴纸</t>
    </r>
    <r>
      <rPr>
        <b/>
        <sz val="10"/>
        <rFont val="宋体"/>
        <charset val="0"/>
      </rPr>
      <t>AI(收到日期)</t>
    </r>
  </si>
  <si>
    <r>
      <rPr>
        <b/>
        <sz val="10"/>
        <rFont val="宋体"/>
        <charset val="0"/>
      </rPr>
      <t xml:space="preserve">ZURU </t>
    </r>
    <r>
      <rPr>
        <b/>
        <sz val="10"/>
        <rFont val="宋体"/>
        <charset val="134"/>
      </rPr>
      <t>跟单</t>
    </r>
  </si>
  <si>
    <r>
      <rPr>
        <b/>
        <sz val="10"/>
        <rFont val="宋体"/>
        <charset val="134"/>
      </rPr>
      <t>单价</t>
    </r>
    <r>
      <rPr>
        <b/>
        <sz val="10"/>
        <rFont val="宋体"/>
        <charset val="0"/>
      </rPr>
      <t>USD</t>
    </r>
  </si>
  <si>
    <r>
      <rPr>
        <b/>
        <sz val="10"/>
        <rFont val="宋体"/>
        <charset val="134"/>
      </rPr>
      <t>金额</t>
    </r>
    <r>
      <rPr>
        <b/>
        <sz val="10"/>
        <rFont val="宋体"/>
        <charset val="0"/>
      </rPr>
      <t>USD</t>
    </r>
  </si>
  <si>
    <r>
      <rPr>
        <b/>
        <sz val="10"/>
        <rFont val="宋体"/>
        <charset val="0"/>
      </rPr>
      <t>#25251</t>
    </r>
    <r>
      <rPr>
        <b/>
        <sz val="10"/>
        <rFont val="宋体"/>
        <charset val="134"/>
      </rPr>
      <t>鴨子</t>
    </r>
  </si>
  <si>
    <r>
      <rPr>
        <b/>
        <sz val="10"/>
        <rFont val="宋体"/>
        <charset val="0"/>
      </rPr>
      <t>#25252</t>
    </r>
    <r>
      <rPr>
        <b/>
        <sz val="10"/>
        <rFont val="宋体"/>
        <charset val="134"/>
      </rPr>
      <t>鱷魚</t>
    </r>
  </si>
  <si>
    <r>
      <rPr>
        <b/>
        <sz val="10"/>
        <rFont val="宋体"/>
        <charset val="0"/>
      </rPr>
      <t>#25253</t>
    </r>
    <r>
      <rPr>
        <b/>
        <sz val="10"/>
        <rFont val="宋体"/>
        <charset val="134"/>
      </rPr>
      <t>金魚</t>
    </r>
  </si>
  <si>
    <r>
      <rPr>
        <b/>
        <sz val="10"/>
        <rFont val="宋体"/>
        <charset val="0"/>
      </rPr>
      <t>MA</t>
    </r>
    <r>
      <rPr>
        <b/>
        <sz val="10"/>
        <rFont val="宋体"/>
        <charset val="134"/>
      </rPr>
      <t>说明书</t>
    </r>
  </si>
  <si>
    <t>订单录系统</t>
  </si>
  <si>
    <t>Mercy</t>
  </si>
  <si>
    <t>4500001371</t>
  </si>
  <si>
    <t>SG024</t>
  </si>
  <si>
    <t>The Farmers' Trading Company L</t>
  </si>
  <si>
    <t>游水鸭</t>
  </si>
  <si>
    <r>
      <rPr>
        <sz val="10"/>
        <rFont val="宋体"/>
        <charset val="0"/>
      </rPr>
      <t xml:space="preserve">MA </t>
    </r>
    <r>
      <rPr>
        <sz val="10"/>
        <rFont val="宋体"/>
        <charset val="134"/>
      </rPr>
      <t>版本，标准日期印HS170113,可按实际生产日期自行调整</t>
    </r>
  </si>
  <si>
    <t>4500003732</t>
  </si>
  <si>
    <t>EP LINE,SE</t>
  </si>
  <si>
    <t>#25257</t>
  </si>
  <si>
    <t>無</t>
  </si>
  <si>
    <t>歐洲-捷克</t>
  </si>
  <si>
    <t>客版</t>
  </si>
  <si>
    <r>
      <rPr>
        <sz val="10"/>
        <rFont val="宋体"/>
        <charset val="0"/>
      </rPr>
      <t>ZURU DG</t>
    </r>
    <r>
      <rPr>
        <sz val="10"/>
        <rFont val="宋体"/>
        <charset val="134"/>
      </rPr>
      <t>年月日CHINA，客版包裝+客供说明书</t>
    </r>
  </si>
  <si>
    <t>Angela</t>
  </si>
  <si>
    <t>4500011924</t>
  </si>
  <si>
    <t>Amazon FBA UK</t>
  </si>
  <si>
    <t>鴨子</t>
  </si>
  <si>
    <r>
      <rPr>
        <sz val="10"/>
        <rFont val="宋体"/>
        <charset val="0"/>
      </rPr>
      <t>8/2</t>
    </r>
    <r>
      <rPr>
        <sz val="10"/>
        <rFont val="宋体"/>
        <charset val="134"/>
      </rPr>
      <t>號已通知取消</t>
    </r>
  </si>
  <si>
    <t>貼紙和外箱已訂回，未包裝</t>
  </si>
  <si>
    <t>空白箱</t>
  </si>
  <si>
    <t>6/13收到地址貼，7/4號收到外箱貼紙</t>
  </si>
  <si>
    <t>客日期碼：ZURU DG20180730 CHINA。MA彩卡B版 + MA说明书B版 + ZURU UK LIMITED地址贴纸。工厂验货时间：7-31。空白外箱(印ZURU LOGO在四面右下角) + 外箱一正唛正中间需贴1张直接A4打印Shipping ID#,即空白外箱+A4打印纸即可，跟单提供贴纸文档;</t>
  </si>
  <si>
    <t>Bella</t>
  </si>
  <si>
    <t>746787/1</t>
  </si>
  <si>
    <t>25282-S001</t>
  </si>
  <si>
    <t>5/9已取消</t>
  </si>
  <si>
    <t>MA 1語包裝</t>
  </si>
  <si>
    <t xml:space="preserve">ZURU DG年月日CHINA，MA 1語彩盒+MA 1語說明書+MA許可貼紙+Geemac通用地址贴
裝箱比例：Baby Shark(yellow)/ Mummy Shark(pink)/ Daddy Shark(blue) =6:4:2； </t>
  </si>
  <si>
    <t>Cara</t>
  </si>
  <si>
    <t>2019ZURU07</t>
  </si>
  <si>
    <t>25282-S004</t>
  </si>
  <si>
    <t>MA 3語包裝</t>
  </si>
  <si>
    <t>ZURU DG年月日CHINA，MA 3語彩盒+MA 3語說明書+MA許可貼紙
混裝比例：Baby Shark(yellow)/ Mummy Shark(pink)/ Daddy Shark(blue) =3:2:1；  5.此单需要用加拿大版本收縮膜+加拿大版本說明書+borax free putty</t>
  </si>
  <si>
    <t>Tina/Kate</t>
  </si>
  <si>
    <t>筑愉(深圳)贸易有限公司</t>
  </si>
  <si>
    <t>5/28已取消</t>
  </si>
  <si>
    <t>客人已取消订单</t>
  </si>
  <si>
    <t>中车</t>
  </si>
  <si>
    <t>日期码格式：ZURU 标准格式 日期：按实际生产日期， 1.MA+镭射贴纸+中文说明+3C中文贴纸
 2.外箱纸质 爆破:1000Kpa 边压:4400N/M
 3.产品 彩盒 外箱的日期码保持一致
 4.中文说明书和3C中文贴纸请等3C测试通过后与跟单确认最终版本后，再安排做大货</t>
  </si>
  <si>
    <t>Winnie</t>
  </si>
  <si>
    <t>UPD,INC</t>
  </si>
  <si>
    <t>6/22好已通知取消订单</t>
  </si>
  <si>
    <t>物料用到4500021555</t>
  </si>
  <si>
    <t>日期码格式：ZURU 标准格式 日期：按实际生产日期, 1. 所有款均为MA包装
 2. 外箱箱唛红色和黑色双色印刷。
 3. 产品和包装上印刷tracking code信息，格式为ZURU常规。
 4. #25282 12pcs入一箱；ratio:Baby Shark(yellow)/ Mummy Shark(pink)/ Daddy Shark(blue) =6:4:2
 5 要求货好时间07/17，需提前与我司QA预约验货
 6 整柜拼柜出货</t>
  </si>
  <si>
    <t>Sherry</t>
  </si>
  <si>
    <t>FB6767</t>
  </si>
  <si>
    <t>THE ENTERTAINER</t>
  </si>
  <si>
    <t>25282A-S001</t>
  </si>
  <si>
    <t>黃色鯊魚</t>
  </si>
  <si>
    <t>3/26已取消订单</t>
  </si>
  <si>
    <t>ZURU DG年月日CHINA，客版彩盒（3款彩盒不一樣的）+MA 1語說明書+9国语言說明書+MA許可貼紙 
每款單獨裝箱</t>
  </si>
  <si>
    <t>25282B-S001</t>
  </si>
  <si>
    <t>25282D-S001</t>
  </si>
  <si>
    <t>Monica</t>
  </si>
  <si>
    <t>0908912912</t>
  </si>
  <si>
    <t>MJHOLDING</t>
  </si>
  <si>
    <t>产能留给Family Dollar，货期延到10月份</t>
  </si>
  <si>
    <t>8/30取消单</t>
  </si>
  <si>
    <t>日期码格式：ZURU 标准格式 日期：按实际生产日期， 1:MA包装
 2：ZURU 标准日期码
 3：我司验货即可，外箱不接受水贴纸</t>
  </si>
  <si>
    <t>Vicky.Y</t>
  </si>
  <si>
    <t>Fred Meyer</t>
  </si>
  <si>
    <t>FREDMEYER INC</t>
  </si>
  <si>
    <t>9/10确认取消订单</t>
  </si>
  <si>
    <t>日期码格式：ZURU 标准格式 日期：按实际生产日期,1. ZURU标准MA版本，出口美国
 2、无验货, 无贴纸.
 3、纸箱印ZURU LOGO + 箱唛；
 4、日期码请按ZURU标准版执行即可. 6. 25282: S001-ZURU ROBO ALIVE JUNIOR-ROBOTIC-BABY SHARK SERIES 1,Bulk,12pcs,No Inner,STD Color Assortment.
 Baby Shark(yellow)/ Mummy Shark(pink)/ Daddy Shark(blue) =6:4:2; include 3pcs AAA carbon batteries;</t>
  </si>
  <si>
    <t>Sara.Wang</t>
  </si>
  <si>
    <t>TAPIMOVIL-SHIVEX TRADERS LTD</t>
  </si>
  <si>
    <t>9/16确认取消订单</t>
  </si>
  <si>
    <t>MA 3語包裝+指定电池做货</t>
  </si>
  <si>
    <t>日期码格式：ZURU 标准格式 日期：按实际生产日期, 1.3LMA包装(彩盒+说明书)+客人进口商贴纸(贴彩盒)
 2.此单要用指定品牌的电池-NEW LEADER-style R03P
 3.Baby Shark(yellow)/ Mummy Shark(pink)/ Daddy Shark(blue) =6:4:2;</t>
  </si>
  <si>
    <t>客人9/18已确认取消订单</t>
  </si>
  <si>
    <t>日期码格式：ZURU 标准格式 日期：按实际生产日期, 2.25282 ：1L MA彩卡+MA说明书 + 客人贴纸+license 贴纸
 5.25282：Baby Shark(yellow)/ Mummy Shark(pink)/ Daddy Shark(blue) =1:1:1； include 3pcs AAA carbon batteries</t>
  </si>
  <si>
    <t>Amazon 、COM</t>
  </si>
  <si>
    <t>AMAZON .COM.DEDC,LLC</t>
  </si>
  <si>
    <t>此单客人已取消订单，产能留给ZURU France，10月走货，订单本周会下过来</t>
  </si>
  <si>
    <t>欠SSCC外箱贴纸，</t>
  </si>
  <si>
    <t>日期码格式：ZURU 标准格式 日期：按实际生产日期， 1、雨禾MA标准包装，出口美国，
 2、空白外箱 + SSCC LABEL, 无shipping mark.SSCC LABEL贴在外箱正面的正中间，贴一面即可，跟单订购；贴纸离外箱边距必须至少3CM。每一张SSCC Label都是唯一且有不同流水及条码的,没有损耗,绝对不可以贴错，否则贴错或损坏一张会导致全部都错,千万要注意。</t>
  </si>
  <si>
    <t>客人9/27已确认取消订单</t>
  </si>
  <si>
    <t>9/11订购UPC贴纸，欠客供外箱贴纸</t>
  </si>
  <si>
    <r>
      <rPr>
        <sz val="10"/>
        <rFont val="宋体"/>
        <charset val="134"/>
      </rPr>
      <t>日期码格式：</t>
    </r>
    <r>
      <rPr>
        <sz val="10"/>
        <rFont val="宋体"/>
        <charset val="0"/>
      </rPr>
      <t>ZURU 标准格式 日期：按实际生产日期， 1、ZURU MA标准包装，出口美国，
 2、空白外箱 + SSCC LABEL, 无箱唛.
 3、日期码使用ZURU标准版本.
 4、SSCC Label上显示的是客人自己的ITEM#，25282A=B07NH7Y4Z6, ASIN#《SSCC贴纸-客户订单号对照表》 跟单尽快提供。
 5、SSCC LABEL贴在外箱正面的正中间，贴一面即可，跟单订购；贴纸离外箱边距必须至少3CM。每一张SSCC Label都是唯一且有不同流水及条码的,没有损耗,绝对
 不可以贴错，否则贴错或损坏一张会导致全部都错,千万要注意。
 6、MA 包装上的UPC 需要按不同款号25282A/B/D 分不同UPC#，所以需用正确的UPC贴纸覆盖住原MA包装上的UPC, UPC 贴纸文档如附件。其中25282A 的UPC# 同MA 的
 UPC 是一样，所以只需要把款号覆盖住换成 25282A</t>
    </r>
  </si>
  <si>
    <t>10/15取消订单</t>
  </si>
  <si>
    <t>MA 1語-B包裝</t>
  </si>
  <si>
    <r>
      <rPr>
        <sz val="10"/>
        <rFont val="宋体"/>
        <charset val="134"/>
      </rPr>
      <t>日期码格式：</t>
    </r>
    <r>
      <rPr>
        <sz val="10"/>
        <rFont val="宋体"/>
        <charset val="0"/>
      </rPr>
      <t xml:space="preserve">ZURU </t>
    </r>
    <r>
      <rPr>
        <sz val="10"/>
        <rFont val="宋体"/>
        <charset val="134"/>
      </rPr>
      <t>标准格式</t>
    </r>
    <r>
      <rPr>
        <sz val="10"/>
        <rFont val="宋体"/>
        <charset val="0"/>
      </rPr>
      <t xml:space="preserve"> 日期：按实际生产日期， 5 25282：MA 包装， 12pcs入一箱，Baby Shark(yellow)/ Mummy Shark(pink)/ Daddy Shark(blue) =1:1:1
 6 产品和包装上印刷tracking code信息，格式为ZURU常规。
 7 外箱箱唛红色和黑色双色印刷。
 8 我司QC验货
 9 整柜出货</t>
    </r>
  </si>
  <si>
    <t>取消单</t>
  </si>
  <si>
    <r>
      <rPr>
        <sz val="10"/>
        <rFont val="宋体"/>
        <charset val="0"/>
      </rPr>
      <t>MA 1</t>
    </r>
    <r>
      <rPr>
        <sz val="10"/>
        <rFont val="宋体"/>
        <charset val="134"/>
      </rPr>
      <t>語包裝</t>
    </r>
  </si>
  <si>
    <r>
      <rPr>
        <sz val="10"/>
        <rFont val="宋体"/>
        <charset val="134"/>
      </rPr>
      <t>日期码格式：</t>
    </r>
    <r>
      <rPr>
        <sz val="10"/>
        <rFont val="宋体"/>
        <charset val="0"/>
      </rPr>
      <t>ZURU 标准格式 日期：按实际生产日期,1.25282 MA 1L 包装，12 pcs 入一外箱，ratio：Baby Shark(yellow)/ Mummy Shark(pink)/ Daddy Shark(blue) =1:1:1
 2 外箱箱唛红色和黑色双色印刷。
 3 产品和包装上印刷tracking code信息，格式为ZURU常规。
 4 整柜出货</t>
    </r>
  </si>
  <si>
    <t>0204-9660531-0581</t>
  </si>
  <si>
    <t>11/14确认取消</t>
  </si>
  <si>
    <r>
      <rPr>
        <sz val="10"/>
        <rFont val="宋体"/>
        <charset val="0"/>
      </rPr>
      <t>MA 1</t>
    </r>
    <r>
      <rPr>
        <sz val="10"/>
        <rFont val="宋体"/>
        <charset val="134"/>
      </rPr>
      <t>語-B包裝</t>
    </r>
  </si>
  <si>
    <t>日期码格式：ZURU 标准格式 日期：按实际生产日期， 1.25282- MA包装+UPC贴纸,include batteries
 2.6pcs/CTN
 3.产品对应的UPC如下：
 25282A Baby Shark(Yellow):193052005335
 25282B Daddy Shark(Blue):193052005502
 25282D Mummy Shark(Pink): 193052005519
 4.Color Ratio: Baby Shark(yellow)/ Mummy Shark(pink)/ Daddy Shark(blue)=1:1:1
 5.产品和包装上印刷tracking code信息，格式为ZURU常规格式
 6.外箱正唛右上角粘贴条码贴纸，每箱只贴一张，贴纸由ZURU提供,外箱箱贴显示的UPC为193052005618。
7.出货方式：货代自提。工厂需先垫付Damco人民币费用，按月交单给ZURU按美金价付回兴信。</t>
  </si>
  <si>
    <t>0204-7147936-0581</t>
  </si>
  <si>
    <t>Amazon FBA CA</t>
  </si>
  <si>
    <t>25282A-AMAZON-S001</t>
  </si>
  <si>
    <t>黄色鯊魚单个入邮包盒</t>
  </si>
  <si>
    <t>11/18客人取消</t>
  </si>
  <si>
    <t>邮包盒+3L A版说明书</t>
  </si>
  <si>
    <t>日期码格式：ZURU 标准格式 日期：按实际生产日期， 25282 AMAZON-S001-ZURU ROBO ALIVE JUNIOR-ROBOTIC-BABY SHARK SERIES 1 BabyShark(Yellow),Bulk,12pcs,No Inner,Mail Box,STD Color
 黄色鲨鱼邮包盒（不带MA彩盒）+UPC贴纸， 42箱</t>
  </si>
  <si>
    <t>Vivian jin</t>
  </si>
  <si>
    <t>SHOPRITE CHECKERS (PTY)LTD</t>
  </si>
  <si>
    <t>1/10客人确认取消订单</t>
  </si>
  <si>
    <t>MA-C版本彩盒+MA-B版本說明書</t>
  </si>
  <si>
    <t>日期码格式：ZURU 标准格式 日期：按实际生产日期, 1.MA PKG
 2.Additional Information: 25257:include 3pcs AAA battery; Duck/ Crocodile/ Fish=4:4:4</t>
  </si>
  <si>
    <t>Maria</t>
  </si>
  <si>
    <t>KMART AUSTRALIA LTD(NEW AEALAND)</t>
  </si>
  <si>
    <t xml:space="preserve">1/15确认取消订单，数量增加到4500027173 </t>
  </si>
  <si>
    <t>日期码格式：ZURU 标准格式 日期：按实际生产日期,1.此单需使用KMART封箱胶上下工字型封箱; 从2019年6月起，用客户新版封箱胶，此单用新版ANKO封箱胶；
 2.此单出口新西兰，请按相应的澳新标准生产；
3.产品和包装上生产批号的显示格式ZURU标准日期码格式，法定节假日除外。
 4.1L MA包装 +外箱贴纸由ZURU提供PDF文档后工厂自行订购(贴1pc，贴1面正唛，封箱胶纸不能挡住贴纸内容）
 25282 ：Baby:Mum:Dad = 4:4:4</t>
  </si>
  <si>
    <t>1/16通知取消订单，熟练发增加到4500026229</t>
  </si>
  <si>
    <t>日期码格式：ZURU 标准格式 日期：按实际生产日期， 1.此单需使用KMART封箱胶上下工字型封箱; 从2019年6月起，用客户新版封箱胶，此单用新版ANKO封箱胶；
 2.此单出口新西兰，请按相应的澳新标准生产；
 3.产品和包装上生产批号的显示格式ZURU标准日期码格式
 4.1L MA包装 +外箱贴纸(贴1pc，贴1面正唛，封箱胶纸不能挡住贴纸内容) 25282 ：Baby:Mum:Dad = 4:4:4
 5.请避免截仓期安排验货送仓</t>
  </si>
  <si>
    <t>1/15通知取消订单，数量增加到4500026243</t>
  </si>
  <si>
    <t>日期码格式：ZURU 标准格式 日期：按实际生产日期， 1.此单需使用KMART封箱胶上下工字型封箱; 从2019年6月起，用客户新版封箱胶，此单用新版ANKO封箱胶；
 2.此单出口新西兰，请按相应的澳新标准生产；
 3.产品和包装上生产批号的显示格式ZURU标准日期码格式
 4.1L MA包装 +外箱贴纸(贴1pc，贴1面正唛，封箱胶纸不能挡住贴纸内容)</t>
  </si>
  <si>
    <t>Hailey</t>
  </si>
  <si>
    <t>25282-S003</t>
  </si>
  <si>
    <t>3/27取消订单</t>
  </si>
  <si>
    <t>2/27收到客供价格贴纸</t>
  </si>
  <si>
    <t xml:space="preserve">日期码格式：ZURU 标准格式 日期：按实际生产日期, 1.ZURU标准包装 + 客供价格贴纸,出口美国。
2.价格贴纸位于包装正面右下角,不挡住重要信息即可,可适当调整
 ,价格贴纸由跟单提供。
 3.标准日期码格式,产品和包装都要有日期码，所有产品日期码必须一致(但日期不可为周末)。
 4.同个产品同个货期不可出现不同的包装。
 5.大货配比：
 #25282-S003-ZURU ROBO ALIVE JUNIOR-ROBOTIC-BABY SHARK SERIES 1,Bulk,12pcs,No Inner,STD Color Assortment
 Baby Shark(yellow)/ Daddy Shark(blue)/ Mummy Shark(pink)=7:2:3
</t>
  </si>
  <si>
    <t>3/4确认取消订单</t>
  </si>
  <si>
    <t>MA 3語 B版包裝</t>
  </si>
  <si>
    <t>日期码格式：ZURU 标准格式 日期：按实际生产日期， 25282 S001-ZURU ROBO ALIVE JUNIOR-ROBOTIC-BABY SHARK SERIES 1,Bulk,12pcs,No Inner,STD Color Assortment
 MA 3L包装
 Baby Shark(yellow)/ Mummy Shark(pink)/ Daddy Shark(blue) =1:1:1; include 3pcs AAA carbon batteries;</t>
  </si>
  <si>
    <t>3/5收到客供价格贴纸</t>
  </si>
  <si>
    <t>日期码格式：ZURU 标准格式 日期：按实际生产日期,1.ZURU标准包装 + 客供价格贴纸,出口美国。
2.价格贴纸位于包装正面右下角,不挡住重要信息即可,可适当调整
 ,价格贴纸由跟单提供。
 3.标准日期码格式,产品和包装都要有日期码，所有产品日期码必须一致(但日期不可为周末)。
 4.同个产品同个货期不可出现不同的包装。
 5.大货配比：
 #25282-S003-ZURU ROBO ALIVE JUNIOR-ROBOTIC-BABY SHARK SERIES 1,Bulk,12pcs,No Inner,STD Color Assortment
 Baby Shark(yellow)/ Daddy Shark(blue)/ Mummy Shark(pink)=7:2:3</t>
  </si>
  <si>
    <t>日期码格式：ZURU 标准格式 日期：按实际生产日期
 1.ZURU标准包装 + 客供价格贴纸,出口美国。
2.价格贴纸位于包装正面右下角,不挡住重要信息即可,可适当调整
 ,价格贴纸由跟单提供。
 3.标准日期码格式,产品和包装都要有日期码，所有产品日期码必须一致(但日期不可为周末)。
 4.同个产品同个货期不可出现不同的包装。
 5.大货配比：
 #25282-S003-ZURU ROBO ALIVE JUNIOR-ROBOTIC-BABY SHARK SERIES 1,Bulk,12pcs,No Inner,STD Color Assortment
 Baby Shark(yellow)/ Daddy Shark(blue)/ Mummy Shark(pink)=7:2:3</t>
  </si>
  <si>
    <t>Pass/取消订单</t>
  </si>
  <si>
    <r>
      <rPr>
        <sz val="10"/>
        <rFont val="宋体"/>
        <charset val="0"/>
      </rPr>
      <t>2/27</t>
    </r>
    <r>
      <rPr>
        <sz val="10"/>
        <rFont val="宋体"/>
        <charset val="134"/>
      </rPr>
      <t>收到客供价格贴纸</t>
    </r>
  </si>
  <si>
    <r>
      <rPr>
        <sz val="10"/>
        <rFont val="宋体"/>
        <charset val="134"/>
      </rPr>
      <t>日期码格式：</t>
    </r>
    <r>
      <rPr>
        <sz val="10"/>
        <rFont val="宋体"/>
        <charset val="0"/>
      </rPr>
      <t xml:space="preserve">ZURU </t>
    </r>
    <r>
      <rPr>
        <sz val="10"/>
        <rFont val="宋体"/>
        <charset val="134"/>
      </rPr>
      <t>标准格式</t>
    </r>
    <r>
      <rPr>
        <sz val="10"/>
        <rFont val="宋体"/>
        <charset val="0"/>
      </rPr>
      <t xml:space="preserve"> 日期：按实际生产日期, 1.ZURU标准包装 + 客供价格贴纸,出口美国。
2.价格贴纸位于包装正面右下角,不挡住重要信息即可,可适当调整
 ,价格贴纸由跟单提供。
 3.标准日期码格式,产品和包装都要有日期码，所有产品日期码必须一致(但日期不可为周末)。
 4.同个产品同个货期不可出现不同的包装。
 5.大货配比：
 #25282-S003-ZURU ROBO ALIVE JUNIOR-ROBOTIC-BABY SHARK SERIES 1,Bulk,12pcs,No Inner,STD Color Assortment
 Baby Shark(yellow)/ Daddy Shark(blue)/ Mummy Shark(pink)=7:2:3
</t>
    </r>
  </si>
  <si>
    <t>MA 1語-B版包装</t>
  </si>
  <si>
    <t>TJX COMPANIES,INC</t>
  </si>
  <si>
    <r>
      <rPr>
        <sz val="10"/>
        <rFont val="宋体"/>
        <charset val="0"/>
      </rPr>
      <t>3/26</t>
    </r>
    <r>
      <rPr>
        <sz val="10"/>
        <rFont val="宋体"/>
        <charset val="134"/>
      </rPr>
      <t>确认取消订单</t>
    </r>
  </si>
  <si>
    <t>日期码格式：ZURU 标准格式 日期：按实际生产日期， 1. 全部使用MA 包装+客供贴纸（由跟单这边采购，再寄给工厂）
 2. 我司验货即可，不用测试。
 3. ZURU标准的日期码</t>
  </si>
  <si>
    <t>3/25确认取消</t>
  </si>
  <si>
    <t>日期码格式：ZURU 标准格式 日期：按实际生产日期， 1.ZURU标准包装 + 客供价格贴纸,出口美国。
2.价格贴纸位于包装正面右下角,不挡住重要信息即可,可适当调整
 ,价格贴纸由跟单提供。
 3.标准日期码格式,产品和包装都要有日期码，所有产品日期码必须一致(但日期不可为周末)。
 4.同个产品同个货期不可出现不同的包装。
 5.大货配比：
 #25282-S003-ZURU ROBO ALIVE JUNIOR-ROBOTIC-BABY SHARK SERIES 1,Bulk,12pcs,No Inner,STD Color Assortment
 Baby Shark(yellow)/ Daddy Shark(blue)/ Mummy Shark(pink)=7:2:3</t>
  </si>
  <si>
    <t>25283-S001</t>
  </si>
  <si>
    <t>鯊魚
3个装</t>
  </si>
  <si>
    <t>客版彩盒+MA說明書</t>
  </si>
  <si>
    <t xml:space="preserve">日期码格式：ZURU 标准格式 日期：按实际生产日期
 1.客版彩盒+MA说明书 + 客供价格贴纸（价格贴纸跟单提供），
 贴纸位置在产品包装正面右下角，不挡住重要信息即可，出口美国。
2.ZURU标准日期码格式,包装+产品必须要有日期码，所有产品日期码必须一致(但日期不可为周末)。
 3.同个产品同个货期不可出现不同的包装。
 4.大货配比（3PK彩盒包装，左边黄色，中间粉色，右边蓝色）
 #25283-S001-ZURU ROBO ALIVE JUNIOR-ROBOTIC-BABY SHARK SERIES 11 3PK Window Box,Bulk,6pcs,No Inner,STD Color
 window box with PVC film; include 3pcs AAA carbon batteries; (yellow on left,pink on middle, blue on right)
</t>
  </si>
  <si>
    <t xml:space="preserve">日期码格式：ZURU 标准格式 日期：按实际生产日期
1.ZURU标准包装 + 客供价格贴纸,出口美国。
2.价格贴纸位于包装正面右下角,不挡住重要信息即可,可适当调整
 ,价格贴纸由跟单提供。
 3.标准日期码格式,产品和包装都要有日期码，所有产品日期码必须一致(但日期不可为周末)。
 4.同个产品同个货期不可出现不同的包装。
 5.大货配比：
 #25282-S003-ZURU ROBO ALIVE JUNIOR-ROBOTIC-BABY SHARK SERIES 1,Bulk,12pcs,No Inner,STD Color Assortment
 Baby Shark(yellow)/ Daddy Shark(blue)/ Mummy Shark(pink)=7:2:3
</t>
  </si>
  <si>
    <t>ever.li</t>
  </si>
  <si>
    <t>INTEK PERU SAC</t>
  </si>
  <si>
    <t>25282-S009</t>
  </si>
  <si>
    <r>
      <rPr>
        <sz val="10"/>
        <rFont val="宋体"/>
        <charset val="0"/>
      </rPr>
      <t>6/5</t>
    </r>
    <r>
      <rPr>
        <sz val="10"/>
        <rFont val="宋体"/>
        <charset val="134"/>
      </rPr>
      <t>确认取消订单</t>
    </r>
  </si>
  <si>
    <r>
      <rPr>
        <sz val="10"/>
        <rFont val="宋体"/>
        <charset val="0"/>
      </rPr>
      <t>MA 3L B</t>
    </r>
    <r>
      <rPr>
        <sz val="10"/>
        <rFont val="宋体"/>
        <charset val="134"/>
      </rPr>
      <t>版包装</t>
    </r>
  </si>
  <si>
    <t>秘鲁</t>
  </si>
  <si>
    <r>
      <rPr>
        <sz val="10"/>
        <rFont val="宋体"/>
        <charset val="134"/>
      </rPr>
      <t>日期码格式：</t>
    </r>
    <r>
      <rPr>
        <sz val="10"/>
        <rFont val="宋体"/>
        <charset val="0"/>
      </rPr>
      <t xml:space="preserve">ZURU </t>
    </r>
    <r>
      <rPr>
        <sz val="10"/>
        <rFont val="宋体"/>
        <charset val="134"/>
      </rPr>
      <t>标准格式 日期：按实际生产日期， 1. MA 3L包装+进口商贴纸（贴纸翻单4500020320）。 箱唛
 2.比例：Baby Shark(yellow)/ Mummy Shark(pink)/ Daddy Shark(blue)=4:1:1;</t>
    </r>
  </si>
  <si>
    <r>
      <rPr>
        <sz val="10"/>
        <rFont val="宋体"/>
        <charset val="0"/>
      </rPr>
      <t>3/27</t>
    </r>
    <r>
      <rPr>
        <sz val="10"/>
        <rFont val="宋体"/>
        <charset val="134"/>
      </rPr>
      <t>取消订单</t>
    </r>
  </si>
  <si>
    <t>3/26确认取消订单</t>
  </si>
  <si>
    <t>Walmart Central America</t>
  </si>
  <si>
    <r>
      <rPr>
        <sz val="10"/>
        <rFont val="宋体"/>
        <charset val="0"/>
      </rPr>
      <t>4/30</t>
    </r>
    <r>
      <rPr>
        <sz val="10"/>
        <rFont val="宋体"/>
        <charset val="134"/>
      </rPr>
      <t>通知取消订单</t>
    </r>
  </si>
  <si>
    <t>巴拿马</t>
  </si>
  <si>
    <r>
      <rPr>
        <sz val="10"/>
        <rFont val="宋体"/>
        <charset val="134"/>
      </rPr>
      <t>日期码格式：</t>
    </r>
    <r>
      <rPr>
        <sz val="10"/>
        <rFont val="宋体"/>
        <charset val="0"/>
      </rPr>
      <t xml:space="preserve">ZURU </t>
    </r>
    <r>
      <rPr>
        <sz val="10"/>
        <rFont val="宋体"/>
        <charset val="134"/>
      </rPr>
      <t>标准格式 日期：按实际生产日期,1.MA3LB版本包装(彩卡+说明书)+Import Label
 2.Baby Shark(yellow)/ Mummy Shark(pink)/ Daddy Shark(blue) =1:1:1;
3.此单有BV验货，请在货好前两周提供三套大货签办，客户会签回一套寄回工厂用于第三方验货，请多备料</t>
    </r>
  </si>
  <si>
    <t>4/30通知取消订单</t>
  </si>
  <si>
    <t>MA 3L B版包装</t>
  </si>
  <si>
    <t>日期码格式：ZURU 标准格式 日期：按实际生产日期,1.MA3LB版本包装(彩卡+说明书)+Import Label
 2.Baby Shark(yellow)/ Mummy Shark(pink)/ Daddy Shark(blue) =1:1:1;
3.此单有BV验货，请在货好前两周提供三套大货签办，客户会签回一套寄回工厂用于第三方验货，请多备料</t>
  </si>
  <si>
    <t>6/5确认取消订单</t>
  </si>
  <si>
    <t>日期码格式：ZURU 标准格式 日期：按实际生产日期， 1. MA 3L包装+进口商贴纸（贴纸翻单4500020320）。 箱唛
 2.比例：Baby Shark(yellow)/ Mummy Shark(pink)/ Daddy Shark(blue)=4:1:1;</t>
  </si>
  <si>
    <t>megan</t>
  </si>
  <si>
    <t>25291-S001</t>
  </si>
  <si>
    <t>滑道鲨鱼</t>
  </si>
  <si>
    <t>7/20通知去取消订单</t>
  </si>
  <si>
    <t>日期码格式：ZURU 标准格式 日期：按实际生产日期
Remark: 1. MA PKG
 TW：一张进口商贴纸(客供）+一张警告语贴纸(客供）
 2.Include 3pcs LR44 battery in shark and 3pcs LR44 battery in starfish</t>
  </si>
  <si>
    <t>Sandy</t>
  </si>
  <si>
    <t>INTERTOYS HOLLAND B.V</t>
  </si>
  <si>
    <t>鲨鱼</t>
  </si>
  <si>
    <t>8/10客人取消此订单</t>
  </si>
  <si>
    <r>
      <rPr>
        <sz val="10"/>
        <rFont val="宋体"/>
        <charset val="0"/>
      </rPr>
      <t>MA 1</t>
    </r>
    <r>
      <rPr>
        <sz val="10"/>
        <rFont val="宋体"/>
        <charset val="134"/>
      </rPr>
      <t>語 B版彩盒+客版说明书</t>
    </r>
  </si>
  <si>
    <t>荷兰</t>
  </si>
  <si>
    <r>
      <rPr>
        <sz val="10"/>
        <rFont val="宋体"/>
        <charset val="134"/>
      </rPr>
      <t>日期码格式：</t>
    </r>
    <r>
      <rPr>
        <sz val="10"/>
        <rFont val="宋体"/>
        <charset val="0"/>
      </rPr>
      <t>ZURU 标准格式 日期：按实际生产日期
Remark: 1. 包装：
 MA+客版说明书+客人贴纸+EAN条码贴纸
 (说明书翻4500030907，贴纸稍后提供)
 2. 需要2-3套大货版，请多备料
 3. 配比信息：
 25282：Baby Shark(yellow)/ Mummy Shark(pink)/ Daddy Shark(blue) =1:1:1; include 3pcs AAA carbon batteries
 4. 客户款号与EAN条码如下：
25282-客户款号：1982802-条码：4894680002678</t>
    </r>
  </si>
  <si>
    <t>客人取消此订单</t>
  </si>
  <si>
    <t>TOY KINGDOM (PTY)LTD</t>
  </si>
  <si>
    <r>
      <rPr>
        <sz val="10"/>
        <rFont val="宋体"/>
        <charset val="0"/>
      </rPr>
      <t>MA 1</t>
    </r>
    <r>
      <rPr>
        <sz val="10"/>
        <rFont val="宋体"/>
        <charset val="134"/>
      </rPr>
      <t>語-B版包装</t>
    </r>
  </si>
  <si>
    <r>
      <rPr>
        <sz val="10"/>
        <rFont val="宋体"/>
        <charset val="0"/>
      </rPr>
      <t xml:space="preserve"> </t>
    </r>
    <r>
      <rPr>
        <sz val="10"/>
        <rFont val="宋体"/>
        <charset val="134"/>
      </rPr>
      <t>日期码格式：</t>
    </r>
    <r>
      <rPr>
        <sz val="10"/>
        <rFont val="宋体"/>
        <charset val="0"/>
      </rPr>
      <t xml:space="preserve">ZURU </t>
    </r>
    <r>
      <rPr>
        <sz val="10"/>
        <rFont val="宋体"/>
        <charset val="134"/>
      </rPr>
      <t>标准格式 日期：按实际生产日期
 1.MA PKG
  25282:Baby Shark(yellow)/ Mummy Shark(pink)/ Daddy Shark(blue) =1:1:1; include 3pcs AAA carbon batteries;</t>
    </r>
  </si>
  <si>
    <r>
      <rPr>
        <sz val="10"/>
        <rFont val="宋体"/>
        <charset val="0"/>
      </rPr>
      <t>7/20</t>
    </r>
    <r>
      <rPr>
        <sz val="10"/>
        <rFont val="宋体"/>
        <charset val="134"/>
      </rPr>
      <t>取消订单</t>
    </r>
  </si>
  <si>
    <r>
      <rPr>
        <sz val="10"/>
        <rFont val="宋体"/>
        <charset val="0"/>
      </rPr>
      <t>MA 1L</t>
    </r>
    <r>
      <rPr>
        <sz val="10"/>
        <rFont val="宋体"/>
        <charset val="134"/>
      </rPr>
      <t>包装</t>
    </r>
  </si>
  <si>
    <t>ANN</t>
  </si>
  <si>
    <t>ESAL TRADING L.L.G</t>
  </si>
  <si>
    <r>
      <rPr>
        <sz val="10"/>
        <rFont val="宋体"/>
        <charset val="0"/>
      </rPr>
      <t>2020/9/30</t>
    </r>
    <r>
      <rPr>
        <sz val="10"/>
        <rFont val="宋体"/>
        <charset val="134"/>
      </rPr>
      <t>（删除）</t>
    </r>
  </si>
  <si>
    <t>欠QR 贴纸+额外贴纸</t>
  </si>
  <si>
    <r>
      <rPr>
        <sz val="10"/>
        <rFont val="宋体"/>
        <charset val="134"/>
      </rPr>
      <t>曼联。阿拉伯埃米尔</t>
    </r>
    <r>
      <rPr>
        <sz val="10"/>
        <rFont val="宋体"/>
        <charset val="0"/>
      </rPr>
      <t>,曼联。</t>
    </r>
  </si>
  <si>
    <r>
      <rPr>
        <sz val="10"/>
        <rFont val="宋体"/>
        <charset val="134"/>
      </rPr>
      <t>日期码格式：</t>
    </r>
    <r>
      <rPr>
        <sz val="10"/>
        <rFont val="宋体"/>
        <charset val="0"/>
      </rPr>
      <t xml:space="preserve">ZURU </t>
    </r>
    <r>
      <rPr>
        <sz val="10"/>
        <rFont val="宋体"/>
        <charset val="134"/>
      </rPr>
      <t xml:space="preserve">标准格式 日期：按实际生产日期
Remark: 1.MA 彩卡（印G mark）+进口商贴纸（翻4500035608）+QR 贴纸+额外贴纸。 彩卡版本如下：
 3.25291： include 3pcs LR44 battery in shark and 3pcs LR44 battery in starfish。
</t>
    </r>
  </si>
  <si>
    <t>0204-7824522-3890</t>
  </si>
  <si>
    <r>
      <rPr>
        <sz val="10"/>
        <rFont val="宋体"/>
        <charset val="0"/>
      </rPr>
      <t>2020/12/18</t>
    </r>
    <r>
      <rPr>
        <sz val="10"/>
        <rFont val="宋体"/>
        <charset val="134"/>
      </rPr>
      <t>（客人取消单）</t>
    </r>
  </si>
  <si>
    <r>
      <rPr>
        <sz val="10"/>
        <rFont val="宋体"/>
        <charset val="0"/>
      </rPr>
      <t>2020/12/22</t>
    </r>
    <r>
      <rPr>
        <sz val="10"/>
        <rFont val="宋体"/>
        <charset val="134"/>
      </rPr>
      <t>（客人取消单）</t>
    </r>
  </si>
  <si>
    <t>UPC贴纸9/19已订</t>
  </si>
  <si>
    <r>
      <rPr>
        <sz val="10"/>
        <rFont val="宋体"/>
        <charset val="0"/>
      </rPr>
      <t>MA 1</t>
    </r>
    <r>
      <rPr>
        <sz val="10"/>
        <rFont val="宋体"/>
        <charset val="134"/>
      </rPr>
      <t>語</t>
    </r>
    <r>
      <rPr>
        <sz val="10"/>
        <rFont val="宋体"/>
        <charset val="0"/>
      </rPr>
      <t>-B</t>
    </r>
    <r>
      <rPr>
        <sz val="10"/>
        <rFont val="宋体"/>
        <charset val="134"/>
      </rPr>
      <t>版包装</t>
    </r>
  </si>
  <si>
    <r>
      <rPr>
        <sz val="10"/>
        <rFont val="宋体"/>
        <charset val="134"/>
      </rPr>
      <t>日期码格式：</t>
    </r>
    <r>
      <rPr>
        <sz val="10"/>
        <rFont val="宋体"/>
        <charset val="0"/>
      </rPr>
      <t>ZURU 标准格式 日期：按实际生产日期
Remark: 1.25282- MA包装+UPC贴纸,include batteries 6pcs/CTN
 2.产品对应的UPC如下：
 25282A Baby Shark(Yellow):193052005335
 25282B Daddy Shark(Blue):193052005502
 25282D Mummy Shark(Pink): 193052005519
 3.Color Ratio: Baby Shark(yellow)/ Mummy Shark(pink)/ Daddy Shark(blue)=1:1:1
 4.产品和包装上印刷tracking code信息，格式为ZURU常规格式
 5.外箱正唛右上角粘贴条码贴纸，每箱只贴一张，贴纸由ZURU提供,外箱箱贴显示的DPCI为204-10-4055，UPC,10193052005615。
6.出货方式：货代自提。工厂需先垫付Damco人民币费用，按月交单给ZURU按美金</t>
    </r>
  </si>
  <si>
    <r>
      <rPr>
        <sz val="10"/>
        <rFont val="宋体"/>
        <charset val="0"/>
      </rPr>
      <t>1/10</t>
    </r>
    <r>
      <rPr>
        <sz val="10"/>
        <rFont val="宋体"/>
        <charset val="134"/>
      </rPr>
      <t>客人确认取消订单</t>
    </r>
  </si>
  <si>
    <t>ross PROCUREMENT.INC</t>
  </si>
  <si>
    <r>
      <rPr>
        <sz val="10"/>
        <rFont val="宋体"/>
        <charset val="0"/>
      </rPr>
      <t>2021/1/5</t>
    </r>
    <r>
      <rPr>
        <sz val="10"/>
        <rFont val="宋体"/>
        <charset val="134"/>
      </rPr>
      <t>（客人取消单）</t>
    </r>
  </si>
  <si>
    <r>
      <rPr>
        <sz val="10"/>
        <rFont val="宋体"/>
        <charset val="0"/>
      </rPr>
      <t>2021/1/8</t>
    </r>
    <r>
      <rPr>
        <sz val="10"/>
        <rFont val="宋体"/>
        <charset val="134"/>
      </rPr>
      <t>（客人取消单）</t>
    </r>
  </si>
  <si>
    <t>11/20收到价格贴纸</t>
  </si>
  <si>
    <t>日期码格式：ZURU 标准格式 日期：按实际生产日期
Remark: 1.ZURU标准包装 + 客供价格贴纸,出口美国。
2.价格贴纸位于包装正面右下角,不挡住重要信息即可,可适当调整
 ,价格贴纸由跟单提供。
 3.标准日期码格式,产品和包装都要有日期码，所有产品日期码必须一致(但日期不可为周末)。
 4.同个产品同个货期不可出现不同的包装。
 5.大货配比：
 #25291-S001-ZURU ROBO ALIVE JUNIOR-ROBOTIC-BABY SHARK SERIES 2 Water Playset With Small Baby Shark,Bulk,6pcs,No Inner,STD Color
 include 3pcs LR44 battery in shark and 3pcs LR44 battery in</t>
  </si>
  <si>
    <r>
      <rPr>
        <sz val="10"/>
        <rFont val="宋体"/>
        <charset val="0"/>
      </rPr>
      <t>2021/2/22</t>
    </r>
    <r>
      <rPr>
        <sz val="10"/>
        <rFont val="宋体"/>
        <charset val="134"/>
      </rPr>
      <t>（客人取消单）</t>
    </r>
  </si>
  <si>
    <r>
      <rPr>
        <sz val="10"/>
        <rFont val="宋体"/>
        <charset val="0"/>
      </rPr>
      <t>2021/2/25</t>
    </r>
    <r>
      <rPr>
        <sz val="10"/>
        <rFont val="宋体"/>
        <charset val="134"/>
      </rPr>
      <t>（客人取消单）</t>
    </r>
  </si>
  <si>
    <t>0204-1607518-3890</t>
  </si>
  <si>
    <t xml:space="preserve">TARGET US </t>
  </si>
  <si>
    <r>
      <rPr>
        <sz val="10"/>
        <rFont val="宋体"/>
        <charset val="0"/>
      </rPr>
      <t>2021/1/15</t>
    </r>
    <r>
      <rPr>
        <sz val="10"/>
        <rFont val="宋体"/>
        <charset val="134"/>
      </rPr>
      <t>（客人取消单）</t>
    </r>
  </si>
  <si>
    <r>
      <rPr>
        <sz val="10"/>
        <rFont val="宋体"/>
        <charset val="0"/>
      </rPr>
      <t>2021/1/18</t>
    </r>
    <r>
      <rPr>
        <sz val="10"/>
        <rFont val="宋体"/>
        <charset val="134"/>
      </rPr>
      <t>（客人取消单）</t>
    </r>
  </si>
  <si>
    <t>外箱用4500039655的1233个，返工$39.56</t>
  </si>
  <si>
    <t>已订购的贴纸可以后续订单使用</t>
  </si>
  <si>
    <t xml:space="preserve">日期码格式：ZURU 标准格式 日期：按实际生产日期
Remark: 1.25282- MA包装+UPC贴纸,include batteries 6pcs/CTN
 2.产品对应的UPC如下：
 25282A Baby Shark(Yellow):193052005335
 25282B Daddy Shark(Blue):193052005502
 25282D Mummy Shark(Pink): 193052005519
 3.Color Ratio: Baby Shark(yellow)/ Mummy Shark(pink)/ Daddy Shark(blue)=1:1:1
 4.产品和包装上印刷tracking code信息，格式为ZURU常规格式
 5.外箱正唛右上角粘贴条码贴纸，每箱只贴一张，贴纸由ZURU提供,外箱箱贴显示的DPCI为204-10-4055，UPC,10193052005615。
6.出货方式：货代自提。工厂需先垫付Damco人民币费用，按月交单给ZURU按美金
</t>
  </si>
  <si>
    <t>0204-5530619-3890</t>
  </si>
  <si>
    <r>
      <rPr>
        <sz val="10"/>
        <rFont val="宋体"/>
        <charset val="0"/>
      </rPr>
      <t>2020/12/11</t>
    </r>
    <r>
      <rPr>
        <sz val="10"/>
        <rFont val="宋体"/>
        <charset val="134"/>
      </rPr>
      <t>（客人取消单）</t>
    </r>
  </si>
  <si>
    <r>
      <rPr>
        <sz val="10"/>
        <rFont val="宋体"/>
        <charset val="0"/>
      </rPr>
      <t>2020/12/15</t>
    </r>
    <r>
      <rPr>
        <sz val="10"/>
        <rFont val="宋体"/>
        <charset val="134"/>
      </rPr>
      <t>（客人取消单）</t>
    </r>
  </si>
  <si>
    <t>UPC贴纸10/30已订，11/25外箱贴纸</t>
  </si>
  <si>
    <t>日期码格式：ZURU 标准格式 日期：按实际生产日期
Remark: 1.25282- MA包装+UPC贴纸,include batteries 6pcs/CTN
 2.产品对应的UPC如下：
 25282A Baby Shark(Yellow):193052005335
 25282B Daddy Shark(Blue):193052005502
 25282D Mummy Shark(Pink): 193052005519
 3.Color Ratio: Baby Shark(yellow)/ Mummy Shark(pink)/ Daddy Shark(blue)=1:1:1
 4.产品和包装上印刷tracking code信息，格式为ZURU常规格式
 5.外箱正唛右上角粘贴条码贴纸，每箱只贴一张，贴纸由ZURU提供,外箱箱贴显示的DPCI为204-10-4055，UPC,10193052005615。
6.出货方式：货代自提。工厂需先垫付Damco人民币费用，按月交单给ZURU按美金</t>
  </si>
  <si>
    <t>0204-4234742-0581</t>
  </si>
  <si>
    <r>
      <rPr>
        <sz val="10"/>
        <rFont val="宋体"/>
        <charset val="0"/>
      </rPr>
      <t>2021/1/21</t>
    </r>
    <r>
      <rPr>
        <sz val="10"/>
        <rFont val="宋体"/>
        <charset val="134"/>
      </rPr>
      <t>（客人取消单）</t>
    </r>
  </si>
  <si>
    <t>TESCO UK</t>
  </si>
  <si>
    <t>25282-S014</t>
  </si>
  <si>
    <r>
      <rPr>
        <sz val="10"/>
        <rFont val="宋体"/>
        <charset val="0"/>
      </rPr>
      <t>2021/1/19(</t>
    </r>
    <r>
      <rPr>
        <sz val="10"/>
        <rFont val="宋体"/>
        <charset val="134"/>
      </rPr>
      <t>客户取消单）</t>
    </r>
  </si>
  <si>
    <r>
      <rPr>
        <sz val="10"/>
        <rFont val="宋体"/>
        <charset val="0"/>
      </rPr>
      <t>2021/1/28</t>
    </r>
    <r>
      <rPr>
        <sz val="10"/>
        <rFont val="宋体"/>
        <charset val="134"/>
      </rPr>
      <t>（客户取消单）</t>
    </r>
  </si>
  <si>
    <t xml:space="preserve">日期码格式：ZURU 标准格式 日期：按实际生产日期
Remark: 1.25282:MA彩盒B1L版+ZURU UK LTD通用地址贴/EAN条码(EAN#4894680002678)+MA说明书B1L版+一张ITF贴纸（外箱正唛一面贴一张ITF贴纸，箱嘪排版请考虑
此ITF贴纸大小为11*5.8CM，箱嘪排版时请保留足够的空间张贴，此贴纸工厂自行采购)-翻PO#4500025508;
 Baby Shark(yellow)/ Mummy Shark(pink)/ Daddy Shark(blue) =1:1:1
 2.裝櫃必須按TPND順序 (條形碼貼紙或正嘜必須要朝外向車門外)
</t>
  </si>
  <si>
    <r>
      <rPr>
        <sz val="10"/>
        <rFont val="宋体"/>
        <charset val="0"/>
      </rPr>
      <t>2021/2/20</t>
    </r>
    <r>
      <rPr>
        <sz val="10"/>
        <rFont val="宋体"/>
        <charset val="134"/>
      </rPr>
      <t>（客人取消单）</t>
    </r>
  </si>
  <si>
    <t>欠价格贴纸</t>
  </si>
  <si>
    <t xml:space="preserve">日期码格式：ZURU 标准格式 日期：按实际生产日期
Remark: 1.ZURU标准包装 + 客供价格贴纸,出口美国。
2.价格贴纸位于包装正面右下角,不挡住重要信息即可,可适当调整
 ,价格贴纸由跟单提供。
 3.标准日期码格式,产品和包装都要有日期码，所有产品日期码必须一致(但日期不可为周末)。
 4.同个产品同个货期不可出现不同的包装。
 5.大货配比：
 #25282-S003-ZURU ROBO ALIVE JUNIOR-ROBOTIC-BABY SHARK SERIES 1,Bulk,12pcs,No Inner,STD Color Assortment
 Baby Shark(yellow)/ Daddy Shark(blue)/ Mummy Shark(pink)=7:2:3
 </t>
  </si>
  <si>
    <t>Kelly/Emily Wu</t>
  </si>
  <si>
    <t>MID STATES DISTRIBUTIN COMPANY</t>
  </si>
  <si>
    <r>
      <rPr>
        <sz val="10"/>
        <rFont val="宋体"/>
        <charset val="0"/>
      </rPr>
      <t>2021/3/10(</t>
    </r>
    <r>
      <rPr>
        <sz val="10"/>
        <rFont val="宋体"/>
        <charset val="134"/>
      </rPr>
      <t>客人取消单）</t>
    </r>
  </si>
  <si>
    <r>
      <rPr>
        <sz val="10"/>
        <rFont val="宋体"/>
        <charset val="0"/>
      </rPr>
      <t>2021/3/15</t>
    </r>
    <r>
      <rPr>
        <sz val="10"/>
        <rFont val="宋体"/>
        <charset val="134"/>
      </rPr>
      <t>（客人取消单）</t>
    </r>
  </si>
  <si>
    <r>
      <rPr>
        <sz val="10"/>
        <rFont val="宋体"/>
        <charset val="0"/>
      </rPr>
      <t>MA 1L B</t>
    </r>
    <r>
      <rPr>
        <sz val="10"/>
        <rFont val="宋体"/>
        <charset val="134"/>
      </rPr>
      <t>版包装</t>
    </r>
  </si>
  <si>
    <t xml:space="preserve">日期码格式：ZURU 标准格式 日期：按实际生产日期
Remark: 1.全部Items使用 MA UPC版本包装.
 2.产品和包装上印刷tracking code信息，格式为ZURU常规。
 3.#25282：Baby Shark(yellow)/ Mummy Shark(pink)/ Daddy Shark(blue) =1:1:1; include 3pcs AAA carbon batteries。
 4.我司QC验货.
 5.此单每款对应客户不同的订单号，具体如下：
 PO834133-99 - #25282: 504PCS.
</t>
  </si>
  <si>
    <t>Vicky.y</t>
  </si>
  <si>
    <t>AMAZON.COM DEDC,LLC</t>
  </si>
  <si>
    <t>25282D-S006</t>
  </si>
  <si>
    <t>粉色鯊魚（单个产品入邮包盒，6个装）</t>
  </si>
  <si>
    <r>
      <rPr>
        <sz val="10"/>
        <rFont val="宋体"/>
        <charset val="0"/>
      </rPr>
      <t>2021/1/15</t>
    </r>
    <r>
      <rPr>
        <sz val="10"/>
        <rFont val="宋体"/>
        <charset val="134"/>
      </rPr>
      <t>客人取消单</t>
    </r>
  </si>
  <si>
    <t>空白外箱+ZURU logo</t>
  </si>
  <si>
    <t>UPC贴纸翻单4500036927</t>
  </si>
  <si>
    <t>MA 1L B版包装+邮包盒(邮包盒带印刷）</t>
  </si>
  <si>
    <t xml:space="preserve">日期码格式：ZURU 标准格式 日期：按实际生产日期
Remark: 1. Amazon FOB订单，出口US。
 2. 空白外箱加印ZURU Logo+SSCC LABEL（客供贴纸）,无shipping mark，日期使用ZURU 标准版本 SSCC Label 显示的是客人自己的item#, SSCC Label 贴在外箱
正面的正中间，贴一面即可，跟单订购，贴纸离外箱距必须至少3cm, 每一张SSCC label 都是唯一且有不同流水及条码的，没有损耗，绝对不 可贴错，否则贴错或
 损坏一张会导致全部都错，千万要注意。
 3. ZURU MA包装1L。
 25282 MA+邮包盒包装（邮包盒带印刷），跟单提供图稿，MA包装上需要加UPC贴纸覆盖原来的，UPC贴纸资料跟返单PO 4500036927
</t>
  </si>
  <si>
    <t>Andy</t>
  </si>
  <si>
    <t>WOWWEE GROUP LIMITED</t>
  </si>
  <si>
    <r>
      <rPr>
        <sz val="10"/>
        <rFont val="宋体"/>
        <charset val="0"/>
      </rPr>
      <t>2021/1/13</t>
    </r>
    <r>
      <rPr>
        <sz val="10"/>
        <rFont val="宋体"/>
        <charset val="134"/>
      </rPr>
      <t>取消单</t>
    </r>
  </si>
  <si>
    <r>
      <rPr>
        <sz val="10"/>
        <rFont val="宋体"/>
        <charset val="134"/>
      </rPr>
      <t>日期码格式：</t>
    </r>
    <r>
      <rPr>
        <sz val="10"/>
        <rFont val="宋体"/>
        <charset val="0"/>
      </rPr>
      <t xml:space="preserve">ZURU 标准格式 日期：按实际生产日期
Remark: 1.MA 1L彩盒/说明书+UPC贴纸（翻单4500032654）
 2.客人验货时间2021/1/12，请务必按时完货。
 3.订单出美国（Amazon US） 4.每个彩盒需装在一个透明的polybag里(polybag上需印15L warning信息)，并封好口，胶袋的平均厚度要大于0.045mm 并有穿孔。
</t>
    </r>
  </si>
  <si>
    <t>25252-S003</t>
  </si>
  <si>
    <t>鱷魚（邮购盒）</t>
  </si>
  <si>
    <t>空白箱+ SSCC LABEL</t>
  </si>
  <si>
    <r>
      <rPr>
        <sz val="10"/>
        <rFont val="宋体"/>
        <charset val="0"/>
      </rPr>
      <t>MA C</t>
    </r>
    <r>
      <rPr>
        <sz val="10"/>
        <rFont val="宋体"/>
        <charset val="134"/>
      </rPr>
      <t>版本包装+MA B版本说明书+邮购盒</t>
    </r>
  </si>
  <si>
    <t xml:space="preserve">日期码格式：ZURU 标准格式 日期：按实际生产日期
Remark: 1. Amazon FOB订单，出口US。
 2. 空白外箱加印ZURU Logo+MADE IN CHINA+SSCC LABEL（客供贴纸）,无shipping mark，日期使用ZURU 标准版本 SSCC Label 显示的是客人自己的item#, SSCC La
 bel 贴在外箱正面的正中间，贴一面即可，跟单订购，贴纸离外箱距必须至少3cm, 每一张SSCC label 都是唯一且有不同流水及条码的，没有损耗，绝对不 可贴错
 ，否则贴错或损坏一张会导致全部都错，千万要注意。
 3. ZURU MA包装1L。
 25252 MA +邮包盒+UPC贴纸（贴在邮包盒上）
</t>
  </si>
  <si>
    <t>MEGAN</t>
  </si>
  <si>
    <t>MASSTORES PTY LTD</t>
  </si>
  <si>
    <r>
      <rPr>
        <sz val="10"/>
        <rFont val="宋体"/>
        <charset val="0"/>
      </rPr>
      <t>2021/3/2   3/17</t>
    </r>
    <r>
      <rPr>
        <sz val="10"/>
        <rFont val="宋体"/>
        <charset val="134"/>
      </rPr>
      <t>日取消订单</t>
    </r>
  </si>
  <si>
    <r>
      <rPr>
        <sz val="10"/>
        <rFont val="宋体"/>
        <charset val="0"/>
      </rPr>
      <t>2021/3/5     3/17</t>
    </r>
    <r>
      <rPr>
        <sz val="10"/>
        <rFont val="宋体"/>
        <charset val="134"/>
      </rPr>
      <t>日取消订单</t>
    </r>
  </si>
  <si>
    <r>
      <rPr>
        <sz val="10"/>
        <rFont val="宋体"/>
        <charset val="0"/>
      </rPr>
      <t>MA-C</t>
    </r>
    <r>
      <rPr>
        <sz val="10"/>
        <rFont val="宋体"/>
        <charset val="134"/>
      </rPr>
      <t>版本彩盒+MA-B版本說明書</t>
    </r>
  </si>
  <si>
    <t xml:space="preserve">日期码格式：ZURU 标准格式 日期：按实际生产日期
Remark: 1.MA PKG
 2.25257:include 3pcs AAA battery; Duck/ Crocodile/ Fish=4:4:4
</t>
  </si>
  <si>
    <t>MODAFA888</t>
  </si>
  <si>
    <t>7163C-S001</t>
  </si>
  <si>
    <r>
      <rPr>
        <sz val="10"/>
        <rFont val="宋体"/>
        <charset val="0"/>
      </rPr>
      <t>2022/1/1 2021/12/9</t>
    </r>
    <r>
      <rPr>
        <sz val="10"/>
        <rFont val="宋体"/>
        <charset val="134"/>
      </rPr>
      <t>转实单</t>
    </r>
  </si>
  <si>
    <r>
      <rPr>
        <sz val="10"/>
        <rFont val="宋体"/>
        <charset val="0"/>
      </rPr>
      <t>2022/1/5 2021/12/9</t>
    </r>
    <r>
      <rPr>
        <sz val="10"/>
        <rFont val="宋体"/>
        <charset val="134"/>
      </rPr>
      <t>转实单</t>
    </r>
  </si>
  <si>
    <t>MA彩盒+MA说明书+客版挂条</t>
  </si>
  <si>
    <t xml:space="preserve">
Payment Terms:
1.包装：MA彩盒+MA说明书+客版挂条+客版挂条价格贴2张2.外箱箱唛（四面右下角需印Zuru Logo)+一张白色艾利贴纸+一张粉红色艾利贴纸；请注意外箱上有2张贴纸（1张白色贴纸+1张粉红色贴纸），白色艾利贴纸还是按照以往的包装操作贴在主唛左前下角；1张粉红色贴纸贴在右下角，外箱备注："Made in China" 字样。3.在产品上和包装上和外箱上要有日期码ZURU DGYYYYMMDD CHINA、MADE IN CHINA和ZURU字样。4.此单不需要抽版和第三方验货，只需要寄大货版和测试版我们寄送实验室测试以及ZURU验货完成即可5.产品信息：Packaging:open box + blister tray, No “TRY ME” function; 3 assortment; 6pcs in one clip strip; Clip strip with one “S”hook, price sticker on the top of clip strip;</t>
  </si>
  <si>
    <t>380-30391</t>
  </si>
  <si>
    <t>7163TQ1-S003</t>
  </si>
  <si>
    <r>
      <rPr>
        <sz val="10"/>
        <rFont val="宋体"/>
        <charset val="0"/>
      </rPr>
      <t>2021/11/29 2021/11/23</t>
    </r>
    <r>
      <rPr>
        <sz val="10"/>
        <rFont val="宋体"/>
        <charset val="134"/>
      </rPr>
      <t>日取消订单</t>
    </r>
  </si>
  <si>
    <r>
      <rPr>
        <sz val="10"/>
        <rFont val="宋体"/>
        <charset val="0"/>
      </rPr>
      <t>2021/12/3 2021/11/23</t>
    </r>
    <r>
      <rPr>
        <sz val="10"/>
        <rFont val="宋体"/>
        <charset val="134"/>
      </rPr>
      <t>日取消订单</t>
    </r>
  </si>
  <si>
    <t>暂停备料生产</t>
  </si>
  <si>
    <t>日期码格式：ZURU 标准格式 日期：按实际生产日期
Remark: 1.MA PDQ 1L版；
MA彩盒A1L版+EAN条码（EAN#4894680020269）+ MA说明书A1L版+一张ITF贴纸（贴内箱一正唛，此贴纸工厂自行订购）+ 两张BD贴纸（贴外箱正唛侧唛右上角各一张
，此贴纸由ZURU提供）贴纸大小为11*5.8CM，箱嘪排版时请保留足够的空间张贴.
2.裝櫃必須按TPND順序 (條形碼貼紙或正嘜必須要朝外向車門外)</t>
  </si>
  <si>
    <t>小鲨鱼卡板装</t>
  </si>
  <si>
    <t>7166SLB-S001</t>
  </si>
  <si>
    <r>
      <rPr>
        <sz val="10"/>
        <rFont val="宋体"/>
        <charset val="0"/>
      </rPr>
      <t>2021/12/2 2021/11/23</t>
    </r>
    <r>
      <rPr>
        <sz val="10"/>
        <rFont val="宋体"/>
        <charset val="134"/>
      </rPr>
      <t>日取消订单</t>
    </r>
  </si>
  <si>
    <r>
      <rPr>
        <sz val="10"/>
        <rFont val="宋体"/>
        <charset val="0"/>
      </rPr>
      <t>2021/12/6 2021/11/23</t>
    </r>
    <r>
      <rPr>
        <sz val="10"/>
        <rFont val="宋体"/>
        <charset val="134"/>
      </rPr>
      <t>日取消订单</t>
    </r>
  </si>
  <si>
    <t>日期码格式：ZURU 标准格式 日期：按实际生产日期
Remark: 1.7166TQ2-S001(1facing 3pcs/PDQ,3pcs/ctn)
客版彩卡+SPEC CODE贴纸(SPEC CODE:193052036292.2022)贴纸彩卡上+客版PDQ
2.Slip Sheet:3pcs/CTN(carton size: 16.5x21.5x28.5cm), 4W*6Dx6H=144carton=432pcs/Slip Sheet，一共需要11套slip sheet；
Slip Sheet打包好后，需要在正唛、侧唛右下角各贴一张slip sheet贴纸，直接用A4纸打印出来即可，贴纸尺寸160mm width x 140mm high；Slip Sheet尺寸限制为
100*115*130CM，一旦实际SLIP SHEET尺寸超过这个尺寸，请提前通知ZURU跟单，需同客人确认才能量产和出货;
3.产品入外箱后再打包slip sheet出货
4.出英国，产品需要打UKCA Mark，否则客人会退货有客诉产生
5.请在12/1提供三套大货签板给我们安排签板
6.请在12-7提供客人格式的自检报告给我们发给客人审批了才能出货
7.The Mini Baby Shark from STD #7163</t>
  </si>
  <si>
    <t>7166TQ1</t>
  </si>
  <si>
    <r>
      <rPr>
        <sz val="10"/>
        <rFont val="宋体"/>
        <charset val="0"/>
      </rPr>
      <t>2022/1/6 2021/11/23</t>
    </r>
    <r>
      <rPr>
        <sz val="10"/>
        <rFont val="宋体"/>
        <charset val="134"/>
      </rPr>
      <t>日取消订单</t>
    </r>
  </si>
  <si>
    <r>
      <rPr>
        <sz val="10"/>
        <rFont val="宋体"/>
        <charset val="0"/>
      </rPr>
      <t>2022/1/10 2021/11/23</t>
    </r>
    <r>
      <rPr>
        <sz val="10"/>
        <rFont val="宋体"/>
        <charset val="134"/>
      </rPr>
      <t>日取消订单</t>
    </r>
  </si>
  <si>
    <t>日期码格式：ZURU 标准格式 日期：按实际生产日期
Remark: 
2.MA PDQ 1L版；
MA彩盒A1L版+EAN条码（EAN#4894680020269）+ MA说明书A1L版+一张ITF贴纸（贴内箱一正唛，此贴纸工厂自行订购）+ 两张BD贴纸（贴外箱正唛侧唛右上角各一张
，此贴纸由ZURU提供）贴纸大小为11*5.8CM，箱嘪排版时请保留足够的空间张贴.
---翻PO#4500062447;
6.裝櫃必須按TPND順序 (條形碼貼紙或正嘜必須要朝外向車門外)
7.出英国，产品需要打UKCA Mark，否则客人会退货有罚款产生</t>
  </si>
  <si>
    <t>小鲨鱼展示架装</t>
  </si>
  <si>
    <t>7163SK-S01</t>
  </si>
  <si>
    <r>
      <rPr>
        <sz val="10"/>
        <rFont val="宋体"/>
        <charset val="0"/>
      </rPr>
      <t>2021/12/21 2021/11/18</t>
    </r>
    <r>
      <rPr>
        <sz val="10"/>
        <rFont val="宋体"/>
        <charset val="134"/>
      </rPr>
      <t>日取消订单</t>
    </r>
  </si>
  <si>
    <r>
      <rPr>
        <sz val="10"/>
        <rFont val="宋体"/>
        <charset val="0"/>
      </rPr>
      <t>2021/12/25 2021/11/18</t>
    </r>
    <r>
      <rPr>
        <sz val="10"/>
        <rFont val="宋体"/>
        <charset val="134"/>
      </rPr>
      <t>日取消订单</t>
    </r>
  </si>
  <si>
    <t>日期码格式：ZURU 标准格式 日期：按实际生产日期
Remark: MA 1L 包装</t>
  </si>
  <si>
    <t>日期码格式：ZURU 标准格式 日期：按实际生产日期
Remark: MA 1L包装</t>
  </si>
  <si>
    <t>SIPLEC</t>
  </si>
  <si>
    <t>Doris</t>
  </si>
  <si>
    <r>
      <rPr>
        <sz val="10"/>
        <rFont val="宋体"/>
        <charset val="0"/>
      </rPr>
      <t>2021/6/14  2021/9/2</t>
    </r>
    <r>
      <rPr>
        <sz val="10"/>
        <rFont val="宋体"/>
        <charset val="134"/>
      </rPr>
      <t>取消订单</t>
    </r>
  </si>
  <si>
    <t>ZURU Pass</t>
  </si>
  <si>
    <r>
      <rPr>
        <sz val="10"/>
        <rFont val="宋体"/>
        <charset val="0"/>
      </rPr>
      <t xml:space="preserve">BV </t>
    </r>
    <r>
      <rPr>
        <sz val="10"/>
        <rFont val="宋体"/>
        <charset val="134"/>
      </rPr>
      <t>抽版测试不过</t>
    </r>
  </si>
  <si>
    <r>
      <rPr>
        <sz val="10"/>
        <rFont val="宋体"/>
        <charset val="0"/>
      </rPr>
      <t>2021/6/18  2021/9/2</t>
    </r>
    <r>
      <rPr>
        <sz val="10"/>
        <rFont val="宋体"/>
        <charset val="134"/>
      </rPr>
      <t>取消订单</t>
    </r>
  </si>
  <si>
    <t>2021/5/31，注意产品贴纸不要盖住底部的CE logo</t>
  </si>
  <si>
    <r>
      <rPr>
        <sz val="10"/>
        <rFont val="宋体"/>
        <charset val="0"/>
      </rPr>
      <t>MA 3L</t>
    </r>
    <r>
      <rPr>
        <sz val="10"/>
        <rFont val="宋体"/>
        <charset val="134"/>
      </rPr>
      <t>彩盒+客版说明书</t>
    </r>
  </si>
  <si>
    <t>日期码格式：1027340-25 日期：
Remark: 1.预计6/24第三方验货+抽板测试，此单需每款抽办8套左右测试，请多备料。6/2前准备好2套大货签板
3.25291：MA_3L彩卡+客版说明书+1张警语条码贴+1张产品贴；标准胶袋
4.纸箱上加4张条形码贴纸，【7115-(01)43660444632608
/ 25291-（01）53660444030616
】需要你们在客户指定贴纸供货商FAR EAST订购， 联系方式如下, 并订购时请把范本发给FAR EAST。
FAR EAST TICKET EXPRESS CENTRE Ltd.
3/F, Excelsior Industrial Building,
68 Sha Tsui Road, Tsuen Wan,
HONG KONG SAR
Tel : (852) 2354 9923
Email: cs@fetec.com.hk
5.每箱需放3包透明颗粒状干燥剂，包干燥剂的袋子要有"SILICA GEL" 字样</t>
  </si>
  <si>
    <t>KIDDISVIT LTD</t>
  </si>
  <si>
    <t>Ann.Z</t>
  </si>
  <si>
    <r>
      <rPr>
        <sz val="10"/>
        <rFont val="宋体"/>
        <charset val="0"/>
      </rPr>
      <t>2021/8/16 2021/9/2</t>
    </r>
    <r>
      <rPr>
        <sz val="10"/>
        <rFont val="宋体"/>
        <charset val="134"/>
      </rPr>
      <t>取消订单</t>
    </r>
  </si>
  <si>
    <t>排</t>
  </si>
  <si>
    <r>
      <rPr>
        <sz val="10"/>
        <rFont val="宋体"/>
        <charset val="0"/>
      </rPr>
      <t>2021/8/20  2021/9/2</t>
    </r>
    <r>
      <rPr>
        <sz val="10"/>
        <rFont val="宋体"/>
        <charset val="134"/>
      </rPr>
      <t>取消订单</t>
    </r>
  </si>
  <si>
    <t>乌克兰</t>
  </si>
  <si>
    <t xml:space="preserve">日期码格式：ZURU 标准格式 日期：按实际生产日期
Remark: 1.25291：1L MA 包装+ 进口商贴纸;客版说明书
7.25291：include 3pcs LR44 battery in shark and 3pcs LR44 battery in starfish
</t>
  </si>
  <si>
    <t>Amy.xiao</t>
  </si>
  <si>
    <r>
      <rPr>
        <sz val="10"/>
        <rFont val="宋体"/>
        <charset val="0"/>
      </rPr>
      <t xml:space="preserve"> 2021/7/3  2021/9/29</t>
    </r>
    <r>
      <rPr>
        <sz val="10"/>
        <rFont val="宋体"/>
        <charset val="134"/>
      </rPr>
      <t>取消订单</t>
    </r>
  </si>
  <si>
    <t>9/23 REI
章鱼无喷水功能</t>
  </si>
  <si>
    <r>
      <rPr>
        <sz val="10"/>
        <rFont val="宋体"/>
        <charset val="0"/>
      </rPr>
      <t>2021/7/8 2021/9/29</t>
    </r>
    <r>
      <rPr>
        <sz val="10"/>
        <rFont val="宋体"/>
        <charset val="134"/>
      </rPr>
      <t>取消订单</t>
    </r>
  </si>
  <si>
    <t>已收到SO</t>
  </si>
  <si>
    <t>7/13提供资料</t>
  </si>
  <si>
    <t>MA 彩卡A版+MA 说明书+客版德语说明书+客版电池说明书+</t>
  </si>
  <si>
    <t>日期码格式：ZURU 标准格式 日期：按实际生产日期
Remark: 1.包装：
25291 MA 彩卡+MA 说明书+客版德语说明书（翻单PO#4500029503）+客版电池说明书+EAN条码贴纸（含警告语）
2，此单需要传验货图片给客户确认才能出货。
3，需准时完成生产，推期出货会有罚款.</t>
  </si>
  <si>
    <t>Macy's Backstage</t>
  </si>
  <si>
    <r>
      <rPr>
        <sz val="10"/>
        <rFont val="宋体"/>
        <charset val="0"/>
      </rPr>
      <t>2021/9/6 2021/9/23</t>
    </r>
    <r>
      <rPr>
        <sz val="10"/>
        <rFont val="宋体"/>
        <charset val="134"/>
      </rPr>
      <t>日取消订单</t>
    </r>
  </si>
  <si>
    <r>
      <rPr>
        <sz val="10"/>
        <rFont val="宋体"/>
        <charset val="0"/>
      </rPr>
      <t>2021/9/10  2021/9/23</t>
    </r>
    <r>
      <rPr>
        <sz val="10"/>
        <rFont val="宋体"/>
        <charset val="134"/>
      </rPr>
      <t>日取消订单</t>
    </r>
  </si>
  <si>
    <t>8/17更新</t>
  </si>
  <si>
    <t>日期码格式：ZURU 标准格式 日期：按实际生产日期
Remark: 1.美国客户Macy 2021新单，改做DDP 出货方式， 不需做Document review ,接受ZURU 标准测试报告。
2. ZURU MA包装（没有客供价格贴纸，也没有外箱条码贴纸）
3. ZURU标准日期码。
4. 无需第三方验货，但是需发工厂100% 验货的报告给到客人去确认， 客人看过接受OK就会发出一份正式的放货通知单，收到客人的放货通知单才可安排出货。
5. 工厂自行装柜，DDP单没有第三方监装。
6. 取消头箱贴纸。
8. 装箱单（打印好的纸质档）必須用透明膠袋装好並貼在頭箱的主箱唛左上角位置，且装箱单的数量明细必须是针对其中这一个整柜的数量，不是整张订单的装柜
数量。只有头箱需要贴装箱单。
9. 不接受外箱印ZURU LOGO。
10. 外箱封口以3" 透明膠帶密封開口處。</t>
  </si>
  <si>
    <t>Agnes</t>
  </si>
  <si>
    <t>鸭子(邮包盒）</t>
  </si>
  <si>
    <t>25251-S003</t>
  </si>
  <si>
    <r>
      <rPr>
        <sz val="10"/>
        <rFont val="宋体"/>
        <charset val="0"/>
      </rPr>
      <t>2021/8/16 2021/8/6</t>
    </r>
    <r>
      <rPr>
        <sz val="10"/>
        <rFont val="宋体"/>
        <charset val="134"/>
      </rPr>
      <t>日取消订单</t>
    </r>
  </si>
  <si>
    <r>
      <rPr>
        <sz val="10"/>
        <rFont val="宋体"/>
        <charset val="0"/>
      </rPr>
      <t>2021/8/20 2021/8/6</t>
    </r>
    <r>
      <rPr>
        <sz val="10"/>
        <rFont val="宋体"/>
        <charset val="134"/>
      </rPr>
      <t>日取消订单</t>
    </r>
  </si>
  <si>
    <t>空白外箱加印ZURU Logo+MADE IN CHINA</t>
  </si>
  <si>
    <r>
      <rPr>
        <sz val="10"/>
        <rFont val="宋体"/>
        <charset val="0"/>
      </rPr>
      <t>MA +</t>
    </r>
    <r>
      <rPr>
        <sz val="10"/>
        <rFont val="宋体"/>
        <charset val="134"/>
      </rPr>
      <t>邮包盒</t>
    </r>
    <r>
      <rPr>
        <sz val="10"/>
        <rFont val="宋体"/>
        <charset val="0"/>
      </rPr>
      <t>+UPC</t>
    </r>
    <r>
      <rPr>
        <sz val="10"/>
        <rFont val="宋体"/>
        <charset val="134"/>
      </rPr>
      <t>贴纸</t>
    </r>
  </si>
  <si>
    <t>日期码格式：ZURU 标准格式 日期：按实际生产日期
Remark: 1.Amazon FOB订单，出口US。外箱最长边不能超过25" （超过了，case pack只能为1），不符合要求的大货，一律不接受。
2. 空白外箱加印ZURU Logo+MADE IN CHINA+SSCC LABEL（客供贴纸）,无shipping mark，日期使用ZURU 标准版本 SSCC Label 显示的是客人自己的item#, SSCC La
bel 贴在外箱正面的正中间，贴一面即可，跟单订购，贴纸离外箱距必须至少3cm, 每一张SSCC label 都是唯一且有不同流水及条码的，没有损耗，绝对不可贴错
，否则贴错或损坏一张会导致全部都错，千万要注意.
3.ZURU MA包装1L。
Item 25251 MA +邮包盒+UPC贴纸（贴在邮包盒上）跟翻单4500027467</t>
  </si>
  <si>
    <t>TJX COMPANIE,INC</t>
  </si>
  <si>
    <t>KELLY/EMILY WU</t>
  </si>
  <si>
    <r>
      <rPr>
        <sz val="10"/>
        <rFont val="宋体"/>
        <charset val="0"/>
      </rPr>
      <t>2021/4/27 2021/7/2</t>
    </r>
    <r>
      <rPr>
        <sz val="10"/>
        <rFont val="宋体"/>
        <charset val="134"/>
      </rPr>
      <t>取消订单</t>
    </r>
  </si>
  <si>
    <r>
      <rPr>
        <sz val="10"/>
        <rFont val="宋体"/>
        <charset val="0"/>
      </rPr>
      <t>2021/4/30  2021/7/2</t>
    </r>
    <r>
      <rPr>
        <sz val="10"/>
        <rFont val="宋体"/>
        <charset val="134"/>
      </rPr>
      <t>取消订单</t>
    </r>
  </si>
  <si>
    <t>日期码格式： ZURU 标准格式 日期： 按实际生产日期
Remark: 1. 两款产品均为MA UPC 包装
2. 产品和包装上印刷tracking code信息，格式为ZURU常规格式。
3. 散货出货，分5个DC，每款产品每个DC对应的箱唛资料不同，分DC数量待客户提供后邮件告知</t>
  </si>
  <si>
    <r>
      <rPr>
        <sz val="10"/>
        <rFont val="宋体"/>
        <charset val="0"/>
      </rPr>
      <t>2021/4/16  2021/7/2</t>
    </r>
    <r>
      <rPr>
        <sz val="10"/>
        <rFont val="宋体"/>
        <charset val="134"/>
      </rPr>
      <t>取消订单</t>
    </r>
  </si>
  <si>
    <r>
      <rPr>
        <sz val="10"/>
        <rFont val="宋体"/>
        <charset val="0"/>
      </rPr>
      <t>2021/4/19  2021/7/2</t>
    </r>
    <r>
      <rPr>
        <sz val="10"/>
        <rFont val="宋体"/>
        <charset val="134"/>
      </rPr>
      <t>取消订单</t>
    </r>
  </si>
  <si>
    <r>
      <rPr>
        <sz val="10"/>
        <rFont val="宋体"/>
        <charset val="0"/>
      </rPr>
      <t>4/27</t>
    </r>
    <r>
      <rPr>
        <sz val="10"/>
        <rFont val="宋体"/>
        <charset val="134"/>
      </rPr>
      <t>交仓</t>
    </r>
  </si>
  <si>
    <t>日期码格式： ZURU 标准格式 日期： 按实际生产日期
Remark: 1. 所有产品均为MA UPC包装2. 产品和包装上印刷tracking code信息，格式为ZURU常规格式。
3. 散货出货，分5个DC出货，每款产品每个DC的箱唛资料不同。具体分DC资料见行项目备注。</t>
  </si>
  <si>
    <r>
      <rPr>
        <sz val="10"/>
        <rFont val="宋体"/>
        <charset val="0"/>
      </rPr>
      <t>2021/4/16 2021/7/2</t>
    </r>
    <r>
      <rPr>
        <sz val="10"/>
        <rFont val="宋体"/>
        <charset val="134"/>
      </rPr>
      <t>取消订单</t>
    </r>
  </si>
  <si>
    <t>日期码格式： ZURU 标准格式 日期： 按实际生产日期
Remark: 1. 所有产品均是MA UPC包装
2. 产品和包装上印刷tracking code信息，格式为ZURU常规格式。
3. 散货出货，分4个DC，每款产品每个DC对应的箱唛资料不同，具体分DC数量见行项目备注。</t>
  </si>
  <si>
    <t>ZMPO21407</t>
  </si>
  <si>
    <r>
      <rPr>
        <sz val="10"/>
        <rFont val="宋体"/>
        <charset val="0"/>
      </rPr>
      <t>2021/10/6 2021/10/8</t>
    </r>
    <r>
      <rPr>
        <sz val="10"/>
        <rFont val="宋体"/>
        <charset val="134"/>
      </rPr>
      <t>日取消订单</t>
    </r>
  </si>
  <si>
    <r>
      <rPr>
        <sz val="10"/>
        <rFont val="宋体"/>
        <charset val="0"/>
      </rPr>
      <t>2021/10/10 2021/10/8</t>
    </r>
    <r>
      <rPr>
        <sz val="10"/>
        <rFont val="宋体"/>
        <charset val="134"/>
      </rPr>
      <t>日取消订单</t>
    </r>
  </si>
  <si>
    <t>大货标准版 /装箱请用标准外箱周转箱装箱/12pcs/箱，共92箱</t>
  </si>
  <si>
    <t>3个鲨鱼入邮包盒</t>
  </si>
  <si>
    <t>25285-S002</t>
  </si>
  <si>
    <r>
      <rPr>
        <sz val="10"/>
        <rFont val="宋体"/>
        <charset val="0"/>
      </rPr>
      <t>2021/8/16 2021/7/29</t>
    </r>
    <r>
      <rPr>
        <sz val="10"/>
        <rFont val="宋体"/>
        <charset val="134"/>
      </rPr>
      <t>日取消订单</t>
    </r>
  </si>
  <si>
    <r>
      <rPr>
        <sz val="10"/>
        <rFont val="宋体"/>
        <charset val="0"/>
      </rPr>
      <t>2021/8/20 2021/7/29</t>
    </r>
    <r>
      <rPr>
        <sz val="10"/>
        <rFont val="宋体"/>
        <charset val="134"/>
      </rPr>
      <t>日取消订单</t>
    </r>
  </si>
  <si>
    <t>Smyths Toys EU HQ</t>
  </si>
  <si>
    <t>Linda</t>
  </si>
  <si>
    <r>
      <rPr>
        <sz val="10"/>
        <rFont val="宋体"/>
        <charset val="0"/>
      </rPr>
      <t>2021/8/12 2021/7/23</t>
    </r>
    <r>
      <rPr>
        <sz val="10"/>
        <rFont val="宋体"/>
        <charset val="134"/>
      </rPr>
      <t>日取消订单</t>
    </r>
  </si>
  <si>
    <r>
      <rPr>
        <sz val="10"/>
        <rFont val="宋体"/>
        <charset val="0"/>
      </rPr>
      <t>2021/8/16 2021/7/23</t>
    </r>
    <r>
      <rPr>
        <sz val="10"/>
        <rFont val="宋体"/>
        <charset val="134"/>
      </rPr>
      <t>日取消订单</t>
    </r>
  </si>
  <si>
    <t>取消</t>
  </si>
  <si>
    <r>
      <rPr>
        <sz val="10"/>
        <rFont val="宋体"/>
        <charset val="0"/>
      </rPr>
      <t xml:space="preserve">MA 3L </t>
    </r>
    <r>
      <rPr>
        <sz val="10"/>
        <rFont val="宋体"/>
        <charset val="134"/>
      </rPr>
      <t>包装</t>
    </r>
  </si>
  <si>
    <t>日期码格式：ZURU 标准格式 日期：按实际生产日期
Remark: 1, 包装： 3L MA彩盒+1 张警语贴纸， 五语客版说明书&lt;(&gt;,&lt;)&gt;
警语贴纸和说明书全部翻 4500051159这张单;
25282A Baby Shark (Yellow):193052005335;
2，请准时交货，否则会有罚款；</t>
  </si>
  <si>
    <r>
      <rPr>
        <sz val="10"/>
        <rFont val="宋体"/>
        <charset val="0"/>
      </rPr>
      <t>2021/8/9 2021/7/29</t>
    </r>
    <r>
      <rPr>
        <sz val="10"/>
        <rFont val="宋体"/>
        <charset val="134"/>
      </rPr>
      <t>日取消订单</t>
    </r>
  </si>
  <si>
    <r>
      <rPr>
        <sz val="10"/>
        <rFont val="宋体"/>
        <charset val="0"/>
      </rPr>
      <t>2021/8/13 2021/7/29</t>
    </r>
    <r>
      <rPr>
        <sz val="10"/>
        <rFont val="宋体"/>
        <charset val="134"/>
      </rPr>
      <t>日取消订单</t>
    </r>
  </si>
  <si>
    <t xml:space="preserve">Agnes </t>
  </si>
  <si>
    <r>
      <rPr>
        <sz val="10"/>
        <rFont val="宋体"/>
        <charset val="134"/>
      </rPr>
      <t>藍色鯊魚（单个产品入邮包盒带印刷，</t>
    </r>
    <r>
      <rPr>
        <sz val="10"/>
        <rFont val="宋体"/>
        <charset val="0"/>
      </rPr>
      <t>6个装）</t>
    </r>
  </si>
  <si>
    <t>25282B-S006</t>
  </si>
  <si>
    <r>
      <rPr>
        <sz val="10"/>
        <rFont val="宋体"/>
        <charset val="0"/>
      </rPr>
      <t>2021/9/6  2021/8/14</t>
    </r>
    <r>
      <rPr>
        <sz val="10"/>
        <rFont val="宋体"/>
        <charset val="134"/>
      </rPr>
      <t>日取消订单</t>
    </r>
  </si>
  <si>
    <r>
      <rPr>
        <sz val="10"/>
        <rFont val="宋体"/>
        <charset val="0"/>
      </rPr>
      <t>2021/9/10  2021/8/14</t>
    </r>
    <r>
      <rPr>
        <sz val="10"/>
        <rFont val="宋体"/>
        <charset val="134"/>
      </rPr>
      <t>日取消订单</t>
    </r>
  </si>
  <si>
    <t>8/6提供</t>
  </si>
  <si>
    <t>UPC贴纸资料跟返单PO 4500036927</t>
  </si>
  <si>
    <r>
      <rPr>
        <sz val="10"/>
        <rFont val="宋体"/>
        <charset val="0"/>
      </rPr>
      <t>MA 1L B</t>
    </r>
    <r>
      <rPr>
        <sz val="10"/>
        <rFont val="宋体"/>
        <charset val="134"/>
      </rPr>
      <t>版包装</t>
    </r>
    <r>
      <rPr>
        <sz val="10"/>
        <rFont val="宋体"/>
        <charset val="0"/>
      </rPr>
      <t>+邮包盒翻单4500042188</t>
    </r>
  </si>
  <si>
    <t>日期码格式：ZURU 标准格式 日期：按实际生产日期
Remark: 1. Amazon domestic 订单，外箱加印箱唛 （跟单提供）。出口美国。
2.无第三方验货/测试要求。
3.日期码使用ZURU标准版本。
25282: MA包装+UPC贴纸再入邮包盒，翻单4500042188，邮包盒上无需贴贴纸，MA彩盒包装上需要加UPC贴纸覆盖原来的，UPC贴纸资料跟返单PO 4500036927</t>
  </si>
  <si>
    <t>粉色鯊魚（单个产品入邮包盒带印刷，6个装）</t>
  </si>
  <si>
    <r>
      <rPr>
        <sz val="10"/>
        <rFont val="宋体"/>
        <charset val="0"/>
      </rPr>
      <t>2021/9/6  2021/7/29</t>
    </r>
    <r>
      <rPr>
        <sz val="10"/>
        <rFont val="宋体"/>
        <charset val="134"/>
      </rPr>
      <t>日取消订单</t>
    </r>
  </si>
  <si>
    <r>
      <rPr>
        <sz val="10"/>
        <rFont val="宋体"/>
        <charset val="0"/>
      </rPr>
      <t>2021/9/10  2021/7/29</t>
    </r>
    <r>
      <rPr>
        <sz val="10"/>
        <rFont val="宋体"/>
        <charset val="134"/>
      </rPr>
      <t>日取消订单</t>
    </r>
  </si>
  <si>
    <t>日期码格式：ZURU 标准格式 日期：按实际生产日期
Remark: 1. Amazon domestic 订单，外箱加印箱唛 （跟单提供）。出口美国。
2.无第三方验货/测试要求。
3.日期码使用ZURU标准版本。
25285 3pcs的25282入邮包盒（带印刷），AW 跟PO 4500049886</t>
  </si>
  <si>
    <t>PO1055411-3108BFDFCL</t>
  </si>
  <si>
    <t>Sara.Wang&amp;Lucky Zhao&amp;Lingly Wang</t>
  </si>
  <si>
    <t>鯊魚展示櫃</t>
  </si>
  <si>
    <t>25282EC-S001</t>
  </si>
  <si>
    <r>
      <rPr>
        <sz val="10"/>
        <rFont val="宋体"/>
        <charset val="0"/>
      </rPr>
      <t>2021/9/3 2021/9/16</t>
    </r>
    <r>
      <rPr>
        <sz val="10"/>
        <rFont val="宋体"/>
        <charset val="134"/>
      </rPr>
      <t>日取消订单</t>
    </r>
  </si>
  <si>
    <r>
      <rPr>
        <sz val="10"/>
        <rFont val="宋体"/>
        <charset val="0"/>
      </rPr>
      <t>2021/9/7 2021/9/16</t>
    </r>
    <r>
      <rPr>
        <sz val="10"/>
        <rFont val="宋体"/>
        <charset val="134"/>
      </rPr>
      <t>日取消订单</t>
    </r>
  </si>
  <si>
    <t>7/14收到资料</t>
  </si>
  <si>
    <t>8/3 收到资料</t>
  </si>
  <si>
    <t>日期码格式：ZURU 标准格式 日期：按实际生产日期
Remark: 1.此单出口澳大利亚，请按澳新标准生产
2.产品和包装上生产批号的显示格式更新为ZURU 标准格式
3.MA 包装+IMPORT LABEL; MA 首选1L， 无1L才采用3L
4.箱唛不可出现任何手写内容，重量与实际一致且不可手写
6.25282EC:Baby Shark(yellow)/ Mummy Shark(pink)/ Daddy Shark(blue) =1:1:1; include 3pcs AAA carbon batteries; 3Wx4Dx5H=60pcs;Pack in carton</t>
  </si>
  <si>
    <t>1LBKT4MN</t>
  </si>
  <si>
    <r>
      <rPr>
        <sz val="10"/>
        <rFont val="宋体"/>
        <charset val="0"/>
      </rPr>
      <t>2021/11/18 2021/10/15</t>
    </r>
    <r>
      <rPr>
        <sz val="10"/>
        <rFont val="宋体"/>
        <charset val="134"/>
      </rPr>
      <t>日取消订单</t>
    </r>
  </si>
  <si>
    <r>
      <rPr>
        <sz val="10"/>
        <rFont val="宋体"/>
        <charset val="0"/>
      </rPr>
      <t>2021/11/22 2021/10/15</t>
    </r>
    <r>
      <rPr>
        <sz val="10"/>
        <rFont val="宋体"/>
        <charset val="134"/>
      </rPr>
      <t>日取消订单</t>
    </r>
  </si>
  <si>
    <t>MA 3L B包装 + 邮包盒（带印刷），AW 跟PO 4500049886</t>
  </si>
  <si>
    <t>日期码格式：ZURU 标准格式 日期：按实际生产日期
Remark: 1.Amazon FOB订单，出口CA。外箱最长边不能超过25" （超过了，case pack只能为1），不符合要求的大货，一律不接受。
2. 空白外箱加印ZURU Logo+MADE IN CHINA+SSCC LABEL（客供贴纸）,无shipping mark，日期使用ZURU 标准版本 SSCC Label 显示的是客人自己的item#, SSCC La
bel 贴在外箱正面的正中间，贴一面即可，跟单订购，贴纸离外箱距必须至少3cm, 每一张SSCC label 都是唯一且有不同流水及条码的，没有损耗，绝对不可贴错
，否则贴错或损坏一张会导致全部都错，千万要注意.
3.ZURU MA包装3 L。
25285 3pcs的25282入邮包盒（带印刷），AW 跟PO 4500049886</t>
  </si>
  <si>
    <t>MA 3L B包装 + 邮包盒 翻单4500042188</t>
  </si>
  <si>
    <t>日期码格式：ZURU 标准格式 日期：按实际生产日期
Remark: 1.Amazon FOB订单，出口CA。外箱最长边不能超过25" （超过了，case pack只能为1），不符合要求的大货，一律不接受。
2. 空白外箱加印ZURU Logo+MADE IN CHINA+SSCC LABEL（客供贴纸）,无shipping mark，日期使用ZURU 标准版本 SSCC Label 显示的是客人自己的item#, SSCC La
bel 贴在外箱正面的正中间，贴一面即可，跟单订购，贴纸离外箱距必须至少3cm, 每一张SSCC label 都是唯一且有不同流水及条码的，没有损耗，绝对不可贴错
，否则贴错或损坏一张会导致全部都错，千万要注意.
3.ZURU MA包装3 L。
25282: MA包装+UPC贴纸再入邮包盒，翻单4500042188，邮包盒上无需贴贴纸，MA彩盒包装上需要加UPC贴纸覆盖原来的，UPC贴纸资料跟翻单PO 4500036927</t>
  </si>
  <si>
    <t>4513292781</t>
  </si>
  <si>
    <t>cara</t>
  </si>
  <si>
    <r>
      <rPr>
        <sz val="10"/>
        <rFont val="宋体"/>
        <charset val="0"/>
      </rPr>
      <t>2021/12/24 2021/12/13</t>
    </r>
    <r>
      <rPr>
        <sz val="10"/>
        <rFont val="宋体"/>
        <charset val="134"/>
      </rPr>
      <t>取消订单</t>
    </r>
  </si>
  <si>
    <r>
      <rPr>
        <sz val="10"/>
        <rFont val="宋体"/>
        <charset val="0"/>
      </rPr>
      <t>2021/12/28 2021/12/13</t>
    </r>
    <r>
      <rPr>
        <sz val="10"/>
        <rFont val="宋体"/>
        <charset val="134"/>
      </rPr>
      <t>取消订单</t>
    </r>
  </si>
  <si>
    <t>MA包装+WIC贴纸 同4500065182</t>
  </si>
  <si>
    <t>日期码格式：ZURU 标准格式 日期：12-09-2021
Remark: MA 1L包装 + WIC贴纸（同4500065182）
产品和包装上面要有TRACKING CODE信息, 按照ZURU标准格式
需要打包成slip sheet出货，Slip sheet不能高于48"，低于18"。每座SLIP SHEET需要用收缩膜围起来，其中一面贴装箱单
底部带纸托，纸托厚度范围0.04"-0.12",尺寸43"x51"，纸箱摆放尺寸不能超过40"x48" 。纸箱沿纸托2边摆放，剩下2边纸托需要留不少于3"的宽度,且纸托需要沿着
纸箱折叠，其中一边折叠起来的部分需要跟纸箱一起用薄膜围起来
slip sheet打包数量稍后更新</t>
  </si>
  <si>
    <t>4513292677</t>
  </si>
  <si>
    <r>
      <rPr>
        <sz val="10"/>
        <rFont val="宋体"/>
        <charset val="0"/>
      </rPr>
      <t>2021/12/24 2021/12/13</t>
    </r>
    <r>
      <rPr>
        <sz val="10"/>
        <rFont val="宋体"/>
        <charset val="134"/>
      </rPr>
      <t>日取消订单</t>
    </r>
  </si>
  <si>
    <r>
      <rPr>
        <sz val="10"/>
        <rFont val="宋体"/>
        <charset val="0"/>
      </rPr>
      <t>2021/12/28 2021/12/13</t>
    </r>
    <r>
      <rPr>
        <sz val="10"/>
        <rFont val="宋体"/>
        <charset val="134"/>
      </rPr>
      <t>日取消订单</t>
    </r>
  </si>
  <si>
    <t>ACTION SERVICE &amp; DISTRIBUTIE B.V.</t>
  </si>
  <si>
    <r>
      <rPr>
        <sz val="10"/>
        <rFont val="宋体"/>
        <charset val="0"/>
      </rPr>
      <t>2022/3/10 2021/12/16</t>
    </r>
    <r>
      <rPr>
        <sz val="10"/>
        <rFont val="宋体"/>
        <charset val="134"/>
      </rPr>
      <t>日取消订单</t>
    </r>
  </si>
  <si>
    <r>
      <rPr>
        <sz val="10"/>
        <rFont val="宋体"/>
        <charset val="0"/>
      </rPr>
      <t>2022/3/14 2021/12/16</t>
    </r>
    <r>
      <rPr>
        <sz val="10"/>
        <rFont val="宋体"/>
        <charset val="134"/>
      </rPr>
      <t>日取消订单</t>
    </r>
  </si>
  <si>
    <t>ACTION 9L EAN 客版包装</t>
  </si>
  <si>
    <t>日期码格式：ZURU 标准格式 日期：按实际生产日期
Remark: #25291
1.包装
ACTION 9L EAN 客版包装
2. include 3pcs LR44 battery in shark and 3pcs LR44 battery in starfish
3.所有包装材料都不允许PVC, 请用PET代替
4.大货样板4套
5.客人款号
25291：3007510
6.客人一个PO#对应一款箱唛，共17款箱唛
7.共有9个货期</t>
  </si>
  <si>
    <r>
      <rPr>
        <sz val="10"/>
        <rFont val="宋体"/>
        <charset val="0"/>
      </rPr>
      <t>2022/3/17 2021/12/16</t>
    </r>
    <r>
      <rPr>
        <sz val="10"/>
        <rFont val="宋体"/>
        <charset val="134"/>
      </rPr>
      <t>日取消订单</t>
    </r>
  </si>
  <si>
    <r>
      <rPr>
        <sz val="10"/>
        <rFont val="宋体"/>
        <charset val="0"/>
      </rPr>
      <t>2022/3/21 2021/12/16</t>
    </r>
    <r>
      <rPr>
        <sz val="10"/>
        <rFont val="宋体"/>
        <charset val="134"/>
      </rPr>
      <t>日取消订单</t>
    </r>
  </si>
  <si>
    <r>
      <rPr>
        <sz val="10"/>
        <rFont val="宋体"/>
        <charset val="0"/>
      </rPr>
      <t>2022/3/24 2021/12/16</t>
    </r>
    <r>
      <rPr>
        <sz val="10"/>
        <rFont val="宋体"/>
        <charset val="134"/>
      </rPr>
      <t>日取消订单</t>
    </r>
  </si>
  <si>
    <r>
      <rPr>
        <sz val="10"/>
        <rFont val="宋体"/>
        <charset val="0"/>
      </rPr>
      <t>2022/3/28 2021/12/16</t>
    </r>
    <r>
      <rPr>
        <sz val="10"/>
        <rFont val="宋体"/>
        <charset val="134"/>
      </rPr>
      <t>日取消订单</t>
    </r>
  </si>
  <si>
    <r>
      <rPr>
        <sz val="10"/>
        <rFont val="宋体"/>
        <charset val="0"/>
      </rPr>
      <t>2022/4/1 2021/12/16</t>
    </r>
    <r>
      <rPr>
        <sz val="10"/>
        <rFont val="宋体"/>
        <charset val="134"/>
      </rPr>
      <t>日取消订单</t>
    </r>
  </si>
  <si>
    <r>
      <rPr>
        <sz val="10"/>
        <rFont val="宋体"/>
        <charset val="0"/>
      </rPr>
      <t>2022/4/4 2021/12/16</t>
    </r>
    <r>
      <rPr>
        <sz val="10"/>
        <rFont val="宋体"/>
        <charset val="134"/>
      </rPr>
      <t>日取消订单</t>
    </r>
  </si>
  <si>
    <t>Wonderland Toys Inc DBA The Zoofy G</t>
  </si>
  <si>
    <r>
      <rPr>
        <sz val="10"/>
        <rFont val="宋体"/>
        <charset val="0"/>
      </rPr>
      <t>2022/6/10 2021/4/6</t>
    </r>
    <r>
      <rPr>
        <sz val="10"/>
        <rFont val="宋体"/>
        <charset val="134"/>
      </rPr>
      <t>日取消订单</t>
    </r>
  </si>
  <si>
    <r>
      <rPr>
        <sz val="10"/>
        <rFont val="宋体"/>
        <charset val="0"/>
      </rPr>
      <t>2022/6/6 2021/4/6</t>
    </r>
    <r>
      <rPr>
        <sz val="10"/>
        <rFont val="宋体"/>
        <charset val="134"/>
      </rPr>
      <t>日取消订单</t>
    </r>
  </si>
  <si>
    <r>
      <rPr>
        <sz val="10"/>
        <rFont val="宋体"/>
        <charset val="0"/>
      </rPr>
      <t xml:space="preserve">MA 1L UPC </t>
    </r>
    <r>
      <rPr>
        <sz val="10"/>
        <rFont val="宋体"/>
        <charset val="134"/>
      </rPr>
      <t>版本包装</t>
    </r>
  </si>
  <si>
    <t>日期码格式：ZURU 标准格式 日期：按实际生产日期
Remark: 1. 出口美国，MA 1L UPC 版本包装。
2. Zuru QC验货即可。</t>
  </si>
  <si>
    <t>ZURU France</t>
  </si>
  <si>
    <t>25257-S008</t>
  </si>
  <si>
    <t>MA包装+英法说明书</t>
  </si>
  <si>
    <t>日期码格式：DG 20220518 日期：
Remark: 1.法国内销单，Zuru验货后即可出货
2.25257（25251&lt;(&gt;&amp;&lt;)&gt;25252&lt;(&gt;&amp;&lt;)&gt;25253）:MA包装+1张警语回收贴纸，
英法说明书（翻单450006840）
配比信息：Duck/ Crocodile/ Fish=2:1:3</t>
  </si>
  <si>
    <t>0204-8242516-0581</t>
  </si>
  <si>
    <t>25282A-S002</t>
  </si>
  <si>
    <r>
      <rPr>
        <sz val="10"/>
        <rFont val="宋体"/>
        <charset val="0"/>
      </rPr>
      <t>2022/8/23 2022/4/20</t>
    </r>
    <r>
      <rPr>
        <sz val="10"/>
        <rFont val="宋体"/>
        <charset val="134"/>
      </rPr>
      <t>取消订单</t>
    </r>
  </si>
  <si>
    <r>
      <rPr>
        <sz val="10"/>
        <rFont val="宋体"/>
        <charset val="0"/>
      </rPr>
      <t>2022/8/19 2022/4/20</t>
    </r>
    <r>
      <rPr>
        <sz val="10"/>
        <rFont val="宋体"/>
        <charset val="134"/>
      </rPr>
      <t>取消订单</t>
    </r>
  </si>
  <si>
    <t>UPC贴纸</t>
  </si>
  <si>
    <t>MA + UPC 现有版本包装</t>
  </si>
  <si>
    <t>日期码格式：ZURU 标准格式 日期：按实际生产日期
Remark: 1. 25282A:6 pcs/CTN,只出黄色； include 3pcs AAA carbon batteries，MA 1L 包装，DPCI显示204-10-4055，UPC 显示193052005335；
2. 产品和包装上印刷tracking code信息，格式为ZURU常规格式
3. 外箱正唛右上角粘贴条码贴纸，每箱只贴一张，贴纸由ZURU提供，外箱贴内容显示10193052005332。
4. 出货方式：货代自提</t>
  </si>
  <si>
    <t>Holly Zheng/ Cherish Yao</t>
  </si>
  <si>
    <t>0204-3019212-0581</t>
  </si>
  <si>
    <r>
      <rPr>
        <sz val="10"/>
        <rFont val="宋体"/>
        <charset val="0"/>
      </rPr>
      <t>2022/9/6 2022/4/20</t>
    </r>
    <r>
      <rPr>
        <sz val="10"/>
        <rFont val="宋体"/>
        <charset val="134"/>
      </rPr>
      <t>取消订单</t>
    </r>
  </si>
  <si>
    <r>
      <rPr>
        <sz val="10"/>
        <rFont val="宋体"/>
        <charset val="0"/>
      </rPr>
      <t>2022/9/2 2022/4/20</t>
    </r>
    <r>
      <rPr>
        <sz val="10"/>
        <rFont val="宋体"/>
        <charset val="134"/>
      </rPr>
      <t>取消订单</t>
    </r>
  </si>
  <si>
    <t>0204-8195419-0581</t>
  </si>
  <si>
    <r>
      <rPr>
        <sz val="10"/>
        <rFont val="宋体"/>
        <charset val="0"/>
      </rPr>
      <t>2022/8/30 2022/4/20</t>
    </r>
    <r>
      <rPr>
        <sz val="10"/>
        <rFont val="宋体"/>
        <charset val="134"/>
      </rPr>
      <t>取消订单</t>
    </r>
  </si>
  <si>
    <r>
      <rPr>
        <sz val="10"/>
        <rFont val="宋体"/>
        <charset val="0"/>
      </rPr>
      <t>2022/8/26 2022/4/20</t>
    </r>
    <r>
      <rPr>
        <sz val="10"/>
        <rFont val="宋体"/>
        <charset val="134"/>
      </rPr>
      <t>取消订单</t>
    </r>
  </si>
  <si>
    <r>
      <rPr>
        <sz val="10"/>
        <rFont val="宋体"/>
        <charset val="0"/>
      </rPr>
      <t>2022/6/15 2022/5/5</t>
    </r>
    <r>
      <rPr>
        <sz val="10"/>
        <rFont val="宋体"/>
        <charset val="134"/>
      </rPr>
      <t>取消订单</t>
    </r>
  </si>
  <si>
    <r>
      <rPr>
        <sz val="10"/>
        <rFont val="宋体"/>
        <charset val="0"/>
      </rPr>
      <t xml:space="preserve">MA 1L </t>
    </r>
    <r>
      <rPr>
        <sz val="10"/>
        <rFont val="宋体"/>
        <charset val="134"/>
      </rPr>
      <t>包装</t>
    </r>
  </si>
  <si>
    <t>0204-7890836-0581</t>
  </si>
  <si>
    <r>
      <rPr>
        <sz val="10"/>
        <rFont val="宋体"/>
        <charset val="0"/>
      </rPr>
      <t>2022/4/6 2022/1/24</t>
    </r>
    <r>
      <rPr>
        <sz val="10"/>
        <rFont val="宋体"/>
        <charset val="134"/>
      </rPr>
      <t>日取消订单</t>
    </r>
  </si>
  <si>
    <r>
      <rPr>
        <sz val="10"/>
        <rFont val="宋体"/>
        <charset val="134"/>
      </rPr>
      <t>订单</t>
    </r>
    <r>
      <rPr>
        <sz val="10"/>
        <rFont val="宋体"/>
        <charset val="0"/>
      </rPr>
      <t>1/24取消 2022/1/24日取消订单</t>
    </r>
  </si>
  <si>
    <t>日期码格式：ZURU 标准格式 日期：按实际生产日期
Remark: 1. 25282A:6 pcs/CTN,只出黄色； include 3pcs AAA carbon batteries，MA 1L 包装，DPCI显示204-10-4055，UPC 显示193052005335；
2. 产品和包装上印刷tracking code信息，格式为ZURU常规格式
3. 外箱正唛右上角粘贴条码贴纸，每箱只贴一张，贴纸由ZURU提供，外箱贴内容显示10193052005615。外箱贴人工费用$17.95已加在订单上
4. 出货方式：货代自提</t>
  </si>
  <si>
    <t>0204-1667919-0581</t>
  </si>
  <si>
    <r>
      <rPr>
        <sz val="10"/>
        <rFont val="宋体"/>
        <charset val="0"/>
      </rPr>
      <t>2022/3/21 2022/1/24</t>
    </r>
    <r>
      <rPr>
        <sz val="10"/>
        <rFont val="宋体"/>
        <charset val="134"/>
      </rPr>
      <t>日取消订单</t>
    </r>
  </si>
  <si>
    <t>订单1/24取消 2022/1/24日取消订单</t>
  </si>
  <si>
    <t>日期码格式：ZURU 标准格式 日期：按实际生产日期
Remark: 1. 25282A:6 pcs/CTN,只出黄色； include 3pcs AAA carbon batteries，MA 1L 包装，DPCI显示204-10-4055，UPC 显示193052005335；
2. 产品和包装上印刷tracking code信息，格式为ZURU常规格式
3. 外箱正唛右上角粘贴条码贴纸，每箱只贴一张，贴纸由ZURU提供，外箱贴内容显示10193052005615。外箱贴人工费用$11.29已加在订单上
4. 出货方式：货代自提</t>
  </si>
  <si>
    <t>25282D-S004</t>
  </si>
  <si>
    <r>
      <rPr>
        <sz val="10"/>
        <rFont val="宋体"/>
        <charset val="0"/>
      </rPr>
      <t>2022/4/20 2022/2/24</t>
    </r>
    <r>
      <rPr>
        <sz val="10"/>
        <rFont val="宋体"/>
        <charset val="134"/>
      </rPr>
      <t>日取消订单</t>
    </r>
  </si>
  <si>
    <r>
      <rPr>
        <sz val="10"/>
        <rFont val="宋体"/>
        <charset val="0"/>
      </rPr>
      <t>2022/4/16 2022/2/24</t>
    </r>
    <r>
      <rPr>
        <sz val="10"/>
        <rFont val="宋体"/>
        <charset val="134"/>
      </rPr>
      <t>日取消订单</t>
    </r>
  </si>
  <si>
    <t>外箱四面右下角需印Zuru Logo</t>
  </si>
  <si>
    <r>
      <rPr>
        <sz val="10"/>
        <rFont val="宋体"/>
        <charset val="134"/>
      </rPr>
      <t>客版包装</t>
    </r>
    <r>
      <rPr>
        <sz val="10"/>
        <rFont val="宋体"/>
        <charset val="0"/>
      </rPr>
      <t>+MA 1L D</t>
    </r>
    <r>
      <rPr>
        <sz val="10"/>
        <rFont val="宋体"/>
        <charset val="134"/>
      </rPr>
      <t>版说明书</t>
    </r>
  </si>
  <si>
    <t>日期码格式：DGYYYYMMDD (日期避开周末和法定节假日即可） 日期：按实际生产日期
Remark: 
1.25282:MA1L包装+MA1L说明书；25282B:直接用客版包装，不再贴条码；25282D:直接用客版包装，不再贴条码
2.外箱四面右下角需印Zuru Logo+一张白色艾利贴纸+一张粉红色艾利贴纸；请注意外箱上有2张贴纸（1张白色贴纸+1张粉红色贴纸），白色艾利贴纸还是按照以往
的包装操作贴在主唛左前下角；1张粉红色贴纸贴在主唛右下角(对角线位置)，外箱备注："Made in China" 字样
3.此批订单都为散箱出货
4.在产品上和包装上要有日期码、以及要有MADE IN CHINA和ZURU字样
5.此单需要验货，请自行多备包装物料。
6. Include 3pcs AAA carbon batteries;25282A-S004 2pcs/CTN(carton size: 25x22.3x15cm); 5x4x8=160carton=320pcs/Slip Sheet.
7. Include 3pcs AAA carbon batteries;25282B-S004 2pcs/CTN(carton size: 25x22.3x15cm); 5x4x8=160carton=320pcs/Slip Sheet.
8.Include 3pcs AAA carbon batteries;25282D-S004 2pcs/CTN(carton size: 25x22.3x15cm); 5x4x8=160carton=320pcs/Slip Sheet.
9.此单说明书更新为D版!!</t>
  </si>
  <si>
    <t>WM TEAM</t>
  </si>
  <si>
    <t>25282B-S004</t>
  </si>
  <si>
    <t>25282A-S004</t>
  </si>
  <si>
    <r>
      <rPr>
        <sz val="10"/>
        <rFont val="宋体"/>
        <charset val="0"/>
      </rPr>
      <t>2022/4/8 2022/2/24</t>
    </r>
    <r>
      <rPr>
        <sz val="10"/>
        <rFont val="宋体"/>
        <charset val="134"/>
      </rPr>
      <t>日取消订单</t>
    </r>
  </si>
  <si>
    <r>
      <rPr>
        <sz val="10"/>
        <rFont val="宋体"/>
        <charset val="0"/>
      </rPr>
      <t>2022/4/4 2022/2/24</t>
    </r>
    <r>
      <rPr>
        <sz val="10"/>
        <rFont val="宋体"/>
        <charset val="134"/>
      </rPr>
      <t>日取消订单</t>
    </r>
  </si>
  <si>
    <r>
      <rPr>
        <sz val="10"/>
        <rFont val="宋体"/>
        <charset val="0"/>
      </rPr>
      <t>2022/4/18 2022/2/24</t>
    </r>
    <r>
      <rPr>
        <sz val="10"/>
        <rFont val="宋体"/>
        <charset val="134"/>
      </rPr>
      <t>日取消订单</t>
    </r>
  </si>
  <si>
    <r>
      <rPr>
        <sz val="10"/>
        <rFont val="宋体"/>
        <charset val="0"/>
      </rPr>
      <t>2022/4/14 2022/2/24</t>
    </r>
    <r>
      <rPr>
        <sz val="10"/>
        <rFont val="宋体"/>
        <charset val="134"/>
      </rPr>
      <t>日取消订单</t>
    </r>
  </si>
  <si>
    <t>2022/4/18 2022/2/24日取消订单</t>
  </si>
  <si>
    <t>2022/4/14 2022/2/24日取消订单</t>
  </si>
  <si>
    <r>
      <rPr>
        <sz val="10"/>
        <rFont val="宋体"/>
        <charset val="0"/>
      </rPr>
      <t>2022/4/22 2022/2/24</t>
    </r>
    <r>
      <rPr>
        <sz val="10"/>
        <rFont val="宋体"/>
        <charset val="134"/>
      </rPr>
      <t>日取消订单</t>
    </r>
  </si>
  <si>
    <t>日期码格式：DGYYYYMMDD (日期避开周末和法定节假日即可） 日期：按实际生产日期
Remark:1.25282:MA1L包装+MA1L说明书；25282B:直接用客版包装，不再贴条码；25282D:直接用客版包装，不再贴条码
2.外箱四面右下角需印Zuru Logo+一张白色艾利贴纸+一张粉红色艾利贴纸；请注意外箱上有2张贴纸（1张白色贴纸+1张粉红色贴纸），白色艾利贴纸还是按照以往
的包装操作贴在主唛左前下角；1张粉红色贴纸贴在主唛右下角(对角线位置)，外箱备注："Made in China" 字样
3.此批订单都为散箱出货
4.在产品上和包装上要有日期码、以及要有MADE IN CHINA和ZURU字样
5.此单需要验货，请自行多备包装物料。
6. Include 3pcs AAA carbon batteries;25282A-S004 2pcs/CTN(carton size: 25x22.3x15cm); 5x4x8=160carton=320pcs/Slip Sheet.
7. Include 3pcs AAA carbon batteries;25282B-S004 2pcs/CTN(carton size: 25x22.3x15cm); 5x4x8=160carton=320pcs/Slip Sheet.
8.Include 3pcs AAA carbon batteries;25282D-S004 2pcs/CTN(carton size: 25x22.3x15cm); 5x4x8=160carton=320pcs/Slip Sheet.
9.此单说明书更新为D版!!</t>
  </si>
  <si>
    <r>
      <rPr>
        <sz val="10"/>
        <rFont val="宋体"/>
        <charset val="0"/>
      </rPr>
      <t>2022/4/24 2022/2/24</t>
    </r>
    <r>
      <rPr>
        <sz val="10"/>
        <rFont val="宋体"/>
        <charset val="134"/>
      </rPr>
      <t>日取消订单</t>
    </r>
  </si>
  <si>
    <t>日期码格式：DGYYYYMMDD (日期避开周末和法定节假日即可） 日期：按实际生产日期
Remark: 1.25282:MA1L包装+MA1L说明书；25282B:直接用客版包装，不再贴条码；25282D:直接用客版包装，不再贴条码
2.外箱四面右下角需印Zuru Logo+一张白色艾利贴纸+一张粉红色艾利贴纸；请注意外箱上有2张贴纸（1张白色贴纸+1张粉红色贴纸），白色艾利贴纸还是按照以往
的包装操作贴在主唛左前下角；1张粉红色贴纸贴在主唛右下角(对角线位置)，外箱备注："Made in China" 字样
3.此批订单都为散箱出货
4.在产品上和包装上要有日期码、以及要有MADE IN CHINA和ZURU字样
5.此单需要验货，请自行多备包装物料。
6. Include 3pcs AAA carbon batteries;25282A-S004 2pcs/CTN(carton size: 25x22.3x15cm); 5x4x8=160carton=320pcs/Slip Sheet.
7. Include 3pcs AAA carbon batteries;25282B-S004 2pcs/CTN(carton size: 25x22.3x15cm); 5x4x8=160carton=320pcs/Slip Sheet.
8.Include 3pcs AAA carbon batteries;25282D-S004 2pcs/CTN(carton size: 25x22.3x15cm); 5x4x8=160carton=320pcs/Slip Sheet.
9.此单说明书更新为D版!!</t>
  </si>
  <si>
    <r>
      <rPr>
        <sz val="10"/>
        <rFont val="宋体"/>
        <charset val="0"/>
      </rPr>
      <t>2022/4/27 2022/2/24</t>
    </r>
    <r>
      <rPr>
        <sz val="10"/>
        <rFont val="宋体"/>
        <charset val="134"/>
      </rPr>
      <t>日取消订单</t>
    </r>
  </si>
  <si>
    <r>
      <rPr>
        <sz val="10"/>
        <rFont val="宋体"/>
        <charset val="0"/>
      </rPr>
      <t>2022/4/23 2022/2/24</t>
    </r>
    <r>
      <rPr>
        <sz val="10"/>
        <rFont val="宋体"/>
        <charset val="134"/>
      </rPr>
      <t>日取消订单</t>
    </r>
  </si>
  <si>
    <r>
      <rPr>
        <sz val="10"/>
        <rFont val="宋体"/>
        <charset val="0"/>
      </rPr>
      <t>2022/4/28 2022/2/24</t>
    </r>
    <r>
      <rPr>
        <sz val="10"/>
        <rFont val="宋体"/>
        <charset val="134"/>
      </rPr>
      <t>日取消订单</t>
    </r>
  </si>
  <si>
    <r>
      <rPr>
        <sz val="10"/>
        <rFont val="宋体"/>
        <charset val="0"/>
      </rPr>
      <t>2022/4/25 2022/2/24</t>
    </r>
    <r>
      <rPr>
        <sz val="10"/>
        <rFont val="宋体"/>
        <charset val="134"/>
      </rPr>
      <t>日取消订单</t>
    </r>
  </si>
  <si>
    <t>2022/4/28 2022/2/24日取消订单</t>
  </si>
  <si>
    <t>2022/4/25 2022/2/24日取消订单</t>
  </si>
  <si>
    <t>5200000843</t>
  </si>
  <si>
    <r>
      <rPr>
        <sz val="10"/>
        <rFont val="宋体"/>
        <charset val="0"/>
      </rPr>
      <t xml:space="preserve">2022/6/30 2022/6/14 </t>
    </r>
    <r>
      <rPr>
        <sz val="10"/>
        <rFont val="宋体"/>
        <charset val="134"/>
      </rPr>
      <t>取消订单</t>
    </r>
  </si>
  <si>
    <t>2022/6/14 取消订单</t>
  </si>
  <si>
    <t>贴纸返单4500036927</t>
  </si>
  <si>
    <t>日期码格式：ZURU 标准格式 日期：按实际生产日期
Remark: 1.Amazon domestic 订单，外箱加印箱唛 （跟单提供）。出口美国。外箱最长边不能超过25" （超过了，case pack只能为1），不符合要求的大货，一律不接受。
2.无第三方验货/测试要求。
3.日期码使用ZURU标准版本。MA 1L 包装。
25282 MA包装+UPC贴纸后入邮包盒（带印刷），UPC贴纸资料跟返单PO 4500036927，邮包盒图稿跟Amazon UK4500071245新图稿</t>
  </si>
  <si>
    <t>Agnes/Yvonne</t>
  </si>
  <si>
    <r>
      <rPr>
        <sz val="10"/>
        <rFont val="宋体"/>
        <charset val="134"/>
      </rPr>
      <t>藍色鯊魚（单个产品入邮包盒带印刷，</t>
    </r>
    <r>
      <rPr>
        <sz val="10"/>
        <rFont val="宋体"/>
        <charset val="0"/>
      </rPr>
      <t>6</t>
    </r>
    <r>
      <rPr>
        <sz val="10"/>
        <rFont val="宋体"/>
        <charset val="134"/>
      </rPr>
      <t>个装）</t>
    </r>
  </si>
  <si>
    <t>2022/6/30 2022/6/14 取消订单</t>
  </si>
  <si>
    <t>25282A-S005</t>
  </si>
  <si>
    <r>
      <rPr>
        <sz val="10"/>
        <rFont val="宋体"/>
        <charset val="134"/>
      </rPr>
      <t>黃色鯊魚（单个产品入邮包盒，</t>
    </r>
    <r>
      <rPr>
        <sz val="10"/>
        <rFont val="宋体"/>
        <charset val="0"/>
      </rPr>
      <t>6个装）</t>
    </r>
  </si>
  <si>
    <t>BIG LOTS STORES, INC</t>
  </si>
  <si>
    <t>25282-S005</t>
  </si>
  <si>
    <r>
      <rPr>
        <sz val="10"/>
        <rFont val="宋体"/>
        <charset val="0"/>
      </rPr>
      <t>2022/6/13 2022/6/16</t>
    </r>
    <r>
      <rPr>
        <sz val="10"/>
        <rFont val="宋体"/>
        <charset val="134"/>
      </rPr>
      <t>取消订单</t>
    </r>
  </si>
  <si>
    <r>
      <rPr>
        <sz val="10"/>
        <rFont val="宋体"/>
        <charset val="0"/>
      </rPr>
      <t>2022/6/9 2022/6/16</t>
    </r>
    <r>
      <rPr>
        <sz val="10"/>
        <rFont val="宋体"/>
        <charset val="134"/>
      </rPr>
      <t>取消订单</t>
    </r>
  </si>
  <si>
    <t>成品已消耗</t>
  </si>
  <si>
    <t>MA + UPC 版本包装</t>
  </si>
  <si>
    <t>日期码格式：ZURU 标准格式 日期：按实际生产日期
Remark: 1. MA UPC包装 +价格贴纸；
2. 价格贴纸由跟单这边提供文档，由工厂采购；防盗贴由跟单采购寄去工厂；
3. 此单要求2022年6月13日100%完成，工厂需保证BPA测试结果不超过100ppm，大货生产超过20%，需安排ITS到厂进行抽版测试；
4. 产品和包装上印刷ZURU 标准日期码；
5. 需要准备样品如下： 大货样 3pcs/item，包装需完全跟大货出货的标准一致。</t>
  </si>
  <si>
    <t>Camellia Lyu</t>
  </si>
  <si>
    <r>
      <rPr>
        <sz val="10"/>
        <rFont val="宋体"/>
        <charset val="0"/>
      </rPr>
      <t>2022/6/27 2022/6/16</t>
    </r>
    <r>
      <rPr>
        <sz val="10"/>
        <rFont val="宋体"/>
        <charset val="134"/>
      </rPr>
      <t>取消订单</t>
    </r>
  </si>
  <si>
    <r>
      <rPr>
        <sz val="10"/>
        <rFont val="宋体"/>
        <charset val="0"/>
      </rPr>
      <t xml:space="preserve">MA + UPC </t>
    </r>
    <r>
      <rPr>
        <sz val="10"/>
        <rFont val="宋体"/>
        <charset val="134"/>
      </rPr>
      <t>版本包装</t>
    </r>
  </si>
  <si>
    <t>FUN TIME ENTERPRISES</t>
  </si>
  <si>
    <t>ZUR-F220209-03</t>
  </si>
  <si>
    <r>
      <rPr>
        <sz val="10"/>
        <rFont val="宋体"/>
        <charset val="0"/>
      </rPr>
      <t>2022/7/25 2022/7/18</t>
    </r>
    <r>
      <rPr>
        <sz val="10"/>
        <rFont val="宋体"/>
        <charset val="134"/>
      </rPr>
      <t>取消订单</t>
    </r>
  </si>
  <si>
    <t>2022/7/22 2022/7/18取消订单</t>
  </si>
  <si>
    <t>日期码格式：ZURU 标准格式 日期：按实际生产日期
Remark: 1. MA PKG, 优先MA 1L
2. 25282：Baby Shark(yellow)/ Mummy Shark(pink)/ Daddy Shark(blue) =1:1:1; include 3pcs AAA carbon batteries;</t>
  </si>
  <si>
    <r>
      <rPr>
        <sz val="10"/>
        <rFont val="宋体"/>
        <charset val="0"/>
      </rPr>
      <t>2022/10/10 2022/ 7/20</t>
    </r>
    <r>
      <rPr>
        <sz val="10"/>
        <rFont val="宋体"/>
        <charset val="134"/>
      </rPr>
      <t>取消订单</t>
    </r>
  </si>
  <si>
    <r>
      <rPr>
        <sz val="10"/>
        <rFont val="宋体"/>
        <charset val="0"/>
      </rPr>
      <t>2022/10/6 2022/ 7/20</t>
    </r>
    <r>
      <rPr>
        <sz val="10"/>
        <rFont val="宋体"/>
        <charset val="134"/>
      </rPr>
      <t>取消订单</t>
    </r>
  </si>
  <si>
    <t>日期码格式：ZURU 标准格式 日期：按实际生产日期
Remark: 1.ZURU MA + UPC 现有版本包装 + 客供价格贴纸，出口美国。
2.价格贴纸位于包装正面右下角，不挡住重要信息即可，可适当调整
，价格贴纸由跟单提供。
3.标准日期码格式，产品和包装必须有日期码，所有日期码必须一致(但日期不可为周末)。
4.同个产品同个货期不可出现不同的包装。
5.包装版本： ZURU现有 MA + UPC 版本。</t>
  </si>
  <si>
    <t>31P72CJB</t>
  </si>
  <si>
    <r>
      <rPr>
        <sz val="10"/>
        <rFont val="宋体"/>
        <charset val="0"/>
      </rPr>
      <t>2022/12/7 2022/10/11</t>
    </r>
    <r>
      <rPr>
        <sz val="10"/>
        <rFont val="宋体"/>
        <charset val="134"/>
      </rPr>
      <t>取消订单</t>
    </r>
  </si>
  <si>
    <r>
      <rPr>
        <sz val="10"/>
        <rFont val="宋体"/>
        <charset val="0"/>
      </rPr>
      <t>2022/12/3 2022/10/11</t>
    </r>
    <r>
      <rPr>
        <sz val="10"/>
        <rFont val="宋体"/>
        <charset val="134"/>
      </rPr>
      <t>取消订单</t>
    </r>
  </si>
  <si>
    <t xml:space="preserve">空白外箱正面印ZURU Logo+SSCC LABEL（客供贴纸), 侧面印MADE IN CHINA+carton size(以工厂实际尺寸为准,单位: inch) </t>
  </si>
  <si>
    <t>欠外箱贴</t>
  </si>
  <si>
    <t>ZURU MA包装1L</t>
  </si>
  <si>
    <t>日期码格式：ZURU 标准格式 日期：按实际生产日期
Packaging Info:
Remark: 1.Amazon FOB订单，出口US。外箱最长边不能超过25" （超过了，case pack只能为1），不符合要求的大货，一律不接受。
2. 空白外箱正面印ZURU Logo+SSCC LABEL（客供贴纸), 侧面印MADE IN CHINA+carton size(以工厂实际尺寸为准,单位: inch) ,无shipping mark，日期使用ZURU
标准版本 SSCC Label 显示的是客人自己的item#, SSCC Label 贴在外箱正面的正中间，贴一面即可，跟单订购，贴纸离外箱距必须至少3cm, 每一张SSCC label
都是唯一且有不同流水及条码的，没有损耗，绝对不可贴错 ，否则贴错或损坏一张会导致全部都错，千万要注意.
3.ZURU MA包装1L。
邮包盒上要打上日期码
25282 MA入邮包盒， 邮包盒图稿跟Amazon UK4500071245新图稿</t>
  </si>
  <si>
    <t>25282-2022-S001</t>
  </si>
  <si>
    <r>
      <rPr>
        <sz val="10"/>
        <rFont val="宋体"/>
        <charset val="0"/>
      </rPr>
      <t>2022/10/31 2022/11/3</t>
    </r>
    <r>
      <rPr>
        <sz val="10"/>
        <rFont val="宋体"/>
        <charset val="134"/>
      </rPr>
      <t>取消订单</t>
    </r>
  </si>
  <si>
    <r>
      <rPr>
        <sz val="10"/>
        <rFont val="宋体"/>
        <charset val="0"/>
      </rPr>
      <t>2022/11/9 2022/11/3</t>
    </r>
    <r>
      <rPr>
        <sz val="10"/>
        <rFont val="宋体"/>
        <charset val="134"/>
      </rPr>
      <t>取消订单</t>
    </r>
  </si>
  <si>
    <t>MA彩卡UPC版本</t>
  </si>
  <si>
    <t>日期码格式：ZURU 标准格式 日期：按实际生产日期
Packaging Info: 1.25282 MA彩卡UPC版本（首先1L，如果无1L可用多语含英语）+箱唛+箱唛贴纸(1PCS/CTN)，包装材质为PET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
3.外箱材质要求K=B；
4.此单需使用KMART封箱胶上下工字型封箱;从2019年6月开始，要用KMART 新版封箱胶带，此单要用"ANKO"封箱胶带
5.此单出口澳大利亚，请按相应的澳新标准生产；
6.产品和包装上生产批号的显示格式ZURU标准日期码格式
7.MA彩卡UPC版本（首先1L，如果无1L可用多语含英语）+箱唛+箱唛贴纸(1PCS/CTN)，包装材质为PET
10.RATIO:
25282:Baby Shark(yellow)/ Mummy Shark(pink)/ Daddy Shark(blue) =1:1:1; include 3pcs AAA carbon batteries</t>
  </si>
  <si>
    <t>Sara Wang</t>
  </si>
  <si>
    <t>鑫威生产</t>
  </si>
  <si>
    <t>新</t>
  </si>
  <si>
    <t>剩余34</t>
  </si>
  <si>
    <r>
      <rPr>
        <sz val="10"/>
        <rFont val="宋体"/>
        <charset val="0"/>
      </rPr>
      <t>2021/11/25 2022/1/6</t>
    </r>
    <r>
      <rPr>
        <sz val="10"/>
        <rFont val="宋体"/>
        <charset val="134"/>
      </rPr>
      <t>日取消 重复订单</t>
    </r>
  </si>
  <si>
    <r>
      <rPr>
        <sz val="10"/>
        <rFont val="宋体"/>
        <charset val="0"/>
      </rPr>
      <t>2021/12/8  2022/1/6</t>
    </r>
    <r>
      <rPr>
        <sz val="10"/>
        <rFont val="宋体"/>
        <charset val="134"/>
      </rPr>
      <t>日取消</t>
    </r>
    <r>
      <rPr>
        <sz val="10"/>
        <rFont val="宋体"/>
        <charset val="0"/>
      </rPr>
      <t xml:space="preserve"> </t>
    </r>
    <r>
      <rPr>
        <sz val="10"/>
        <rFont val="宋体"/>
        <charset val="134"/>
      </rPr>
      <t>重复订单</t>
    </r>
  </si>
  <si>
    <t>12/22 SI</t>
  </si>
  <si>
    <t>10/25资料</t>
  </si>
  <si>
    <t>MA +UPC 包装</t>
  </si>
  <si>
    <t>日期码格式： ZURU 标准格式 日期： 按实际生产日期
Remark: 1. ZURU标准 MA UPC 版本，出口美国。
2. 产品和包装上印刷tracking code信息，格式为ZURU常规格式。
3. 分5个DC出货，每款产品每个DC的箱唛资料不同。具体分DC数，量请参考后面行项目备注。
4. ZURU QC验货。</t>
  </si>
  <si>
    <t>Angela / Emily Wu</t>
  </si>
  <si>
    <t>23RDYW4P</t>
  </si>
  <si>
    <t>9/20取消订单</t>
  </si>
  <si>
    <t>欠邮包盒资料</t>
  </si>
  <si>
    <t>日期码格式：ZURU 标准格式 日期：按实际生产日期
Packaging Info:
Remark: 1.Amazon FOB订单，出口US，走散货，送到深圳保税区仓库。外箱最长边不能超过25" （超过了，case pack只能为1），不符合要求的大货，一律不接受。
2. 空白外箱加印ZURU Logo+MADE IN CHINA+SSCC LABEL（客供贴纸）,无shipping mark，日期使用ZURU 标准版本 SSCC Label 显示的是客人自己的item#, SSCC La
bel 贴在外箱正面的正中间，贴一面即可，跟单订购，贴纸离外箱距必须至少3cm, 每一张SSCC label 都是唯一且有不同流水及条码的，没有损耗，绝对不可贴错
，否则贴错或损坏一张会导致全部都错，千万要注意.
3.ZURU MA包装1L。
25252 MA入邮包盒， 跟单重新提供邮包盒图稿。</t>
  </si>
  <si>
    <t xml:space="preserve"> 
1328827695</t>
  </si>
  <si>
    <t>7175BSLB-S001</t>
  </si>
  <si>
    <t>黄色小鲨鱼+蓝色小鲨鱼展示架</t>
  </si>
  <si>
    <t>12/7 取消订单</t>
  </si>
  <si>
    <t>日期码格式：DGYYYYMMDD(日期避开周末和法定节假日) 日期：按实际生产日期
Packaging Info: 1.包装方式：
7175B: 客版包装 （彩盒+说明书） 翻单：4500085853
Remark: 2. 此单走SLIP SHEET，外箱印刷RFID箱唛（需四面右下角有ZURU的Logo以及"Made in China" 字样)。
外箱正唛不再贴艾利贴纸，由Slip sheet印刷箱唛代替。
SLIP SHEET上贴艾利贴纸+普通贴纸（普通贴纸可用A4纸打印，尺寸不可比艾利贴纸小），普通贴纸见附件。
4. Include 6pcs LR44 batteries；7175B-S001 4pcs/CTN(carton size: 26x15x22cm), 32x5H=160carton=640pcs/Slip Sheet
5. 在产品上和包装上要有日期码、以及要有MADE IN CHINA和ZURU字样
6. 此单需要验货，请自行多备包装物料。
7.每PCS要加RFID 贴纸，严格按照我们提供的位置图，不可擅自调整位置，贴纸也不可有任何破损或折坏，不可淋湿!!</t>
  </si>
  <si>
    <t>Nikki</t>
  </si>
  <si>
    <t>黄色小鲨鱼+蓝色小鲨鱼</t>
  </si>
  <si>
    <r>
      <rPr>
        <sz val="10"/>
        <rFont val="宋体"/>
        <charset val="134"/>
      </rPr>
      <t>外箱印刷</t>
    </r>
    <r>
      <rPr>
        <sz val="10"/>
        <rFont val="宋体"/>
        <charset val="0"/>
      </rPr>
      <t>RFID</t>
    </r>
    <r>
      <rPr>
        <sz val="10"/>
        <rFont val="宋体"/>
        <charset val="134"/>
      </rPr>
      <t>箱唛（需四面右下角有</t>
    </r>
    <r>
      <rPr>
        <sz val="10"/>
        <rFont val="宋体"/>
        <charset val="0"/>
      </rPr>
      <t>ZURU</t>
    </r>
    <r>
      <rPr>
        <sz val="10"/>
        <rFont val="宋体"/>
        <charset val="134"/>
      </rPr>
      <t>的</t>
    </r>
    <r>
      <rPr>
        <sz val="10"/>
        <rFont val="宋体"/>
        <charset val="0"/>
      </rPr>
      <t>Logo</t>
    </r>
    <r>
      <rPr>
        <sz val="10"/>
        <rFont val="宋体"/>
        <charset val="134"/>
      </rPr>
      <t>以及</t>
    </r>
    <r>
      <rPr>
        <sz val="10"/>
        <rFont val="宋体"/>
        <charset val="0"/>
      </rPr>
      <t xml:space="preserve">"Made in China" </t>
    </r>
    <r>
      <rPr>
        <sz val="10"/>
        <rFont val="宋体"/>
        <charset val="134"/>
      </rPr>
      <t>字样</t>
    </r>
    <r>
      <rPr>
        <sz val="10"/>
        <rFont val="宋体"/>
        <charset val="0"/>
      </rPr>
      <t>)</t>
    </r>
    <r>
      <rPr>
        <sz val="10"/>
        <rFont val="宋体"/>
        <charset val="134"/>
      </rPr>
      <t>。</t>
    </r>
  </si>
  <si>
    <t>11/23收到艾利贴纸+FRID贴纸+普通贴纸</t>
  </si>
  <si>
    <t>客版包装 （彩盒+说明书） 翻单：4500085853</t>
  </si>
  <si>
    <t>7175ASLB-S001</t>
  </si>
  <si>
    <t>黄色小鲨鱼+粉色小鲨鱼展示架</t>
  </si>
  <si>
    <t>日期码格式：DGYYYYMMDD(日期避开周末和法定节假日) 日期：按实际生产日期
Packaging Info: 1.包装方式：
7175A: 客版包装 （彩盒+说明书） 翻单：4500085853
Remark: 2. 此单走SLIP SHEET，外箱印刷RFID箱唛（需四面右下角有ZURU的Logo以及"Made in China" 字样)。
外箱正唛不再贴艾利贴纸，由Slip sheet印刷箱唛代替。
SLIP SHEET上贴艾利贴纸+普通贴纸（普通贴纸可用A4纸打印，尺寸不可比艾利贴纸小），普通贴纸见附件。
3. Include 6pcs LR44 batteries; 7175A-S001 4pcs/CTN(carton size: 26x15x22cm), 32x5H=160carton=640pcs/Slip Sheet
5. 在产品上和包装上要有日期码、以及要有MADE IN CHINA和ZURU字样
6. 此单需要验货，请自行多备包装物料。
7.每PCS要加RFID 贴纸，严格按照我们提供的位置图，不可擅自调整位置，贴纸也不可有任何破损或折坏，不可淋湿!!</t>
  </si>
  <si>
    <t>黄色小鲨鱼+粉色小鲨鱼</t>
  </si>
  <si>
    <t xml:space="preserve"> 
1328827693</t>
  </si>
  <si>
    <t>欠艾利贴纸+FRID贴纸+普通贴纸</t>
  </si>
  <si>
    <t xml:space="preserve"> 
1328827684</t>
  </si>
  <si>
    <t>取消订单（消耗4500091868）</t>
  </si>
  <si>
    <r>
      <rPr>
        <sz val="10"/>
        <rFont val="宋体"/>
        <charset val="0"/>
      </rPr>
      <t>12/14</t>
    </r>
    <r>
      <rPr>
        <sz val="10"/>
        <rFont val="宋体"/>
        <charset val="134"/>
      </rPr>
      <t>取消订单</t>
    </r>
  </si>
  <si>
    <t>10/31收到</t>
  </si>
  <si>
    <t>11/9EAN条码+警告语贴纸</t>
  </si>
  <si>
    <t>MA包装+11/12提供客版说明书-PET吸塑底托</t>
  </si>
  <si>
    <t>日期码格式：ZURU 标准格式 日期：按实际生产日期
Packaging Info:
25252：MA包装+客版说明书+警告语贴纸(带EAN条码)
Remark: 1. 包装如含PVC,请改为PET，工厂请提出；
贴球面的客版贴纸工厂需要订购合成纸贴纸
2. 产品要求无硼无香
3. 款号- 产品EAN条码-外箱GTIN
25252-6946441304380-10845218016422
4. 产品信息：
25252：include 3pcs AAA battery</t>
  </si>
  <si>
    <t>日期码格式：ZURU 标准格式 日期：按实际生产日期
Packaging Info:
25251：MA包装+客版说明书+警告语贴纸(带EAN条码)
Remark: 1. 包装如含PVC,请改为PET，工厂请提出；
贴球面的客版贴纸工厂需要订购合成纸贴纸
2. 产品要求无硼无香
3. 款号- 产品EAN条码-外箱GTIN
25251-6946441304373-10845218016415
4. 产品信息：
25251：include 3pcs AAA battery;</t>
  </si>
  <si>
    <t>取消订单（消耗在4500090000）</t>
  </si>
  <si>
    <t>日期码格式：ZURU 标准格式 日期：按实际生产日期
Packaging Info:
25253：MA包装+客版说明书+警告语贴纸(带EAN条码)
Remark: 1. 包装如含PVC,请改为PET，工厂请提出；
贴球面的客版贴纸工厂需要订购合成纸贴纸
2. 产品要求无硼无香
3. 款号- 产品EAN条码-外箱GTIN
25253-6946441304397-10845218016439
4. 产品信息：
25253：include 3pcs AAA battery</t>
  </si>
  <si>
    <t>取消订单消耗在（4500091868）</t>
  </si>
  <si>
    <t>日期码格式：ZURU 标准格式 日期：按实际生产日期
Packaging Info:
25257：MA包装+客版说明书+警告语贴纸(带EAN条码)
Remark: 1. 包装如含PVC,请改为PET，工厂请提出；
贴球面的客版贴纸工厂需要订购合成纸贴纸
2. 产品要求无硼无香
3. 款号- 产品EAN条码-外箱GTIN
25257-6946441305844-10845218017603
4. 产品信息：
25257：include 3pcs AAA battery; Duck/ Crocodile/ Fish=2:2:2;If need motherEAN:6946441305844,mother UPC:845218017606</t>
  </si>
  <si>
    <t>系统过度</t>
  </si>
  <si>
    <t>7163TQ1-S004</t>
  </si>
  <si>
    <t>取消订单消耗在（4500092387）</t>
  </si>
  <si>
    <t>11/9EAN条码+黑白警语小册子</t>
  </si>
  <si>
    <t>MA包装+MA说明书</t>
  </si>
  <si>
    <t>日期码格式：ZURU 标准格式 日期：按实际生产日期
Packaging Info:
7163TQ1：MA包装+MA说明书+EAN条码+黑白警语小册子
Remark: 1. 包装如含PVC,请改为PET，工厂请提出；
贴球面的客版贴纸工厂需要订购合成纸贴纸
2. 产品要求无硼无香
3. 款号- 产品EAN条码-外箱GTIN
7163TQ1-4894680020269-10193052035322
4. 产品信息：
7163TQ1：Packaging:open box + blister tray, No "TRY ME" function; include 3x LR44batteries; 3 assortment;</t>
  </si>
  <si>
    <t>取消订单（3/16转PO)</t>
  </si>
  <si>
    <t>欠EAN贴纸+客版（警告语）贴纸</t>
  </si>
  <si>
    <r>
      <rPr>
        <sz val="10"/>
        <rFont val="宋体"/>
        <charset val="0"/>
      </rPr>
      <t>MA 1L</t>
    </r>
    <r>
      <rPr>
        <sz val="10"/>
        <rFont val="宋体"/>
        <charset val="134"/>
      </rPr>
      <t>包装</t>
    </r>
    <r>
      <rPr>
        <sz val="10"/>
        <rFont val="宋体"/>
        <charset val="0"/>
      </rPr>
      <t>+</t>
    </r>
    <r>
      <rPr>
        <sz val="10"/>
        <rFont val="宋体"/>
        <charset val="134"/>
      </rPr>
      <t>客版说明书</t>
    </r>
    <r>
      <rPr>
        <sz val="10"/>
        <rFont val="宋体"/>
        <charset val="0"/>
      </rPr>
      <t>(</t>
    </r>
    <r>
      <rPr>
        <sz val="10"/>
        <rFont val="宋体"/>
        <charset val="134"/>
      </rPr>
      <t>翻单</t>
    </r>
    <r>
      <rPr>
        <sz val="10"/>
        <rFont val="宋体"/>
        <charset val="0"/>
      </rPr>
      <t>4500073987</t>
    </r>
    <r>
      <rPr>
        <sz val="10"/>
        <rFont val="宋体"/>
        <charset val="134"/>
      </rPr>
      <t>）+MA A版PDQ</t>
    </r>
  </si>
  <si>
    <t>日期码格式：ZURU 标准格式 日期：按实际生产日期
Packaging Info:
7163TQ1:MA 1L包装+客版说明书(翻单4500073987）+MA A版PDQ+EAN贴纸+客版（警告语）贴纸
4. 产品信息：
7163TQ1:Packaging:open box + blister tray, No "TRY ME" function; include 3x LR44batteries; 3 assortment;
5.此单有客人客验，请多备料。
6.出货前需寄3-4套大货样给客人签样。
7.客人需要大货样1pcs，请在4/21前寄到深圳办公室Luna签收</t>
  </si>
  <si>
    <r>
      <rPr>
        <sz val="10"/>
        <rFont val="宋体"/>
        <charset val="0"/>
      </rPr>
      <t>2023/4/17 2023/3/21</t>
    </r>
    <r>
      <rPr>
        <sz val="10"/>
        <rFont val="宋体"/>
        <charset val="134"/>
      </rPr>
      <t>取消订单</t>
    </r>
  </si>
  <si>
    <r>
      <rPr>
        <sz val="10"/>
        <rFont val="宋体"/>
        <charset val="0"/>
      </rPr>
      <t>2023/4/13 2023/3/21</t>
    </r>
    <r>
      <rPr>
        <sz val="10"/>
        <rFont val="宋体"/>
        <charset val="134"/>
      </rPr>
      <t>取消订单</t>
    </r>
  </si>
  <si>
    <t>日期码格式：ZURU 标准格式 日期：按实际生产日期
Packaging Info: 1.ZURU MA UPC 现有版本包装 + 客供价格贴纸，出口美国。
Remark: 1.ZURU MA UPC 现有版本包装 + 客供价格贴纸，出口美国。
2.价格贴纸位于包装正面右下角，不挡住重要信息即可，可适当调整
，价格贴纸由跟单提供。
3.标准日期码格式，产品和包装必须有日期码，所有日期码必须一致(但日期不可为周末)。
4.同个产品同个货期不可出现不同的包装。</t>
  </si>
  <si>
    <t>Maggie Ruan</t>
  </si>
  <si>
    <t>CRACKER BARREL</t>
  </si>
  <si>
    <t>25282-2022-S004</t>
  </si>
  <si>
    <r>
      <rPr>
        <sz val="10"/>
        <rFont val="宋体"/>
        <charset val="0"/>
      </rPr>
      <t>2023/5/9 2023/5/12</t>
    </r>
    <r>
      <rPr>
        <sz val="10"/>
        <rFont val="宋体"/>
        <charset val="134"/>
      </rPr>
      <t>取消订单</t>
    </r>
  </si>
  <si>
    <r>
      <rPr>
        <sz val="10"/>
        <rFont val="宋体"/>
        <charset val="0"/>
      </rPr>
      <t>2023/5/5 2023/5/12</t>
    </r>
    <r>
      <rPr>
        <sz val="10"/>
        <rFont val="宋体"/>
        <charset val="134"/>
      </rPr>
      <t>取消订单</t>
    </r>
  </si>
  <si>
    <t>5/10抽办</t>
  </si>
  <si>
    <t>此单成品已消耗剩余纸箱</t>
  </si>
  <si>
    <t>翻单4500069233</t>
  </si>
  <si>
    <t>ZURU标准MA包装(1L）</t>
  </si>
  <si>
    <t>日期码格式：ZURU 标准格式 日期：按实际生产日期
Packaging Info: 1.ZURU标准MA包装(1L）+ 客版贴纸（#25282-2022-S004贴纸翻单4500069233), 工厂自行订购
2.产品及包装上都要有日期码，日期码是一致的（但不能为周末)，格式为ZURU标准格式
Remark: 1.配比：
#25282-2022-S004-ROBO ALIVE JUNIOR-BABY SHARK-SERIES 1 Swimming Shark,Bulk,6pcs,No Inner,STD Color Assortment; SILICONE TOP FIN; Baby Shark(yell
ow)/ Mummy Shark(pink)/ Daddy Shark(blue) =1:1:1; include 3pcs AAA carbon batteries;
2.#25282因测试报告已到期, 需重新安排做第三方测试, 请在2023年5月9日前完成25%大货，5月10日早上进行ITS的25%大货抽样验货。100%大货可以在2023年5月17
日之前完成。收到PASS的测试报告后，才可安排入仓出货
25%抽样由客人指定的第三方ITS进行，现场在大货中抽样，具体要求如下面A,B,C
,D所列：
A.样板抽取12pcs/色（带包装，大货中抽取）。
B.产品上有涂层的，每种涂层需要提供两张A4大小喷满同种油漆的底材（油漆喷厚一些避免用料不够，否则需客批才能另外补料给实验室）。
C.如有液体材料，每种需提供50ml。
D.抽样前一天会将测式申请表发出，需打印出来随抽样一起寄给ITS。</t>
  </si>
  <si>
    <t>7F9PRCVY</t>
  </si>
  <si>
    <t>25285-2022-S002</t>
  </si>
  <si>
    <t>生产待定</t>
  </si>
  <si>
    <t>欠邮包盒图稿</t>
  </si>
  <si>
    <t>3PK 25282-2022 MA 3L入邮包盒</t>
  </si>
  <si>
    <t>日期码格式：ZURU INC(BVI) 标准格式 日期：按实际生产日期
Packaging Info: 出CA一定要有英法2L, 无硼版，否则不能出货。
25285： 3PK 25282-2022 MA 3L入邮包盒， 邮包盒图稿跟单提供。
Remark: 1.Amazon FOB订单，出口CA。外箱最长边不能超过25"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邮包盒要打日期码
4.按照客户PO# 装柜/箱号顺序装柜，跟单会提前给到装柜计划。请大货生产/仓库存放时留意，以便装柜时不混乱（装错/装漏/找不到货号）</t>
  </si>
  <si>
    <t>日期码格式：ZURU INC(BVI) 标准格式 日期：按实际生产日期
Packaging Info: 出CA一定要有英法2L, 无硼版，否则不能出货。
71109 产品直接入D款彩盒+MA说明书， 彩盒图稿跟PO 4500092593。(D款UPC: 193052005519) A/B款彩盒另外加UPC贴纸和内含物贴纸， A:193052019066 , B: 193052005502， UPC贴纸图稿跟4500090792。内含物贴纸图稿跟返单4500088995.
25285： 3PK 25282-2022 MA 3L入邮包盒， 邮包盒图稿跟单提供。
Remark: 1.Amazon FOB订单，出口CA。外箱最长边不能超过25"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邮包盒要打日期码
4.按照客户PO# 装柜/箱号顺序装柜，跟单会提前给到装柜计划。请大货生产/仓库存放时留意，以便装柜时不混乱（装错/装漏/找不到货号）</t>
  </si>
  <si>
    <t>IMPERIAL DISTRIBUTOR</t>
  </si>
  <si>
    <t>6/7取消订单</t>
  </si>
  <si>
    <t>5/17收到</t>
  </si>
  <si>
    <r>
      <rPr>
        <sz val="10"/>
        <rFont val="宋体"/>
        <charset val="0"/>
      </rPr>
      <t xml:space="preserve"> ZURU MA UPC </t>
    </r>
    <r>
      <rPr>
        <sz val="10"/>
        <rFont val="宋体"/>
        <charset val="134"/>
      </rPr>
      <t>优先</t>
    </r>
    <r>
      <rPr>
        <sz val="10"/>
        <rFont val="宋体"/>
        <charset val="0"/>
      </rPr>
      <t>1L</t>
    </r>
  </si>
  <si>
    <t>日期码格式：ZURU INC(BVI) 标准格式 日期：按实际生产日期
Packaging Info: 1. ZURU MA UPC 优先1L 最新包装, 出口美国
2. 产品和包装需有日期码, ZURU标准日期码格式, 按照实际生产自行调整日期,但不能为周末,日期保持一致。
Remark: 1. ZURU MA UPC 优先1L 最新包装, 出口美国
2. 产品和包装需有日期码, ZURU标准日期码格式, 按照实际生产自行调整日期,但不能为周末,日期保持一致。
3. 大货配比：
#7163TQ1-S002-ROBO ALIVE JUNIOR-ROBOTIC-SERIES 1 Mini Baby Shark,2Facing6pcs/PDQ,24pcs/CTN,No Inner,STD Color Assortment
Packaging:open box + blister tray, No "TRY ME" function; include 3x LR44 batteries; 3 assortment;
GTIN: 10193052035322</t>
  </si>
  <si>
    <t>6DYFRXTI</t>
  </si>
  <si>
    <t>6/8取消订单</t>
  </si>
  <si>
    <t>外箱正面印ZURU Logo 侧面印item#（订单上显示的SKU#)+carton size(以工厂实际尺寸为准,单位: inch) +MADE IN CHINA,</t>
  </si>
  <si>
    <t>ZURU MA 1L</t>
  </si>
  <si>
    <t>71109A-S001</t>
  </si>
  <si>
    <t>外箱正面印ZURU Logo+SSCC LABEL（客供贴纸), 侧面印item#（订单上显示的SKU#)+carton size(以工厂实际尺寸为准,单位: inch) +MADE IN CHINA</t>
  </si>
  <si>
    <t>客版彩盒（4500092593）+MA说明书</t>
  </si>
  <si>
    <t>日期码格式：ZURU INC(BVI) 标准格式 日期：按实际生产日期
Packaging Info: ZURU MA 1L
71109 产品直接入D款彩盒+MA说明书， 彩盒图稿跟PO 4500092593。(D款UPC: 193052005519) A/B款彩盒另外加UPC贴纸和内含物贴纸， A:193052019066 , B: 1930
52005502， UPC贴纸图稿跟4500090792。内含物贴纸图稿跟返单4500088995.
Remark: 1.Amazon FOB订单，出口US。外箱最长边不能超过25"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邮包盒上要打日期码
4.按照客户PO# 装柜/箱号顺序装柜，跟单会提前给到装柜计划。请大货生产/仓库存放时留意，以便装柜时不混乱（装错/装漏/找不到货号）</t>
  </si>
  <si>
    <r>
      <rPr>
        <sz val="10"/>
        <rFont val="宋体"/>
        <charset val="0"/>
      </rPr>
      <t>2023/6/21 2023/6/3</t>
    </r>
    <r>
      <rPr>
        <sz val="10"/>
        <rFont val="宋体"/>
        <charset val="134"/>
      </rPr>
      <t>取消订单</t>
    </r>
  </si>
  <si>
    <r>
      <rPr>
        <sz val="10"/>
        <rFont val="宋体"/>
        <charset val="0"/>
      </rPr>
      <t>2023/6/17 2023/6/3</t>
    </r>
    <r>
      <rPr>
        <sz val="10"/>
        <rFont val="宋体"/>
        <charset val="134"/>
      </rPr>
      <t>取消订单</t>
    </r>
  </si>
  <si>
    <t>欠外箱贴+UPC贴纸+内容物贴</t>
  </si>
  <si>
    <t>日期码格式：ZURU INC(BVI) 标准格式 日期：按实际生产日期
Packaging Info: ZURU MA 1L
71109 产品直接入D款彩盒+MA说明书， 彩盒图稿跟PO 4500092593。(D款UPC: 193052005519) A/B款彩盒另外加UPC贴纸和内含物贴纸， A:193052019066 , B: 193052005502， UPC贴纸图稿跟4500090792。内含物贴纸图稿跟返单4500088995.
Remark: 1.Amazon FOB订单，出口US。外箱最长边不能超过25"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邮包盒上要打日期码
4.按照客户PO# 装柜/箱号顺序装柜，跟单会提前给到装柜计划。请大货生产/仓库存放时留意，以便装柜时不混乱（装错/装漏/找不到货号）</t>
  </si>
  <si>
    <t>8Z45NKRX</t>
  </si>
  <si>
    <t>2023/6/21 2023/6/3取消订单</t>
  </si>
  <si>
    <t>2023/6/17 2023/6/3取消订单</t>
  </si>
  <si>
    <t>图稿跟翻单4500103924</t>
  </si>
  <si>
    <t>日期码格式：ZURU INC(BVI) 标准格式 日期：按实际生产日期
Packaging Info: ZURU MA 1L
25285：3pcs的25282入邮包盒（带印刷），图稿跟翻单4500103924
Remark: 1.Amazon FOB订单，出口US。外箱最长边不能超过25"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邮包盒上要打日期码
4.按照客户PO# 装柜/箱号顺序装柜，跟单会提前给到装柜计划。请大货生产/仓库存放时留意，以便装柜时不混乱（装错/装漏/找不到货号）</t>
  </si>
  <si>
    <t>7DF7SRGC</t>
  </si>
  <si>
    <t>日期码格式：ZURU INC(BVI) 标准格式 日期：按实际生产日期
Packaging Info: ZURU MA 1L
25285：3pcs的25282入邮包盒（带印刷），图稿跟翻单4500103924。
Remark: 1.Amazon FOB订单，出口US。外箱最长边不能超过25"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邮包盒上要打日期码
4.按照客户PO# 装柜/箱号顺序装柜，跟单会提前给到装柜计划。请大货生产/仓库存放时留意，以便装柜时不混乱（装错/装漏/找不到货号）</t>
  </si>
  <si>
    <t>71109B-S001-MTS</t>
  </si>
  <si>
    <r>
      <rPr>
        <sz val="10"/>
        <rFont val="宋体"/>
        <charset val="0"/>
      </rPr>
      <t>2023/7/3 2023/6/16</t>
    </r>
    <r>
      <rPr>
        <sz val="10"/>
        <rFont val="宋体"/>
        <charset val="134"/>
      </rPr>
      <t>取消订单</t>
    </r>
  </si>
  <si>
    <r>
      <rPr>
        <sz val="10"/>
        <rFont val="宋体"/>
        <charset val="0"/>
      </rPr>
      <t>2023/6/29 2023/6/16</t>
    </r>
    <r>
      <rPr>
        <sz val="10"/>
        <rFont val="宋体"/>
        <charset val="134"/>
      </rPr>
      <t>取消订单</t>
    </r>
  </si>
  <si>
    <t>UPC贴纸+内容物贴</t>
  </si>
  <si>
    <t>日期码格式：ZURU INC(BVI) 标准格式 日期：按实际生产日期
Packaging Info: ZURU MA 1L
71109 产品直接入D款彩盒+MA说明书， 彩盒图稿跟PO 4500092593。(D款UPC: 193052005519) A/B款彩盒另外加UPC贴纸和内含物贴纸， A:193052019066 , B: 193052005502， UPC贴纸图稿跟4500090792。内含物贴纸图稿跟返单4500088995.
Remark: 1.Amazon domestic 订单，外箱加印箱唛 （跟单提供）。出口美国。外箱最长边不能超过25" （超过了，case pack只能为1），不符合要求的大货，一律不接受。
 2.无第三方验货/测试要求。
 3.日期码使用ZURU标准版本。
 邮包盒上要打日期码</t>
  </si>
  <si>
    <t>AG230152</t>
  </si>
  <si>
    <r>
      <rPr>
        <sz val="10"/>
        <rFont val="宋体"/>
        <charset val="0"/>
      </rPr>
      <t>2023/7/28 2023/6/27</t>
    </r>
    <r>
      <rPr>
        <sz val="10"/>
        <rFont val="宋体"/>
        <charset val="134"/>
      </rPr>
      <t>取消订单</t>
    </r>
  </si>
  <si>
    <t>2023/7/24 2023/6/27取消订单</t>
  </si>
  <si>
    <t>无物料</t>
  </si>
  <si>
    <t>欠进口商贴纸+1张客供电池警告贴纸</t>
  </si>
  <si>
    <t>MA 1L（含MA说明书）+客供中文说明书</t>
  </si>
  <si>
    <t>日期码格式：ZURU INC(BVI) 标准格式 日期：按实际生产日期
Packaging Info: 25282：优先MA 1L（含MA说明书）+1张客供警语进口商贴纸+1张客供电池警告贴纸+客供中文说明书
Remark: 此单出香港
25282：Baby Shark(yellow)/ Mummy Shark(pink)/ Daddy Shark(blue) =1:1:1; include 3pcs AAA carbon batteries</t>
  </si>
  <si>
    <t>日期码格式：ZURU INC(BVI) 标准格式 日期：按实际生产日期
Packaging Info:
3.25282 MA彩卡UPC版本（首先1L，如果无1L可用多语含英语）+箱唛+箱唛贴纸(1PCS/CTN)，包装材质为PET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3.外箱材质要求K=B；
4.此单需使用KMART封箱胶上下工字型封箱;从2019年6月开始，要用KMART 新版封箱胶带，此单要用"ANKO"封箱胶带
5.此单出口澳大利亚，请按相应的澳新标准生产；
6.产品和包装上生产批号的显示格式ZURU标准日期码格式
7.RATIO:
25282:Baby Shark(yellow)/ Mummy Shark(pink)/ Daddy Shark(blue) =1:1:1; include 3pcs AAA carbon batteries;</t>
  </si>
  <si>
    <t>日期码格式：ZURU INC(BVI) 标准格式 日期：按实际生产日期
Packaging Info: 
2.25282 MA彩卡UPC版本（首先1L，如果无1L可用多语含英语）+箱唛+箱唛贴纸(1PCS/CTN)，包装材质为PET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3.外箱材质要求K=B；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8.25282:Baby Shark(yellow)/ Mummy Shark(pink)/ Daddy Shark(blue) =1:1:1; include 3pcs AAA carbon batteries;</t>
  </si>
  <si>
    <t>日期码格式：ZURU INC(BVI) 标准格式 日期：按实际生产日期
Packaging Info: 
6.25282 MA彩卡UPC版本（首先1L，如果无1L可用多语含英语）+箱唛+箱唛贴纸(1PCS/CTN)，包装材质为PET;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3.外箱材质跟回ZURU标准；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8.RATIO:
25282:Baby Shark(yellow)/ Mummy Shark(pink)/ Daddy Shark(blue) =1:1:1; include 3pcs AAA carbon batteries;</t>
  </si>
  <si>
    <t>日期码格式：ZURU INC(BVI) 标准格式 日期：按实际生产日期
Packaging Info: 
2.25282 MA彩卡UPC版本（首先1L，如果无1L可用多语含英语）+箱唛+箱唛贴纸(1PCS/CTN)，包装材质为PET;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3.外箱材质跟回ZURU标准；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8.RATIO:
25282:Baby Shark(yellow)/ Mummy Shark(pink)/ Daddy Shark(blue) =1:1:1; include 3pcs AAA carbon batteries;</t>
  </si>
  <si>
    <t>6E2ZTG7Y</t>
  </si>
  <si>
    <t>日期码格式：ZURU INC(BVI) 标准格式 日期：按实际生产日期
Packaging Info: 出CA一定要有英法2L, 无硼版，否则不能出货。
25285： 3PK 25282-2022 MA 3L入邮包盒， 邮包盒图稿跟订单4500103924
Remark: 1.Amazon FOB订单，出口CA。外箱最长边不能超过25"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邮包盒上要打日期码
4.此单走散货</t>
  </si>
  <si>
    <t>6N11P81S</t>
  </si>
  <si>
    <t>6PXK6RJQ</t>
  </si>
  <si>
    <t>89ULSYUF</t>
  </si>
  <si>
    <t>8Y6MVR5D</t>
  </si>
  <si>
    <t>2ZOPXBNE</t>
  </si>
  <si>
    <t>71109D-S001</t>
  </si>
  <si>
    <t>客版彩盒(4500092593)+MA说明书</t>
  </si>
  <si>
    <t>日期码格式：ZURU INC(BVI) 标准格式 日期：按实际生产日期
Packaging Info: 出CA一定要有英法2L, 无硼版，否则不能出货。
 71109 产品直接入D款彩盒+MA说明书， 彩盒图稿跟PO 4500092593。(D款UPC: 193052005519) A/B款彩盒另外加UPC贴纸和内含物贴纸， A:193052019066 , B: 1930
 52005502， UPC贴纸图稿跟4500090792。内含物贴纸图稿跟返单4500088995.
Remark: 1.Amazon FOB订单，出口CA。外箱最长边不能超过25"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邮包盒上要打日期码
4.此单走散货</t>
  </si>
  <si>
    <t>69APQRTL</t>
  </si>
  <si>
    <t>6FWRFK2N</t>
  </si>
  <si>
    <t>84BBZNAM</t>
  </si>
  <si>
    <t>日期码格式：ZURU INC(BVI) 标准格式 日期：按实际生产日期
Packaging Info: 1.25282 MA彩卡UPC版本（首先1L，如果无1L可用多语含英语）+箱唛+箱唛贴纸(1PCS/CTN)，包装材质为PET;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8.RATIO:
25282:Baby Shark(yellow)/ Mummy Shark(pink)/ Daddy Shark(blue) =1:1:1; include 3pcs AAA carbon batteries;</t>
  </si>
  <si>
    <t>日期码格式：ZURU INC(BVI) 标准格式 日期：按实际生产日期
Packaging Info: 1.25282 MA彩卡UPC版本（首先1L，如果无1L可用多语含英语）+箱唛+箱唛贴纸(1PCS/CTN)，包装材质为PET;
2.9215 MA UPC英文版本包装（收缩膜+收藏指南）（首先1L，如果无1L可用多语含英语）+防盗贴纸+箱唛+箱唛贴纸(1PCS/CTN)。9215防盗贴纸及其位置图跟回PO#45
00083926
3.9258 MA英语UPC版本包装（首先1LUPC，如果无1L可用多语含英语UPC版本）+防盗贴纸+箱唛+箱唛贴纸(1PCS/CTN),9258 防盗贴纸以及位置图跟回PO#4500082115;
4.9279SQ1：MA英语UPC版本包装和说明书+防盗贴纸+箱唛+外箱贴纸,防盗贴纸及其位置图跟回PO#4500095104，PDQ和产品包装版本尽量配套使用.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8.RATIO:
25282:Baby Shark(yellow)/ Mummy Shark(pink)/ Daddy Shark(blue) =1:1:1; include 3pcs AAA carbon batteries;
9215: Toucan/Giraffe / Zebra= 1:1:1
9258:Unicorn/Lion/Bunny/Flamingo/Elephant/Kitten
9279SQ1：7 assortment (6 common + 1 rare); RAGDOLL CA (RARE): AMERICAN SHORTHAIR: CALICO CAT: BLACK CAT: BENGAL CAT: EXOTIC CAT: CHINCHILLA CAT=
1:9:10:10:10: 10:10;PDQ without header;</t>
  </si>
  <si>
    <t>3T15XBMW</t>
  </si>
  <si>
    <t>71109B-S001</t>
  </si>
  <si>
    <r>
      <rPr>
        <sz val="10"/>
        <rFont val="宋体"/>
        <charset val="0"/>
      </rPr>
      <t>2023/7/24 2023/6/27</t>
    </r>
    <r>
      <rPr>
        <sz val="10"/>
        <rFont val="宋体"/>
        <charset val="134"/>
      </rPr>
      <t>取消订单</t>
    </r>
  </si>
  <si>
    <t>5200001635</t>
  </si>
  <si>
    <r>
      <rPr>
        <sz val="10"/>
        <rFont val="宋体"/>
        <charset val="0"/>
      </rPr>
      <t>2023/8/1 2023/6/27</t>
    </r>
    <r>
      <rPr>
        <sz val="10"/>
        <rFont val="宋体"/>
        <charset val="134"/>
      </rPr>
      <t>取消订单</t>
    </r>
  </si>
  <si>
    <t>日期码格式：ZURU INC(BVI) 标准格式 日期：按实际生产日期
Packaging Info: ZURU MA 1L
71109 产品直接入D款彩盒+MA说明书， 彩盒图稿跟PO 4500092593。(D款UPC: 193052005519) A/B款彩盒另外加UPC贴纸和内含物贴纸， A:193052019066 , B: 193052005502， UPC贴纸图稿跟4500090792。内含物贴纸图稿跟返单4500088995.
Remark: 1.Amazon domestic 订单，外箱加印箱唛 （跟单提供）。出口美国。外箱最长边不能超过25" （超过了，case pack只能为1），不符合要求的大货，一律不接受。
2.无第三方验货/测试要求。
3.日期码使用ZURU标准版本。
邮包盒上要打日期码</t>
  </si>
  <si>
    <t>5E1HCTSH</t>
  </si>
  <si>
    <t>8PENY6BI</t>
  </si>
  <si>
    <t>Amazon Mexico, S. DE R.L. DE CV</t>
  </si>
  <si>
    <t>83N6LC4I</t>
  </si>
  <si>
    <t>客版彩盒/纸箱已订</t>
  </si>
  <si>
    <t>.空白外箱加印ZURU Logo+MADE IN CHINA+SSCC LABEL(客供贴纸），无shipping mark</t>
  </si>
  <si>
    <t>欠进口商贴纸+外箱贴</t>
  </si>
  <si>
    <t>客版包装+MA 3L说明书</t>
  </si>
  <si>
    <t>日期码格式：ZURU INC(BVI) 标准格式 日期：按实际生产日期
Packaging Info: 71109A:客版包装+MA 3L说明书+进口商贴纸
Remark: 1.71109A:include 3pcs AAA carbon batteries;
2.ITEM数量低于200 pcs 需要订购200张进口商贴纸，超过200 pcs 按订单数量订购
3.Amazon FOB订单，出口Mexico
4.空白外箱加印ZURU Logo+MADE IN CHINA+SSCC LABEL(客供贴纸），无shipping mark,日期使用ZURU 标准版本。SSCC Label显示的是客人自己的item#，SSCC Lab
el 贴在外箱正面的正中间，贴一面即可，跟单订购，贴纸离外箱距必须至少3cm,每一张SSCC Label都是唯一且有不同流水及条码的，没有损耗，绝对不可贴错，否
则贴错或损坏一张会导致全部都错，千万要注意！</t>
  </si>
  <si>
    <t>纸箱已订</t>
  </si>
  <si>
    <t>日期码格式：ZURU INC(BVI) 标准格式 日期：按实际生产日期
Packaging Info: 25282 MA彩卡UPC版本（首先1L，如果无1L可用多语含英语）+箱唛+箱唛贴纸(1PCS/CTN)，包装材质为PET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3.外箱材质要求K=B；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8.RATIO:
25282:Baby Shark(yellow)/ Mummy Shark(pink)/ Daddy Shark(blue) =1:1:1; include 3pcs AAA carbon batteries</t>
  </si>
  <si>
    <t>日期码格式：ZURU INC(BVI) 标准格式 日期：按实际生产日期
Packaging Info: 
3.25282 MA彩卡UPC版本（首先1L，如果无1L可用多语含英语）+箱唛+箱唛贴纸(1PCS/CTN)，包装材质为PET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3.外箱材质要求K=B；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8.RATIO:
25282:Baby Shark(yellow)/ Mummy Shark(pink)/ Daddy Shark(blue) =1:1:1; include 3pcs AAA carbon batteries;</t>
  </si>
  <si>
    <t>日期码格式：ZURU INC(BVI) 标准格式 日期：按实际生产日期
Packaging Info: 
5.25282 MA彩卡UPC版本（首先1L，如果无1L可用多语含英语）+箱唛+箱唛贴纸(1PCS/CTN)，包装材质为PET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3.外箱材质要求K=B；
4.此单需使用KMART封箱胶上下工字型封箱;从2019年6月开始，要用KMART 新版封箱胶带，此单要用"ANKO"封箱胶带
5.此单出口澳大利亚，请按相应的澳新标准生产；
6.产品和包装上生产批号的显示格式ZURU标准日期码格式
7.RATIO:
25282:Baby Shark(yellow)/ Mummy Shark(pink)/ Daddy Shark(blue) =1:1:1; include 3pcs AAA carbon batteries;</t>
  </si>
  <si>
    <t>19497469</t>
  </si>
  <si>
    <t>日期码格式：ZURU INC(BVI) 标准格式 日期：按实际生产日期
 2.25282 MA彩卡UPC版本（首先1L，如果无1L可用多语含英语）+箱唛+箱唛贴纸(1PCS/CTN)，包装材质为PET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3.外箱材质要求K=B；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t>
  </si>
  <si>
    <t>4500102108-10</t>
  </si>
  <si>
    <t>总数量1512取消468</t>
  </si>
  <si>
    <t>日期码格式：ZURU INC(BVI) 标准格式 日期：按实际生产日期
Packaging Info: 25282 MA彩卡UPC版本（首先1L，如果无1L可用多语含英语）+箱唛+箱唛贴纸(1PCS/CTN)，包装材质为PET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3.外箱材质要求K=B；
4.此单需使用KMART封箱胶上下工字型封箱;从2019年6月开始，要用KMART 新版封箱胶带，此单要用"ANKO"封箱胶带
5.此单出口澳大利亚，请按相应的澳新标准生产；
6.产品和包装上生产批号的显示格式ZURU标准日期码格式
7.RATIO:
25282:Baby Shark(yellow)/ Mummy Shark(pink)/ Daddy Shark(blue) =1:1:1; include 3pcs AAA carbon batteries;</t>
  </si>
  <si>
    <t>4500102110-10</t>
  </si>
  <si>
    <t>退仓</t>
  </si>
  <si>
    <t>日期码格式：ZURU INC(BVI) 标准格式 日期：按实际生产日期
Packaging Info: 25282 MA彩卡UPC版本（首先1L，如果无1L可用多语含英语）+箱唛+箱唛贴纸(1PCS/CTN)，包装材质为PET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3.外箱材质要求K=B；
4.此单需使用KMART封箱胶上下工字型封箱;从2019年6月开始，要用KMART 新版封箱胶带，此单要用"ANKO"封箱胶带
5.此单出口新西兰，请按相应的澳新标准生产；
6.产品和包装上生产批号的显示格式ZURU标准日期码格式
7.RATIO:
25282:Baby Shark(yellow)/ Mummy Shark(pink)/ Daddy Shark(blue) =1:1:1; include 3pcs AAA carbon batteries;</t>
  </si>
  <si>
    <t>4500103924-40</t>
  </si>
  <si>
    <t>已消耗</t>
  </si>
  <si>
    <t>AG230088</t>
  </si>
  <si>
    <t>4500103216-10</t>
  </si>
  <si>
    <r>
      <rPr>
        <sz val="10"/>
        <rFont val="宋体"/>
        <charset val="0"/>
      </rPr>
      <t>2023/6/23 2023/6/27</t>
    </r>
    <r>
      <rPr>
        <sz val="10"/>
        <rFont val="宋体"/>
        <charset val="134"/>
      </rPr>
      <t>取消订单</t>
    </r>
  </si>
  <si>
    <r>
      <rPr>
        <sz val="10"/>
        <rFont val="宋体"/>
        <charset val="0"/>
      </rPr>
      <t>2023/6/19 2023/6/27</t>
    </r>
    <r>
      <rPr>
        <sz val="10"/>
        <rFont val="宋体"/>
        <charset val="134"/>
      </rPr>
      <t>取消订单</t>
    </r>
  </si>
  <si>
    <t>已完货</t>
  </si>
  <si>
    <t>日期码格式：ZURU INC(BVI) 标准格式 日期：按实际生产日期
Packaging Info: 优先MA 1L（含MA说明书）+1张客供警语进口商贴纸+1张客供电池警告贴纸+客供中文说明书
Remark: 25282：Baby Shark(yellow)/ Mummy Shark(pink)/ Daddy Shark(blue) =1:1:1; include 3pcs AAA carbon batteries
此单出香港</t>
  </si>
  <si>
    <t>4500103370-30</t>
  </si>
  <si>
    <t>日期码格式：ZURU INC(BVI) 标准格式 日期：按实际生产日期
Packaging Info: 
3.25282 MA彩卡UPC版本（首先1L，如果无1L可用多语含英语）+箱唛+箱唛贴纸(1PCS/CTN)，包装材质为PET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3.外箱材质要求K=B；
4.此单需使用KMART封箱胶上下工字型封箱;从2019年6月开始，要用KMART 新版封箱胶带，此单要用"ANKO"封箱胶带
5.此单出口新西兰，请按相应的澳新标准生产；
6.产品和包装上生产批号的显示格式ZURU标准日期码格式
7.RATIO:
25282:Baby Shark(yellow)/ Mummy Shark(pink)/ Daddy Shark(blue) =1:1:1; include 3pcs AAA carbon batteries;</t>
  </si>
  <si>
    <t>4500103368-50</t>
  </si>
  <si>
    <t>日期码格式：ZURU INC(BVI) 标准格式 日期：按实际生产日期
Packaging Info: 
5.25282 MA彩卡UPC版本（首先1L，如果无1L可用多语含英语）+箱唛+箱唛贴纸(1PCS/CTN)，包装材质为PET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3.外箱材质要求K=B；
4.此单需使用KMART封箱胶上下工字型封箱;从2019年6月开始，要用KMART 新版封箱胶带，此单要用"ANKO"封箱胶带
5.此单出口澳大利亚，请按相应的澳新标准生产；
6.产品和包装上生产批号的显示格式ZURU标准日期码格式
7.RATIO:
25282:Baby Shark(yellow)/ Mummy Shark(pink)/ Daddy Shark(blue) =1:1:1; include 3pcs AAA carbon batteries;
Order Modifiable Records</t>
  </si>
  <si>
    <t>4500104115-40</t>
  </si>
  <si>
    <t>日期码格式：ZURU INC(BVI) 标准格式 日期：按实际生产日期
Packaging Info: 
5.25282 MA彩卡UPC版本（首先1L，如果无1L可用多语含英语）+箱唛+箱唛贴纸(1PCS/CTN)，包装材质为PET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3.外箱材质要求K=B；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8.RATIO:
25282:Baby Shark(yellow)/ Mummy Shark(pink)/ Daddy Shark(blue) =1:1:1; include 3pcs AAA carbon batteries;</t>
  </si>
  <si>
    <t>4500103924-50</t>
  </si>
  <si>
    <t>日期码格式：ZURU INC(BVI) 标准格式 日期：按实际生产日期
Packaging Info: 出CA一定要有英法2L, 无硼版，否则不能出货。
71109 产品直接入D款彩盒+MA说明书， 彩盒图稿跟PO 4500092593。(D款UPC: 193052005519) A/B款彩盒另外加UPC贴纸和内含物贴纸， A:193052019066 , B: 193052005502， UPC贴纸图稿跟4500090792。内含物贴纸图稿跟返单4500088995.
Remark: 1.Amazon FOB订单，出口CA。外箱最长边不能超过25"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邮包盒要打日期码
4.按照客户PO# 装柜/箱号顺序装柜，跟单会提前给到装柜计划。请大货生产/仓库存放时留意，以便装柜时不混乱（装错/装漏/找不到货号）</t>
  </si>
  <si>
    <t>4500103924-80</t>
  </si>
  <si>
    <t>4500103924-100</t>
  </si>
  <si>
    <t>5L1W7ALN</t>
  </si>
  <si>
    <t>4500103923-10</t>
  </si>
  <si>
    <t>日期码格式：ZURU INC(BVI) 标准格式 日期：按实际生产日期
Packaging Info: 出CA一定要有英法2L, 无硼版，否则不能出货。
71109 产品直接入D款彩盒+MA说明书， 彩盒图稿跟PO 4500092593。(D款UPC: 193052005519) A/B款彩盒另外加UPC贴纸和内含物贴纸， B: 193052005502， UPC贴纸图稿跟4500090792。内含物贴纸图稿跟返单4500088995.
Remark: 1.Amazon FOB订单，出口CA。外箱最长边不能超过25"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LCL散货，直接送到CDS保税仓</t>
  </si>
  <si>
    <t>4500103924-10</t>
  </si>
  <si>
    <t>4500103924-20</t>
  </si>
  <si>
    <t>4500103924-70</t>
  </si>
  <si>
    <t>4500101967-70</t>
  </si>
  <si>
    <t>4500101967-100</t>
  </si>
  <si>
    <t>BEALL's OUTLET STORES</t>
  </si>
  <si>
    <t>4500103902-10</t>
  </si>
  <si>
    <t>2023/8/18 2023/8/3取消订单</t>
  </si>
  <si>
    <t>2023/8/14 2023/8/3取消订单</t>
  </si>
  <si>
    <t>ZURU标准MA 1L UPC包装</t>
  </si>
  <si>
    <t>日期码格式：ZURU INC(BVI) 标准格式 日期：按实际生产日期
Packaging Info: ZURU标准MA 1L UPC包装 + 客供价格贴纸（产品包装右下角，跟单提供贴纸）。
Remark: 1. ZURU标准MA 1L UPC包装 + 客供价格贴纸（贴在产品包装右下角，跟单找第三方订购贴纸寄到工厂）。
 2.配比：
 #25282-2022-S001-ROBO ALIVE JUNIOR-BABY SHARK-SERIES 1 Swimming Shark,Bulk,12pcs,No Inner,STD Color Assortment
 3.所有产品外包装及产品本身都必须有日期跟踪码(ZURU标准日期码格式，年月日的日期自行调整，但不能为周末)，并且确保产品及外包装的日期跟踪码要一致.
 4.此单包含4张客户PO, 需按照印有不同PO箱唛及箱数的外箱进行包装. PO分配如下：
 PO#873553 #25282 54箱,ship to TX Logistics Support Center #995
 PO#873551 #25282 97箱, Ship to: OUTLET DIST CENTER #115</t>
  </si>
  <si>
    <t>4500103902-20</t>
  </si>
  <si>
    <t>Remark: 出货前 Zuru QC 验货</t>
  </si>
  <si>
    <t>不录</t>
  </si>
  <si>
    <t>替换取消单不走系统</t>
  </si>
  <si>
    <t>4500103126-10</t>
  </si>
  <si>
    <t>25282ASLB-2022-S001</t>
  </si>
  <si>
    <t>2023/9/13 2023/8/21取消订单</t>
  </si>
  <si>
    <t>RFID箱唛+UPC条码</t>
  </si>
  <si>
    <t>最新客版包装 D版 （1L+23L警告语）+ MA F版9L说明书</t>
  </si>
  <si>
    <t>日期码格式：DGYYYYMMDD(日期避开周末和法定节假日) 日期：按实际生产日期
Packaging Info: 1.包装方式：
25282：最新客版包装 D版 （1L+23L警告语）+ MA F版9L说明书
Remark: 2. 此单走SLIP SHEET，外箱印刷RFID箱唛（需四面右下角有ZURU的Logo以及"Made in China" 字样)。
外箱正唛不再贴艾利贴纸，由Slip sheet印刷箱唛代替。
SLIP SHEET上贴外箱条码（工厂自已打印贴纸）+普通贴纸（普通贴纸可用A4纸打印，尺寸不可比艾利贴纸小），普通贴纸见附件。
3. Include 3pcs AAA carbon batteries;25282A-2022-S004 2pcs/CTN(carton size: 25x22.3x15cm); 5x4x8=160carton=320pcs/Slip Sheet.
4.此单需要验货，请自行多备包装物料。
5.在产品上和包装上要有日期码、MADE IN CHINA和ZURU字样。
6.每PCS要加RFID 贴纸，严格按照我们提供的位置图，不可擅自调整位置，贴纸也不可有任何破损或折坏，不可淋湿!!</t>
  </si>
  <si>
    <t>V3</t>
  </si>
  <si>
    <t>4500103126-20</t>
  </si>
  <si>
    <t>GEKAS ULLAREED AB - DOM</t>
  </si>
  <si>
    <t>4500105413-10</t>
  </si>
  <si>
    <t>2023/7/22
2023/8/3取消订单</t>
  </si>
  <si>
    <t>2023/7/18 2023/8/3取消订单</t>
  </si>
  <si>
    <t>此单消耗取消单4500103368 528PCS，产品加贴纸，换箱</t>
  </si>
  <si>
    <t>已返工</t>
  </si>
  <si>
    <t>MA 1L包装+MA 9L说明书</t>
  </si>
  <si>
    <t>日期码格式：ZURU INC(BVI) 标准格式 日期：按实际生产日期
Packaging Info: 25282-MA 1L包装+MA说明书+EAN/警告语贴纸
25282-其中528pcs消耗取消单(4500103368/4500103370/4500104115),剩下192PCS按原订单要求大货,箱唛可以接受水贴纸。
Remark: 1.Item-EAN条码
25282-4894680002791
2.产品信息
25282-SILICONE TOP FIN;Baby Shark(yellow)/ Mummy Shark(pink)/ DaddyShark(blue) =1:1:1; include 3pcs AAA carbon batteries
3. 包装如含PVC,请改为PET，工厂请提出；
4. 产品要求无硼无香，如含这两个问题，请工厂提出</t>
  </si>
  <si>
    <t>Rose Tong</t>
  </si>
  <si>
    <t>取消单消耗</t>
  </si>
  <si>
    <t>REGIO TOY LTD</t>
  </si>
  <si>
    <t>4500104388-10</t>
  </si>
  <si>
    <t>此单消耗取消单4500103216 720PCS撕产品贴+取说明书，外箱贴水纸</t>
  </si>
  <si>
    <t>进口商贴纸(翻4500044803）</t>
  </si>
  <si>
    <t>1L MA 彩卡+MA 说明书</t>
  </si>
  <si>
    <t>日期码格式：ZURU INC(BVI) 标准格式 日期：按实际生产日期
Packaging Info: 1L MA 彩卡+进口商贴纸(翻4500044803）；MA 说明书
Remark: 25282：SILICONE TOP FIN;Baby Shark(yellow)/ Mummy Shark(pink)/ DaddyShark(blue) =1:1:1; include 3pcs AAA carbon batteries;</t>
  </si>
  <si>
    <t>4500105063-10</t>
  </si>
  <si>
    <t>最新客版包装 D版 （1L+23L警告语）+ MA E版9L说明书</t>
  </si>
  <si>
    <t>4500105064-10</t>
  </si>
  <si>
    <t>日期码格式：DGYYYYMMDD(日期避开周末和法定节假日) 日期：按实际生产日期
Packaging Info: 1.包装方式：
25282：最新客版包装 D版 （1L+23L警告语）+ MA F版9L说明书
25282D：最新客版包装 D版 （1L+23L警告语）+ MA F版9L说明书
Remark: 2. 此单走SLIP SHEET，外箱印刷RFID箱唛（需四面右下角有ZURU的Logo以及"Made in China" 字样)。
外箱正唛不再贴艾利贴纸，由Slip sheet印刷箱唛代替。
SLIP SHEET上贴外箱条码（工厂自已打印贴纸）+普通贴纸（普通贴纸可用A4纸打印，尺寸不可比艾利贴纸小），普通贴纸见附件。
3. Include 3pcs AAA carbon batteries;25282A-2022-S004 2pcs/CTN(carton size: 25x22.3x15cm); 5x4x8=160carton=320pcs/Slip Sheet.
Include 3pcs AAA carbon batteries;25282D-2022-S004 2pcs/CTN(carton size: 25x22.3x15cm); 5x4x8=160carton=320pcs/Slip Sheet.
4.此单需要验货，请自行多备包装物料。
5.在产品上和包装上要有日期码、MADE IN CHINA和ZURU字样。
6.每PCS要加RFID 贴纸，严格按照我们提供的位置图，不可擅自调整位置，贴纸也不可有任何破损或折坏，不可淋湿!!</t>
  </si>
  <si>
    <t>4500105064-20</t>
  </si>
  <si>
    <t>4500105064-30</t>
  </si>
  <si>
    <t>4500105064-40</t>
  </si>
  <si>
    <t>4500105064-50</t>
  </si>
  <si>
    <t>25282DSLB-2022-S001</t>
  </si>
  <si>
    <t>4500103125-10</t>
  </si>
  <si>
    <t>4500103125-20</t>
  </si>
  <si>
    <t>4500107489-40</t>
  </si>
  <si>
    <t>2023/9/25 2023/8/21取消订单</t>
  </si>
  <si>
    <t>消耗取消单</t>
  </si>
  <si>
    <t>MA PKG</t>
  </si>
  <si>
    <t>日期码格式：ZURU INC(BVI) 标准格式 日期：按实际生产日期
Packaging Info: 1.MA PKG,优先1L，3L也可，不接受混装
可接受1L的产品+3L的PDQ 或 3L的产品+ 1L的PDQ，但不接受同一个产品既有1L产品+3L的PDQ 又有3L产品+1L的PDQ
Remark:
3.25282:SILICONE TOP FIN;Baby Shark(yellow)/ Mummy Shark(pink)/ Daddy Shark(blue) =1:1:1; include 3pcs AAA carbon batteries;</t>
  </si>
  <si>
    <t>4500103369-10</t>
  </si>
  <si>
    <t>2023/7/24 2023/8/23取消订单</t>
  </si>
  <si>
    <t>2023/9/23 2023/8/23取消订单</t>
  </si>
  <si>
    <t>日期码格式：ZURU INC(BVI) 标准格式 日期：按实际生产日期
Packaging Info: 1.ZURU MA UPC 现有版本包装 + 客供价格贴纸，出口美国。
Remark: 1.ZURU MA UPC 现有版本包装 + 客供价格贴纸，出口美国。
2.价格贴纸位于包装正面右下角，不挡住重要信息即可，可适当调整
，价格贴纸由跟单提供。
3.标准日期码格式，产品和包装必须有日期码，所有日期码必须一致(但日期不可为周末)。
4.同个产品同个货期不可出现不同的包装。</t>
  </si>
  <si>
    <t>4500100883-10</t>
  </si>
  <si>
    <t>2023/7/20 2023/8/23取消订单</t>
  </si>
  <si>
    <t>2023/9/22 2023/8/23取消订单</t>
  </si>
  <si>
    <t>日期码格式：ZURU INC(BVI) 标准格式 日期：按实际生产日期
Packaging Info: MA UPC包装+价格贴纸，价格贴纸客供。
Remark: 1. 产品和包装上印刷tracking code信息，格式为ZURU常规格式。
2. 分5个DC出货，每款产品每个DC的箱唛资料不同， 具体数量见箱唛资料。
3. ZURU QC验货。</t>
  </si>
  <si>
    <t>4500100885-10</t>
  </si>
  <si>
    <t>4500100937-10</t>
  </si>
  <si>
    <t>4500100938-10</t>
  </si>
  <si>
    <t>日期码格式：ZURU INC(BVI) 标准格式 日期：按实际生产日期
Packaging Info: MA UPC包装+价格贴纸，价格贴纸客供。
Remark: 1. 产品和包装上印刷tracking code信息，格式为ZURU常规格式。
2. 分4个DC出货，每款产品每个DC的箱唛资料不同， 具体数量见箱唛资料。
3. ZURU QC验货。</t>
  </si>
  <si>
    <t>4500115596-10</t>
  </si>
  <si>
    <t>10/18 取消订单</t>
  </si>
  <si>
    <t>12/4抽办</t>
  </si>
  <si>
    <t>ZURU标准MA UPC 优先1L 版本包装</t>
  </si>
  <si>
    <t>日期码格式：ZURU INC(BVI) 标准格式 日期：按实际生产日期
Packaging Info: ZURU标准MA UPC 优先1L 版本包装 + 价格贴纸（贴纸AW由跟单提供，工厂采购）, 出口美国
Remark: 1. 此单要求2023/12/4完成首单数量786pcs供UL实验室做第三方抽板测试,剩余数量要求2023/12/25全部完成。
2. 日期码请按ZURU标准版执行即可。
3. 样板准备：每款大概测试样要12套，大货样3套,具体要求以最终邮件通知为准.
4. ZURU QC 验货。</t>
  </si>
  <si>
    <t>4500115596-20</t>
  </si>
  <si>
    <r>
      <rPr>
        <sz val="10"/>
        <rFont val="宋体"/>
        <charset val="134"/>
      </rPr>
      <t xml:space="preserve">10/18 </t>
    </r>
    <r>
      <rPr>
        <sz val="10"/>
        <rFont val="宋体"/>
        <charset val="0"/>
      </rPr>
      <t>取消订单</t>
    </r>
  </si>
  <si>
    <t>4500115596-30</t>
  </si>
  <si>
    <t>4500115596-40</t>
  </si>
  <si>
    <t>0094504</t>
  </si>
  <si>
    <t>4500115596-50</t>
  </si>
  <si>
    <t>4500115596-60</t>
  </si>
  <si>
    <t>4500115596-70</t>
  </si>
  <si>
    <t>4500115596-80</t>
  </si>
  <si>
    <t>4500115596-90</t>
  </si>
  <si>
    <t>4500115596-100</t>
  </si>
  <si>
    <t>4500115596-110</t>
  </si>
  <si>
    <t>0797524</t>
  </si>
  <si>
    <t>4500115596-120</t>
  </si>
  <si>
    <t>4500115596-130</t>
  </si>
  <si>
    <t>4500115609-10</t>
  </si>
  <si>
    <t>日期码格式：ZURU INC(BVI) 标准格式 日期：按实际生产日期
Packaging Info: ZURU标准MA UPC 优先1L 版本包装 + 价格贴纸（贴纸AW由跟单提供，工厂采购）, 出口美国
Remark: 1. 日期码请按ZURU标准版执行即可。
2. ZURU QC 验货。</t>
  </si>
  <si>
    <t>4500115609-20</t>
  </si>
  <si>
    <t>HEB GROCERY COMPANY, LP</t>
  </si>
  <si>
    <t>60X667688</t>
  </si>
  <si>
    <t>4500108265-10</t>
  </si>
  <si>
    <t>1/22取消</t>
  </si>
  <si>
    <t xml:space="preserve"> ZURU标准MA包装 UPC版本</t>
  </si>
  <si>
    <t>日期码格式：ZURU INC(BVI) 标准格式 日期：按实际生产日期
Packaging Info: ZURU标准MA包装 UPC版本，优先1L. 出口美国.
Remark: 2.#7163TQ1需提供大货签样：3套含PDQ，规格和大货一样.
3.要求大货完成时间2023年10月20日，预定2023年10月23日-利丰100%大货验货加抽板，需准备6套测试样品。除抽板之外，如果产品有油漆的需要额外准备5G的油
漆涂在同 材质的胶件上，面积类似A4纸大小。
4.产品和包装上需要印刷tracking code信息,格式为ZURU常规。
5.#7163TQ1: V2 top and side fins be PVC;Packaging:open box + blister tray, No "TRY ME" function; include 3x LR44 batteries; 3 assortment.</t>
  </si>
  <si>
    <t>4500122227-10</t>
  </si>
  <si>
    <t>1/31取消</t>
  </si>
  <si>
    <t>日期码格式：ZURU INC(BVI) 标准格式 日期：按实际生产日期
Packaging Info: ZURU MA包装1L
7166 MA 1L
Remark: 1.Amazon domestic 订单，外箱加印箱唛 （跟单提供）。出口美国。外箱最长边不能超过25" （超过了，case pack只能为1），不符合要求的大货，一律不接受。
2.无第三方验货/测试要求。
3.日期码使用ZURU标准版本。</t>
  </si>
  <si>
    <t>60140029</t>
  </si>
  <si>
    <t>4500123979-10</t>
  </si>
  <si>
    <t>2024/3/22 2024/2/20取消订单</t>
  </si>
  <si>
    <t>2024/3/18 2024/2/20取消订单</t>
  </si>
  <si>
    <t>ZMPO23370</t>
  </si>
  <si>
    <t>8/15取消</t>
  </si>
  <si>
    <t>大货最新版本/用新软鱼鳍版/本款号平均/请用大货标准箱装箱24PCS/箱共7箱/箱唛请参照邮件附件</t>
  </si>
  <si>
    <t xml:space="preserve">ZURU </t>
  </si>
  <si>
    <t>ZMPO23442</t>
  </si>
  <si>
    <t>TOYMASTER LTD</t>
  </si>
  <si>
    <t>ZU/02/2023</t>
  </si>
  <si>
    <t>4500101337-80</t>
  </si>
  <si>
    <t>8/2取消</t>
  </si>
  <si>
    <t>旧鱼鳍-6/2出（取消出货）</t>
  </si>
  <si>
    <r>
      <rPr>
        <sz val="10"/>
        <rFont val="宋体"/>
        <charset val="0"/>
      </rPr>
      <t xml:space="preserve">MA </t>
    </r>
    <r>
      <rPr>
        <sz val="10"/>
        <rFont val="宋体"/>
        <charset val="134"/>
      </rPr>
      <t>版本包装</t>
    </r>
  </si>
  <si>
    <t>日期码格式：ZURU INC(BVI) 标准格式 日期：按实际生产日期
Packaging Info: 
7163TQ1：MA 版本包装+其他物料用MA 版本即可
Remark: 1.产品需要打UKCA Mark，包装也需要 印有UKCA图标，否则不符合法规客人会退货有罚款产生；
2.订单必须经过ZURU QC验货并且通过后方可出货;</t>
  </si>
  <si>
    <t>4500100928-80</t>
  </si>
  <si>
    <t>旧鱼鳍-6/6出</t>
  </si>
  <si>
    <t>4500113295-40</t>
  </si>
  <si>
    <t>欠EAN贴纸+警告语贴纸</t>
  </si>
  <si>
    <t>163TQ1:A版包装+客版说明书</t>
  </si>
  <si>
    <t>日期码格式： 标准格式 日期：按实际生产日期
Packaging Info:
7163TQ1:A版包装+客版说明书+EAN贴纸+警告语贴纸
Remark: 1. 包装不可有PVC，包装上的吸塑需要用PET代替。
2. 产品要求无硼无香
3.工厂款号-客户款号-产品条码/外箱条码
7163TQ1-21980503-4894680020269
4. 产品信息：
7163TQ1:"V2 top and side fins be PVC;Packaging:open box + blister tray
5.此单可能有第三方验货，请多备料。</t>
  </si>
  <si>
    <t>4500111564-10</t>
  </si>
  <si>
    <t>7163TQ1-2023-S003</t>
  </si>
  <si>
    <t>11/22取消订</t>
  </si>
  <si>
    <t>8/31收到</t>
  </si>
  <si>
    <t>最新1L包装+MA PDQ</t>
  </si>
  <si>
    <t>日期码格式：ZURU INC(BVI) 标准格式 日期：按实际生产日期
Packaging Info: 7163TQ1:MA 最新1L包装+MA PDQ,
UPC#193052062604，请先检查包装条码是否正确再安排做货;
Remark: 1.订单出英国，产品及包装需要印UKCA图标，包装需要有ZURU UK LTD/ZURU France地址信息，QC同事请核查，如有问题与跟单确认。
2.裝櫃必須按TPND順序 (條形碼貼紙或正嘜必須要朝外向車門外)
3.外箱上有条码要求，排版时请留意并请确保条码清晰可扫描（封箱胶不要黏到条码上), 否则客人会有罚款；
4. 箱唛直接印刷的BD条码格式是GS128 (EAN-128) sub-set C; ITF 条码格式是ITF-14格式:</t>
  </si>
  <si>
    <t>0833096455</t>
  </si>
  <si>
    <t>4500132516-30</t>
  </si>
  <si>
    <t>BV 7/5</t>
  </si>
  <si>
    <t>0833096069</t>
  </si>
  <si>
    <t>4500132517-20</t>
  </si>
  <si>
    <t>BV 7/10</t>
  </si>
  <si>
    <t>0833096612</t>
  </si>
  <si>
    <t>4500132517-30</t>
  </si>
  <si>
    <t>Carlos Federspiel &amp; Cia. - UNIVERSA</t>
  </si>
  <si>
    <t>哥斯达黎加</t>
  </si>
  <si>
    <t>4500134694-40</t>
  </si>
  <si>
    <t>待更新货期</t>
  </si>
  <si>
    <t>:MA 1L包装+MA 5L说明书</t>
  </si>
  <si>
    <t>日期码格式：ZURU INC(BVI) 标准格式 日期：按实际生产日期
Packaging Info: 25282:MA 1L包装+MA 5L说明书+进口商贴纸+箱唛
Remark:</t>
  </si>
  <si>
    <t>4500143801-20</t>
  </si>
  <si>
    <t>MA 说明书（彩盒AW需要有robo alive junior标识在上面）+客版彩盒</t>
  </si>
  <si>
    <t>日期码格式：ZURU INC(BVI) 标准格式 日期：按实际生产日期
Packaging Info: 25282A:s003，MA 说明书（彩盒AW需要有robo alive junior标识在上面）+客版彩盒
Remark: 
1. 2023-S003-ROBO ALIVE JUNIOR-BABY SHARK-SERIES 1-Swimming Shark(Yellow)-OPEN BOX,6pcs/CTN ,只出黄色；MA 1L说明书+客版彩盒（
彩盒AW需要有robo alive junior标识在上面），UPC 显示193052053183；
2. 外箱正唛左上角位置粘贴条码箱贴纸，每箱只贴一张由ZURU订购,来料DPCI显示087-02-4560， UPC 20193052053187.
3. 产品和包装上印刷tracking code信息，格式为ZURU常规格式
4. 出货方式：货代自提，兴信出货</t>
  </si>
  <si>
    <t>手工单转实单</t>
  </si>
  <si>
    <t>待定</t>
  </si>
  <si>
    <t>欠价格贴纸客供</t>
  </si>
  <si>
    <t>Date code format：ZURU INC(BVI) 标准格式 Date：按实际生产日期
Packaging Info:
MA UPC包装+价格贴纸，价格贴纸客供。
1. 产品和包装上印刷tracking code信息，格式为ZURU常规格式。2. 分5个DC出货，每款产品每个DC的箱唛资料不同。具体分DC数量，请参考后面行项目备注。3. ZURU QC验货。</t>
  </si>
  <si>
    <t>4500151624-20</t>
  </si>
  <si>
    <t>暂停生产，可能取消</t>
  </si>
  <si>
    <t>欠外箱SCC Label</t>
  </si>
  <si>
    <t>全套MA英语UPC包装（首选1L，如果无1L可用多语含英语）</t>
  </si>
  <si>
    <t>日期码格式：ZURU INC(BVI) 标准格式 日期：按实际生产日期 Tracking Code:
Packaging Info: 
 25282: 全套MA英语UPC包装（首选1L，如果无1L可用多语含英语）+ 箱唛 + 外箱SCC Label，包装材质为PET;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</si>
  <si>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 xml:space="preserve"> 
20353067</t>
  </si>
  <si>
    <t>4500151625-20</t>
  </si>
  <si>
    <t>日期码格式：ZURU INC(BVI) 标准格式 日期：按实际生产日期 Tracking Code:
Packaging Info: 
 25282: 全套MA英语UPC包装（首选1L，如果无1L可用多语含英语）+ 箱唛 + 外箱SCC Label，包装材质为PET;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</si>
  <si>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Walgreens</t>
  </si>
  <si>
    <t>WAL040</t>
  </si>
  <si>
    <t>12/6抽办</t>
  </si>
  <si>
    <t>Date code format：ZURU Standard format Date：12-06-2024
Packaging Info:25282 MA 包装 + WIC 贴纸 （WIC # 772948）                                                                                                                                                    Remark：1. 产品和包装上要有ZURU 标准格式 tracking code DG20241206                                                                                                                                                     2. 先安排CRD 12/06的数量，CRD 12/23的数量等通知后再安排                                                                                                                                                                    3. 12/07抽板测试，抽板测试通过后才可以出货。所有来料都要测试符合美国联邦法规和州法规后才可以做大货。如因测试问题延期造成罚款需由工厂承担。                                                                                 4. 收到PO后寄出各一套样品给实验室，请在12/16寄出大货样各2套</t>
  </si>
  <si>
    <t>Date code format：ZURU Standard format Date：12-06-2024
Packaging Info:25282 MA 包装 + WIC 贴纸 （WIC # 772948）                                                                                                                                                       Remark：1. 产品和包装上要有ZURU 标准格式 tracking code DG20241206                                                                                                                                               2. 先安排CRD 12/06的数量，CRD 12/23的数量等通知后再安排                                                                                                                                                         3. 12/07抽板测试，抽板测试通过后才可以出货。所有来料都要测试符合美国联邦法规和州法规后才可以做大货。如因测试问题延期造成罚款需由工厂承担。                                                                             4. 收到PO后寄出各一套样品给实验室，请在12/16寄出大货样各2套</t>
  </si>
  <si>
    <t>Date code format：ZURU Standard format Date：12-06-2024
Packaging Info:25282 MA 包装 + WIC 贴纸 （WIC # 772948）                                                                                                                                                    Remark：1. 产品和包装上要有ZURU 标准格式 tracking code DG20241206                                                                                                                                                  2. 先安排CRD 12/06的数量，CRD 12/23的数量等通知后再安排                                                                                                                                                                3. 12/07抽板测试，抽板测试通过后才可以出货。所有来料都要测试符合美国联邦法规和州法规后才可以做大货。如因测试问题延期造成罚款需由工厂承担。                                                                             4. 收到PO后寄出各一套样品给实验室，请在12/16寄出大货样各2套</t>
  </si>
  <si>
    <t>4500149776-10</t>
  </si>
  <si>
    <t>2025/2/10 2024/12/16取消订单</t>
  </si>
  <si>
    <t>2025/2/6 2024/12/16取消订单</t>
  </si>
  <si>
    <t>（需最新版本电池） MA3L+23L警告语 MA彩盒+MA最新9L 说明书</t>
  </si>
  <si>
    <t>日期码格式：ZURU INC(BVI) 标准格式 日期：按实际生产日期
Packaging Info: 1.25282D: MA3L+23L警告语 MA彩盒+一张新的UPC条码贴纸(25282D#193052063199)+一张德语callout贴纸+MA最新9L 说明书--贴纸和位置图都翻PO#4500116913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3）订单必须经过ZURU QC验货并且通过后方可出货
4) 需要符合欧洲标准不能含有闪粉和微塑料，否则不和法规会有客诉产生</t>
  </si>
  <si>
    <t>4500149776-20</t>
  </si>
  <si>
    <t>日期码格式：ZURU INC(BVI) 标准格式 日期：按实际生产日期
Packaging Info:2.25282A: MA3L+23L警告语 MA彩盒+一张德语callout贴纸+MA最新9L 说明书---用MA彩盒条码，UPC#193052062611请先检查条码是否正确再安排做货--贴纸和位置图
都翻PO#4500116913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3）订单必须经过ZURU QC验货并且通过后方可出货
4) 需要符合欧洲标准不能含有闪粉和微塑料，否则不和法规会有客诉产生</t>
  </si>
  <si>
    <t>4500149777-10</t>
  </si>
  <si>
    <t>2025/2/19 2024/12/16取消订单</t>
  </si>
  <si>
    <t>2025/2/15 2024/12/16取消订单</t>
  </si>
  <si>
    <t xml:space="preserve">翻PO#4500116913
</t>
  </si>
  <si>
    <t>4500149777-20</t>
  </si>
  <si>
    <t>日期码格式：ZURU INC(BVI) 标准格式 日期：按实际生产日期
Packaging Info:2.25282B: MA3L+23L警告语 MA彩盒+一张新的UPC条码贴纸(25282B#193052063182)+一张德语callout贴纸+MA最新9L 说明书--贴纸和位置图都翻PO#4500116913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3）订单必须经过ZURU QC验货并且通过后方可出货
4) 需要符合欧洲标准不能含有闪粉和微塑料，否则不和法规会有客诉产生</t>
  </si>
  <si>
    <t>4500149777-30</t>
  </si>
  <si>
    <t>日期码格式：ZURU INC(BVI) 标准格式 日期：按实际生产日期
Packaging Info:3.25282A: MA3L+23L警告语 MA彩盒+一张德语callout贴纸+MA最新9L 说明书---用MA彩盒条码，UPC#193052062611请先检查条码是否正确再安排做货--贴纸和位置图
都翻PO#4500116913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3）订单必须经过ZURU QC验货并且通过后方可出货
4) 需要符合欧洲标准不能含有闪粉和微塑料，否则不和法规会有客诉产生</t>
  </si>
  <si>
    <t>手工单</t>
  </si>
  <si>
    <t>转实单</t>
  </si>
  <si>
    <t>Date code format：ZURU INC(BVI) 标准格式 Date：按实际生产日期
Packaging Info:
MA UPC包装+价格贴纸，价格贴纸客供。
Remark:1. 产品和包装上印刷tracking code信息，格式为ZURU常规格式。2. 分5个DC出货，每款产品每个DC的箱唛资料不同。具体分DC数量，请参考后面行项目备注。3. ZURU QC验货。</t>
  </si>
  <si>
    <t>5XYWRSBO</t>
  </si>
  <si>
    <t>4500155806-20</t>
  </si>
  <si>
    <t>2/7取消订单</t>
  </si>
  <si>
    <t>无物料产生</t>
  </si>
  <si>
    <t>欠客供防伪帖纸+外箱贴纸+UPC贴纸翻4500148503</t>
  </si>
  <si>
    <t>日期码格式：ZURU INC(BVI) 标准格式 日期：按实际生产日期 
Packaging Info: 
 #7166 MA 3L UPC版本。需要加一张客供防伪帖纸，贴纸跟单提供。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</si>
  <si>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2X9IMMUG</t>
  </si>
  <si>
    <t>4500155812-30</t>
  </si>
  <si>
    <t>日期码格式：ZURU INC(BVI) 标准格式 日期：按实际生产日期
Packaging Info:
 #7166 MA 3L UPC版本。需要加一张客供防伪帖纸，贴纸跟单提供。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</si>
  <si>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MO20250226-1</t>
  </si>
  <si>
    <t>MO20250226-1-10</t>
  </si>
  <si>
    <r>
      <rPr>
        <sz val="10"/>
        <rFont val="Arial"/>
        <charset val="0"/>
      </rPr>
      <t xml:space="preserve">ZURU MA UPC </t>
    </r>
    <r>
      <rPr>
        <sz val="10"/>
        <rFont val="宋体"/>
        <charset val="0"/>
      </rPr>
      <t>现有版本包装</t>
    </r>
  </si>
  <si>
    <r>
      <rPr>
        <sz val="11"/>
        <rFont val="宋体"/>
        <charset val="134"/>
      </rPr>
      <t>Date code format：</t>
    </r>
    <r>
      <rPr>
        <sz val="11"/>
        <rFont val="Arial"/>
        <charset val="134"/>
      </rPr>
      <t>ZURU Standard format                  Date</t>
    </r>
    <r>
      <rPr>
        <sz val="11"/>
        <rFont val="宋体"/>
        <charset val="134"/>
      </rPr>
      <t>：</t>
    </r>
    <r>
      <rPr>
        <sz val="11"/>
        <rFont val="Arial"/>
        <charset val="134"/>
      </rPr>
      <t xml:space="preserve">Manufactory Date1.                                                       ZURU MA UPC </t>
    </r>
    <r>
      <rPr>
        <sz val="11"/>
        <rFont val="宋体"/>
        <charset val="134"/>
      </rPr>
      <t>现有版本包装</t>
    </r>
    <r>
      <rPr>
        <sz val="11"/>
        <rFont val="Arial"/>
        <charset val="134"/>
      </rPr>
      <t xml:space="preserve"> + </t>
    </r>
    <r>
      <rPr>
        <sz val="11"/>
        <rFont val="宋体"/>
        <charset val="134"/>
      </rPr>
      <t>客供价格贴纸，出口美国</t>
    </r>
    <r>
      <rPr>
        <sz val="11"/>
        <rFont val="Arial"/>
        <charset val="134"/>
      </rPr>
      <t xml:space="preserve"> , </t>
    </r>
    <r>
      <rPr>
        <sz val="11"/>
        <rFont val="宋体"/>
        <charset val="134"/>
      </rPr>
      <t>优先使用</t>
    </r>
    <r>
      <rPr>
        <sz val="11"/>
        <rFont val="Arial"/>
        <charset val="134"/>
      </rPr>
      <t xml:space="preserve">MA 1L </t>
    </r>
    <r>
      <rPr>
        <sz val="11"/>
        <rFont val="宋体"/>
        <charset val="134"/>
      </rPr>
      <t>最新版本</t>
    </r>
    <r>
      <rPr>
        <sz val="11"/>
        <rFont val="Arial"/>
        <charset val="134"/>
      </rPr>
      <t xml:space="preserve"> </t>
    </r>
    <r>
      <rPr>
        <sz val="11"/>
        <rFont val="宋体"/>
        <charset val="134"/>
      </rPr>
      <t>。</t>
    </r>
    <r>
      <rPr>
        <sz val="11"/>
        <rFont val="Arial"/>
        <charset val="134"/>
      </rPr>
      <t xml:space="preserve">                                                            1.ZURU MA UPC </t>
    </r>
    <r>
      <rPr>
        <sz val="11"/>
        <rFont val="宋体"/>
        <charset val="134"/>
      </rPr>
      <t>现有版本包装</t>
    </r>
    <r>
      <rPr>
        <sz val="11"/>
        <rFont val="Arial"/>
        <charset val="134"/>
      </rPr>
      <t xml:space="preserve"> + </t>
    </r>
    <r>
      <rPr>
        <sz val="11"/>
        <rFont val="宋体"/>
        <charset val="134"/>
      </rPr>
      <t>客供价格贴纸，出口美国</t>
    </r>
    <r>
      <rPr>
        <sz val="11"/>
        <rFont val="Arial"/>
        <charset val="134"/>
      </rPr>
      <t xml:space="preserve"> , </t>
    </r>
    <r>
      <rPr>
        <sz val="11"/>
        <rFont val="宋体"/>
        <charset val="134"/>
      </rPr>
      <t>优先使用</t>
    </r>
    <r>
      <rPr>
        <sz val="11"/>
        <rFont val="Arial"/>
        <charset val="134"/>
      </rPr>
      <t xml:space="preserve">MA 1L </t>
    </r>
    <r>
      <rPr>
        <sz val="11"/>
        <rFont val="宋体"/>
        <charset val="134"/>
      </rPr>
      <t>最新版本</t>
    </r>
    <r>
      <rPr>
        <sz val="11"/>
        <rFont val="Arial"/>
        <charset val="134"/>
      </rPr>
      <t xml:space="preserve"> </t>
    </r>
    <r>
      <rPr>
        <sz val="11"/>
        <rFont val="宋体"/>
        <charset val="134"/>
      </rPr>
      <t>。</t>
    </r>
    <r>
      <rPr>
        <sz val="11"/>
        <rFont val="Arial"/>
        <charset val="134"/>
      </rPr>
      <t xml:space="preserve">
2.</t>
    </r>
    <r>
      <rPr>
        <sz val="11"/>
        <rFont val="宋体"/>
        <charset val="134"/>
      </rPr>
      <t>价格贴纸位于包装正面右下角，不挡住重要信息即可，可适当调整</t>
    </r>
    <r>
      <rPr>
        <sz val="11"/>
        <rFont val="Arial"/>
        <charset val="134"/>
      </rPr>
      <t xml:space="preserve">
 </t>
    </r>
    <r>
      <rPr>
        <sz val="11"/>
        <rFont val="宋体"/>
        <charset val="134"/>
      </rPr>
      <t>，价格贴纸由跟单提供。</t>
    </r>
    <r>
      <rPr>
        <sz val="11"/>
        <rFont val="Arial"/>
        <charset val="134"/>
      </rPr>
      <t xml:space="preserve">
 3.</t>
    </r>
    <r>
      <rPr>
        <sz val="11"/>
        <rFont val="宋体"/>
        <charset val="134"/>
      </rPr>
      <t>标准日期码格式，产品和包装必须有日期码</t>
    </r>
    <r>
      <rPr>
        <sz val="11"/>
        <rFont val="Arial"/>
        <charset val="134"/>
      </rPr>
      <t xml:space="preserve"> </t>
    </r>
    <r>
      <rPr>
        <sz val="11"/>
        <rFont val="宋体"/>
        <charset val="134"/>
      </rPr>
      <t>。</t>
    </r>
    <r>
      <rPr>
        <sz val="11"/>
        <rFont val="Arial"/>
        <charset val="134"/>
      </rPr>
      <t xml:space="preserve">
 4.</t>
    </r>
    <r>
      <rPr>
        <sz val="11"/>
        <rFont val="宋体"/>
        <charset val="134"/>
      </rPr>
      <t>同个产品同个货期不可出现不同的包装。</t>
    </r>
    <r>
      <rPr>
        <sz val="11"/>
        <rFont val="Arial"/>
        <charset val="134"/>
      </rPr>
      <t xml:space="preserve">
 5. </t>
    </r>
    <r>
      <rPr>
        <sz val="11"/>
        <rFont val="宋体"/>
        <charset val="134"/>
      </rPr>
      <t>跟单提供</t>
    </r>
    <r>
      <rPr>
        <sz val="11"/>
        <rFont val="Arial"/>
        <charset val="134"/>
      </rPr>
      <t>ROSS</t>
    </r>
    <r>
      <rPr>
        <sz val="11"/>
        <rFont val="宋体"/>
        <charset val="134"/>
      </rPr>
      <t>通用的箱唛模版，工厂按实际</t>
    </r>
    <r>
      <rPr>
        <sz val="11"/>
        <rFont val="Arial"/>
        <charset val="134"/>
      </rPr>
      <t>45 PO</t>
    </r>
    <r>
      <rPr>
        <sz val="11"/>
        <rFont val="宋体"/>
        <charset val="134"/>
      </rPr>
      <t>上客户</t>
    </r>
    <r>
      <rPr>
        <sz val="11"/>
        <rFont val="Arial"/>
        <charset val="134"/>
      </rPr>
      <t>PO/Item</t>
    </r>
    <r>
      <rPr>
        <sz val="11"/>
        <rFont val="宋体"/>
        <charset val="134"/>
      </rPr>
      <t>号</t>
    </r>
    <r>
      <rPr>
        <sz val="11"/>
        <rFont val="Arial"/>
        <charset val="134"/>
      </rPr>
      <t>/</t>
    </r>
    <r>
      <rPr>
        <sz val="11"/>
        <rFont val="宋体"/>
        <charset val="134"/>
      </rPr>
      <t>装箱数</t>
    </r>
    <r>
      <rPr>
        <sz val="11"/>
        <rFont val="Arial"/>
        <charset val="134"/>
      </rPr>
      <t xml:space="preserve"> </t>
    </r>
    <r>
      <rPr>
        <sz val="11"/>
        <rFont val="宋体"/>
        <charset val="134"/>
      </rPr>
      <t>提供箱唛排版来确认。</t>
    </r>
  </si>
  <si>
    <t>MO20250226-2</t>
  </si>
  <si>
    <t>MO20250226-2-10</t>
  </si>
  <si>
    <t>Date code format：ZURU Standard format                  Date：Manufactory Date                                                             1.ZURU MA UPC 现有版本包装 + 客供价格贴纸，出口美国 , 优先使用MA 1L 最新版本 。1.ZURU MA UPC 现有版本包装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t>
  </si>
  <si>
    <r>
      <rPr>
        <sz val="11"/>
        <rFont val="宋体"/>
        <charset val="0"/>
      </rPr>
      <t>客户</t>
    </r>
    <r>
      <rPr>
        <sz val="11"/>
        <rFont val="Arial"/>
        <charset val="0"/>
      </rPr>
      <t>PO:019236
80/1</t>
    </r>
  </si>
  <si>
    <t>4500159586-30</t>
  </si>
  <si>
    <r>
      <rPr>
        <sz val="10"/>
        <rFont val="Arial"/>
        <charset val="0"/>
      </rPr>
      <t>MA UPC</t>
    </r>
    <r>
      <rPr>
        <sz val="10"/>
        <rFont val="宋体"/>
        <charset val="0"/>
      </rPr>
      <t>版本</t>
    </r>
  </si>
  <si>
    <t>日期码格式：ZURU INC(BVI) 标准格式 日期：按实际生产日期
Packaging Info: 标准配比(UPC版本， 优先1L)
Remark: 订单对应2个PO，请分开做货，一个PO一个柜， 不要混装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</si>
  <si>
    <r>
      <rPr>
        <sz val="11"/>
        <rFont val="宋体"/>
        <charset val="0"/>
      </rPr>
      <t>客户</t>
    </r>
    <r>
      <rPr>
        <sz val="11"/>
        <rFont val="Arial"/>
        <charset val="0"/>
      </rPr>
      <t>PO:019236
85/1</t>
    </r>
  </si>
  <si>
    <t>4500159586-40</t>
  </si>
  <si>
    <r>
      <rPr>
        <sz val="11"/>
        <rFont val="宋体"/>
        <charset val="0"/>
      </rPr>
      <t>出</t>
    </r>
    <r>
      <rPr>
        <sz val="11"/>
        <rFont val="Arial"/>
        <charset val="0"/>
      </rPr>
      <t>Bekasovo 2</t>
    </r>
  </si>
  <si>
    <t>4500150271-10</t>
  </si>
  <si>
    <t>转4500163959</t>
  </si>
  <si>
    <r>
      <rPr>
        <sz val="10"/>
        <rFont val="宋体"/>
        <charset val="0"/>
      </rPr>
      <t>日期码格式：外包装</t>
    </r>
    <r>
      <rPr>
        <sz val="10"/>
        <rFont val="Arial"/>
        <charset val="0"/>
      </rPr>
      <t>/</t>
    </r>
    <r>
      <rPr>
        <sz val="10"/>
        <rFont val="宋体"/>
        <charset val="0"/>
      </rPr>
      <t>外箱不要打</t>
    </r>
    <r>
      <rPr>
        <sz val="10"/>
        <rFont val="Arial"/>
        <charset val="0"/>
      </rPr>
      <t>ZURU</t>
    </r>
    <r>
      <rPr>
        <sz val="10"/>
        <rFont val="宋体"/>
        <charset val="0"/>
      </rPr>
      <t>标准日期码</t>
    </r>
  </si>
  <si>
    <t>日期码格式：外包装/外箱不要打ZURU标准日期码 日期：
Packaging Info: 注意 ：外包装 (指: 收缩膜/彩卡/铝箔袋/挂卡/PDQ) /外箱不要打ZURU标准日期码！胶件可以打日期码 .
25252 ： MA 彩卡+ 进口商贴纸翻4500150264+ EAN条码贴纸翻4500150264， MA 说明书 ：
Remark: 标准配比 ；
请按期完货， 会有罚金。
出港口Bekasovo 2.</t>
  </si>
  <si>
    <t>Ship to
CB5-OSES</t>
  </si>
  <si>
    <t>4500159874-10</t>
  </si>
  <si>
    <t>欠彩盒文档</t>
  </si>
  <si>
    <t>欠-FSC认证</t>
  </si>
  <si>
    <t>日期码格式：ZURU INC(BVI) 标准格式 日期：按实际生产日期
Packaging Info: 7163： 客版彩盒+客版说明书(+WEEE 带电池走货 通用30L 说明书)
 ship to CB5 和CB8 的订单： 需要要入包装后再加一个Polgbag+BABY GTIN Stciker (与彩盒上的一致）
 电池盖需要印如下
 ZURU FRANCE
 1/3, Rue d'Argenteuil 95210 SAINT-GRATIEN FRANCE.
 care@zuru.com
 不同颜色鲨鱼的彩盒上面的条码不同,ITEM 7163 8PCS/CTN，比例如下,
 3pcs Blue BABY EAN : 4052916857670 -7163A-HG13588
 3pcs Pink BABY EAN : 4052916857687 -7163B-HG135889
 2pcs Yellow BABY EAN : 4052916857694 -7163C-HG13560
Remark: 1 产品带电池出货，电池需要符合欧洲标准；
 2 客户可能会有抽板测试，
 3 CB5，CB6 ，CB8的箱唛不相同，请参考具体的箱唛资料。
 且各个国家外箱颜色，色号：鹿特丹 (黑色 2C)，備用產品Free of charge (黑色 2C)
 4.外箱必须为FSC MIX坚固5层纸及再造纸材料造成，外箱上下必须各放上一张可遮盖全层面积的瓦楞纸板（至少450g/m2）以作开箱之保护。
 箱唛上面箱规和重量与实际的箱唛箱规和重量差值不能超过3%。外箱上的条码需要确保能扫描。
外箱需做"工"字型封箱。外箱里面如果需要加拷贝纸或者保护卡，请提前通知跟单。
 外箱需要是FSC MIX L纸箱厂 .
 5. 产品，包装，外箱等所有包装上要打ZURU date code
 6. 此单需要在兴信生产，需多备包材物料，客人每一款会抽50PCS的样品做产前和产中测试以及封版留底。客户不接受少出货。
 验货分为：
 0% 试产验货（LIDL QC)
 30% 验货（LIDL QC)
 50% 验货（LIDL QC)
 100%验货（LIDL QC)
 7. 货柜里面需放干燥剂，客户指定唯一品牌：Micro-Pak牌
 45" 集装箱: 8KG Micro-Pak牌 (8條 x 每條1kg)，
 40" HQ 集装箱: 7KG Micro-Pak牌 (7條 x 每條1kg)，
 40" GP 集装箱: 6KG Micro-Pak牌(6條 x 每條1kg)，
 20" GP 集装箱: 4KG Micro-Pak牌(4條x每條1kg)
装柜的时候需按箱号顺序装柜，即1号柜为1~500箱，2号柜为501~1000箱，3号柜为1001~1500箱。每个货柜里面可以不按外箱箱号的顺序大小进行排列。
 8. 每个货柜柜尾需要加LOADING NET。
 9. 此单出德国和欧洲，所有原材料和产品需满足德国和欧洲以及LIDL客人相关测试要求。
 10. LIDL客人订单所有原材料/成品都需放置在雨禾室内仓库中，不能放于室外。</t>
  </si>
  <si>
    <t>SHIP TO CB8-
OSBE/NL/CZ/FR
/PL/SK</t>
  </si>
  <si>
    <t>4500159874-30</t>
  </si>
  <si>
    <t>L &lt;(&gt;&amp;&lt;)&gt; M
Fleet Supply
PO P10007409</t>
  </si>
  <si>
    <t>4500161570-720</t>
  </si>
  <si>
    <t>5.29取消</t>
  </si>
  <si>
    <t>3R7HLY8E</t>
  </si>
  <si>
    <t>4500163897-70</t>
  </si>
  <si>
    <t>欠外箱贴+防伪帖</t>
  </si>
  <si>
    <t>彩盒图稿跟返单4500112288++MA说明书</t>
  </si>
  <si>
    <t>日期码格式：ZURU INC(BVI) 标准格式 日期：按实际生产日期
Packaging Info:
#71109 产品直接入彩盒+MA说明书， 彩盒图稿跟返单4500112288. D款要加UPC贴纸， UPC贴纸图稿跟返单4500112288。#71109要加一张客供防伪帖纸，贴纸跟单提
供。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</si>
  <si>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2DLA9GRC</t>
  </si>
  <si>
    <t>4500163897-80</t>
  </si>
  <si>
    <t>游水系列MA彩盒、說明書扣數表</t>
  </si>
  <si>
    <r>
      <rPr>
        <sz val="10"/>
        <rFont val="宋体"/>
        <charset val="134"/>
      </rPr>
      <t>订单号码</t>
    </r>
  </si>
  <si>
    <r>
      <rPr>
        <sz val="10"/>
        <rFont val="宋体"/>
        <charset val="134"/>
      </rPr>
      <t>日期</t>
    </r>
  </si>
  <si>
    <r>
      <rPr>
        <sz val="10"/>
        <rFont val="宋体"/>
        <charset val="134"/>
      </rPr>
      <t>M</t>
    </r>
    <r>
      <rPr>
        <sz val="10"/>
        <rFont val="宋体"/>
        <charset val="134"/>
      </rPr>
      <t>A PO</t>
    </r>
  </si>
  <si>
    <r>
      <rPr>
        <sz val="10"/>
        <rFont val="宋体"/>
        <charset val="134"/>
      </rPr>
      <t>跟单</t>
    </r>
  </si>
  <si>
    <t>ITEM</t>
  </si>
  <si>
    <t>#25251</t>
  </si>
  <si>
    <t>#25252</t>
  </si>
  <si>
    <t>#25253</t>
  </si>
  <si>
    <t>#25282</t>
  </si>
  <si>
    <t>#25291</t>
  </si>
  <si>
    <t>#25282EC</t>
  </si>
  <si>
    <t>Duck</t>
  </si>
  <si>
    <t>bady Crocodi</t>
  </si>
  <si>
    <t>Big Fish</t>
  </si>
  <si>
    <t>MA說明書</t>
  </si>
  <si>
    <t>WM-客办彩盒</t>
  </si>
  <si>
    <r>
      <rPr>
        <b/>
        <sz val="11"/>
        <color rgb="FFFF0000"/>
        <rFont val="宋体"/>
        <charset val="0"/>
      </rPr>
      <t>客办彩盒</t>
    </r>
    <r>
      <rPr>
        <b/>
        <sz val="11"/>
        <color rgb="FFFF0000"/>
        <rFont val="Arial"/>
        <charset val="0"/>
      </rPr>
      <t>MA</t>
    </r>
  </si>
  <si>
    <t>客办说明书</t>
  </si>
  <si>
    <t>MA 1語彩盒</t>
  </si>
  <si>
    <t>MA 3語彩盒</t>
  </si>
  <si>
    <t>MA 1語說明書</t>
  </si>
  <si>
    <t>MA 3語說明書</t>
  </si>
  <si>
    <t>9语说明书</t>
  </si>
  <si>
    <t>MA許可貼紙</t>
  </si>
  <si>
    <t>25282客版彩盒+打飞机孔</t>
  </si>
  <si>
    <t>25282A 
Target
客版彩盒</t>
  </si>
  <si>
    <t>25282A 
WM单 
客版彩盒</t>
  </si>
  <si>
    <t>25282B 
WM单 
客版彩盒</t>
  </si>
  <si>
    <t>25282D
WM单
客版彩盒</t>
  </si>
  <si>
    <t>MA 1语彩盒</t>
  </si>
  <si>
    <t>MA 1语说明书</t>
  </si>
  <si>
    <t>MA 3语彩盒</t>
  </si>
  <si>
    <t>MA 3语说明书</t>
  </si>
  <si>
    <t>MA 1语彩盒-2024新版本</t>
  </si>
  <si>
    <t>MA 3语彩盒-2024新版本</t>
  </si>
  <si>
    <r>
      <rPr>
        <sz val="11"/>
        <rFont val="宋体"/>
        <charset val="134"/>
      </rPr>
      <t>MA 9L说明书-2024新版本</t>
    </r>
    <r>
      <rPr>
        <sz val="11"/>
        <color rgb="FFFF0000"/>
        <rFont val="宋体"/>
        <charset val="134"/>
      </rPr>
      <t>(7163/7166/7175)共用</t>
    </r>
  </si>
  <si>
    <t>MA PDQ（新）</t>
  </si>
  <si>
    <t>客版PDQ</t>
  </si>
  <si>
    <t>7166/7155-PDQ</t>
  </si>
  <si>
    <r>
      <rPr>
        <sz val="11"/>
        <rFont val="宋体"/>
        <charset val="134"/>
      </rPr>
      <t>数量</t>
    </r>
    <r>
      <rPr>
        <sz val="11"/>
        <rFont val="Arial"/>
        <charset val="0"/>
      </rPr>
      <t>/</t>
    </r>
    <r>
      <rPr>
        <sz val="11"/>
        <rFont val="宋体"/>
        <charset val="134"/>
      </rPr>
      <t>套</t>
    </r>
  </si>
  <si>
    <r>
      <rPr>
        <sz val="10"/>
        <rFont val="宋体"/>
        <charset val="134"/>
      </rPr>
      <t>鴨子</t>
    </r>
  </si>
  <si>
    <r>
      <rPr>
        <sz val="10"/>
        <rFont val="宋体"/>
        <charset val="134"/>
      </rPr>
      <t>鱷魚</t>
    </r>
  </si>
  <si>
    <r>
      <rPr>
        <sz val="10"/>
        <rFont val="宋体"/>
        <charset val="134"/>
      </rPr>
      <t>金魚</t>
    </r>
  </si>
  <si>
    <t>三款共用</t>
  </si>
  <si>
    <r>
      <rPr>
        <b/>
        <sz val="10"/>
        <rFont val="Arial"/>
        <charset val="0"/>
      </rPr>
      <t>B</t>
    </r>
    <r>
      <rPr>
        <b/>
        <sz val="10"/>
        <rFont val="宋体"/>
        <charset val="134"/>
      </rPr>
      <t>版本</t>
    </r>
  </si>
  <si>
    <r>
      <rPr>
        <b/>
        <sz val="10"/>
        <rFont val="Arial"/>
        <charset val="0"/>
      </rPr>
      <t>C</t>
    </r>
    <r>
      <rPr>
        <b/>
        <sz val="10"/>
        <rFont val="宋体"/>
        <charset val="134"/>
      </rPr>
      <t>版本</t>
    </r>
  </si>
  <si>
    <r>
      <rPr>
        <b/>
        <sz val="10"/>
        <rFont val="Arial"/>
        <charset val="0"/>
      </rPr>
      <t>D</t>
    </r>
    <r>
      <rPr>
        <b/>
        <sz val="10"/>
        <rFont val="宋体"/>
        <charset val="0"/>
      </rPr>
      <t>版本</t>
    </r>
  </si>
  <si>
    <r>
      <rPr>
        <sz val="10"/>
        <rFont val="Arial"/>
        <charset val="0"/>
      </rPr>
      <t>E</t>
    </r>
    <r>
      <rPr>
        <sz val="10"/>
        <rFont val="宋体"/>
        <charset val="0"/>
      </rPr>
      <t>版本</t>
    </r>
  </si>
  <si>
    <t>B版本</t>
  </si>
  <si>
    <t>C版本</t>
  </si>
  <si>
    <t>D版本</t>
  </si>
  <si>
    <t>A版本</t>
  </si>
  <si>
    <t>E版本</t>
  </si>
  <si>
    <t>C/D版本</t>
  </si>
  <si>
    <t>F版本</t>
  </si>
  <si>
    <t>G版本</t>
  </si>
  <si>
    <t>品牌貼紙</t>
  </si>
  <si>
    <t>MA_027_Robo Alive</t>
  </si>
  <si>
    <t>MA_027_ Robo Alive</t>
  </si>
  <si>
    <t>vicky</t>
  </si>
  <si>
    <t>不带底座</t>
  </si>
  <si>
    <t xml:space="preserve">1000004569
</t>
  </si>
  <si>
    <t>TBA</t>
  </si>
  <si>
    <t>MA_027_ Robo Alive</t>
  </si>
  <si>
    <t>ROBO ALIVE</t>
  </si>
  <si>
    <t xml:space="preserve">TBA </t>
  </si>
  <si>
    <r>
      <rPr>
        <sz val="11"/>
        <color indexed="8"/>
        <rFont val="宋体"/>
        <charset val="134"/>
      </rPr>
      <t>用于订单</t>
    </r>
    <r>
      <rPr>
        <sz val="11"/>
        <color indexed="8"/>
        <rFont val="Calibri"/>
        <charset val="0"/>
      </rPr>
      <t>4500085867
4500085866
4500085868
4500085856
4500085863
4500085853
4500085865
4500085875
4500085874
4500085876
4500085870
4500085871
4500085869
4500085872</t>
    </r>
  </si>
  <si>
    <r>
      <rPr>
        <sz val="11"/>
        <rFont val="宋体"/>
        <charset val="134"/>
      </rPr>
      <t>用于订单</t>
    </r>
    <r>
      <rPr>
        <sz val="11"/>
        <rFont val="Calibri"/>
        <charset val="0"/>
      </rPr>
      <t>4500085867
4500085866
4500085868
4500085856
4500085863
4500085853
4500085865
4500085875
4500085874
4500085876
4500085870
4500085871
4500085869
4500085872</t>
    </r>
  </si>
  <si>
    <r>
      <rPr>
        <sz val="11"/>
        <rFont val="宋体"/>
        <charset val="134"/>
      </rPr>
      <t>用于</t>
    </r>
    <r>
      <rPr>
        <sz val="11"/>
        <rFont val="Calibri"/>
        <charset val="0"/>
      </rPr>
      <t>4500087667 4500087672</t>
    </r>
    <r>
      <rPr>
        <sz val="11"/>
        <rFont val="宋体"/>
        <charset val="134"/>
      </rPr>
      <t>订单</t>
    </r>
  </si>
  <si>
    <r>
      <rPr>
        <sz val="10"/>
        <color indexed="8"/>
        <rFont val="微软雅黑"/>
        <charset val="134"/>
      </rPr>
      <t>用于</t>
    </r>
    <r>
      <rPr>
        <sz val="10.5"/>
        <color indexed="8"/>
        <rFont val="Arial"/>
        <charset val="0"/>
      </rPr>
      <t>4500087674 4500087675 订单</t>
    </r>
  </si>
  <si>
    <t xml:space="preserve">4500090527 4500090528 4500090530  4500090533 </t>
  </si>
  <si>
    <t>4500090534 4500090532 4500090529 4500090533 4500090527 4500090528</t>
  </si>
  <si>
    <t>10560 </t>
  </si>
  <si>
    <t>4500092183 4500092189 4500092190 4500092191 4500092192 4500092194 4500092195 4500092196 4500092199 4500092201 4500092202 4500092204 4500092205</t>
  </si>
  <si>
    <t>4500092183 4500092185 4500092189 4500092190 4500092191 4500092192 4500092194 4500092195 4500092196 4500092199 4500092200 4500092201 4500092202 4500092204 4500092205 4500092207</t>
  </si>
  <si>
    <t>4500092183 4500092185 4500092189 4500092190 4500092191 4500092192 4500092194 4500092195 4500092196 4500092199 4500092200 4500092201 4500092202 4500092204 4500092205</t>
  </si>
  <si>
    <t>4500093872 4500093873 4500093874 4500093868 4500093869 4500093867 4500093870 4500093878 4500093880 4500093882 4500093876 4500093879 4500093877 4500093886 4500093887 4500093888 4500093883 4500093884 4500093885 4500093889 4500093890</t>
  </si>
  <si>
    <t>4500094928 4500094923 4500094924 4500094927 4500094925 4500094922 4500094926</t>
  </si>
  <si>
    <t>4500095652 4500095654 4500095648 4500095649 4500095647 4500095651 45000956644 500095661 4500095657 4500095658 4500095660</t>
  </si>
  <si>
    <t>4500096772 4500096774 4500096766 4500096768 4500096759 4500096770</t>
  </si>
  <si>
    <t>4500096772 4500096775 4500096774 4500096766 4500096768 4500096759 4500096770 4500096777 4500096776</t>
  </si>
  <si>
    <t>4500103123 4500103125 4500103126</t>
  </si>
  <si>
    <r>
      <rPr>
        <sz val="11"/>
        <rFont val="Calibri"/>
        <charset val="0"/>
      </rPr>
      <t>Nikki</t>
    </r>
    <r>
      <rPr>
        <sz val="11"/>
        <rFont val="宋体"/>
        <charset val="134"/>
      </rPr>
      <t>用于订单</t>
    </r>
    <r>
      <rPr>
        <sz val="11"/>
        <rFont val="Calibri"/>
        <charset val="0"/>
      </rPr>
      <t xml:space="preserve"> 4500105062 4500105063 4500105064</t>
    </r>
  </si>
  <si>
    <r>
      <rPr>
        <sz val="11"/>
        <rFont val="Calibri"/>
        <charset val="0"/>
      </rPr>
      <t>Paul</t>
    </r>
    <r>
      <rPr>
        <sz val="11"/>
        <rFont val="宋体"/>
        <charset val="0"/>
      </rPr>
      <t>用于订单</t>
    </r>
    <r>
      <rPr>
        <sz val="11"/>
        <rFont val="Calibri"/>
        <charset val="0"/>
      </rPr>
      <t>4500106219/4500109156/4500109157/4500111224</t>
    </r>
  </si>
  <si>
    <t>4500110171 &amp; 4500110172 4500111569/4500111630/4500111631/4500111632/4500111634/4500111635/4500111636/4500111637/4500111638/4500111639/4500111640-4500111641/4500111643/4500111645/4500111647</t>
  </si>
  <si>
    <t>Daisy.Li</t>
  </si>
  <si>
    <t>Nikki用于订单 4500116333 4500116334 4500116335 4500116336 4500116337</t>
  </si>
  <si>
    <t>Ada</t>
  </si>
  <si>
    <t>Nikki用于订单 4500118587 4500118589 4500118590 4500118591 4500118592 4500118593 4500118594</t>
  </si>
  <si>
    <t>Nikki用于订单 4500120019 4500120018 4500120269 4500120263 4500120264 4500120260 4500120268</t>
  </si>
  <si>
    <r>
      <rPr>
        <sz val="11"/>
        <rFont val="宋体"/>
        <charset val="134"/>
      </rPr>
      <t>Nikki用于订单</t>
    </r>
    <r>
      <rPr>
        <sz val="11"/>
        <rFont val="Calibri"/>
        <charset val="134"/>
      </rPr>
      <t xml:space="preserve"> 4500120977 4500120978 4500120979 4500120973 4500120974 4500120972 4500120976 4500120990 4500120991 4500120993 4500120981 4500120982 4500120980 4500121016 4500121018 4500121019 4500121013 4500121014 4500121009 4500121015</t>
    </r>
  </si>
  <si>
    <r>
      <rPr>
        <sz val="11"/>
        <rFont val="宋体"/>
        <charset val="134"/>
      </rPr>
      <t>Nikki</t>
    </r>
    <r>
      <rPr>
        <sz val="11"/>
        <rFont val="宋体"/>
        <charset val="134"/>
      </rPr>
      <t>用于订单</t>
    </r>
    <r>
      <rPr>
        <sz val="11"/>
        <rFont val="Calibri"/>
        <charset val="0"/>
      </rPr>
      <t xml:space="preserve"> 4500120977 4500120978 4500120979 4500120973 4500120974 4500120972 4500120976 4500120990 4500120991 4500120993 4500120981 4500120982 4500120980 4500121016 4500121018 4500121019 4500121013 4500121014 4500121009 4500121015</t>
    </r>
  </si>
  <si>
    <t>Nikki用于订单 4500122818 4500122258 4500122217 4500122215 4500122256</t>
  </si>
  <si>
    <r>
      <rPr>
        <sz val="11"/>
        <rFont val="Calibri"/>
        <charset val="0"/>
      </rPr>
      <t>Nikki</t>
    </r>
    <r>
      <rPr>
        <sz val="11"/>
        <rFont val="宋体"/>
        <charset val="0"/>
      </rPr>
      <t>用于订单</t>
    </r>
    <r>
      <rPr>
        <sz val="11"/>
        <rFont val="Calibri"/>
        <charset val="0"/>
      </rPr>
      <t xml:space="preserve"> 4500122987 4500122972 4500123004 4500122990 4500123005 4500122979 4500122992 4500123002 4500123007 4500122986 4500123008 4500122983 4500122984 4500123010 4500122981 4500122982 4500123006</t>
    </r>
  </si>
  <si>
    <t>Nikki用于订单 4500123005 4500122972 4500122982 4500123011 4500123008 4500123010 4500123004 4500122987 4500123007 4500122990 4500123006 4500122992 4500122983 4500122981 4500123011 4500122984 4500122986 4500123002 4500122979</t>
  </si>
  <si>
    <r>
      <rPr>
        <sz val="11"/>
        <rFont val="Calibri"/>
        <charset val="0"/>
      </rPr>
      <t>Nikki</t>
    </r>
    <r>
      <rPr>
        <sz val="11"/>
        <rFont val="宋体"/>
        <charset val="0"/>
      </rPr>
      <t>用于订单</t>
    </r>
    <r>
      <rPr>
        <sz val="11"/>
        <rFont val="Calibri"/>
        <charset val="0"/>
      </rPr>
      <t xml:space="preserve"> 4500124607 4500124609 4500124608 4500124606 4500124605 4500124610 4500124611</t>
    </r>
  </si>
  <si>
    <r>
      <rPr>
        <sz val="11"/>
        <rFont val="Calibri"/>
        <charset val="0"/>
      </rPr>
      <t>Nikki</t>
    </r>
    <r>
      <rPr>
        <sz val="11"/>
        <rFont val="宋体"/>
        <charset val="0"/>
      </rPr>
      <t>用于订单</t>
    </r>
    <r>
      <rPr>
        <sz val="11"/>
        <rFont val="Calibri"/>
        <charset val="0"/>
      </rPr>
      <t xml:space="preserve"> 4500124605 4500124609 4500124607 4500124610 4500124606 4500124611 4500124608</t>
    </r>
  </si>
  <si>
    <r>
      <rPr>
        <sz val="11"/>
        <rFont val="Calibri"/>
        <charset val="0"/>
      </rPr>
      <t>Nikki</t>
    </r>
    <r>
      <rPr>
        <sz val="11"/>
        <rFont val="宋体"/>
        <charset val="0"/>
      </rPr>
      <t>用于订单</t>
    </r>
    <r>
      <rPr>
        <sz val="11"/>
        <rFont val="Calibri"/>
        <charset val="0"/>
      </rPr>
      <t xml:space="preserve"> 4500125925 4500125926 4500125927</t>
    </r>
  </si>
  <si>
    <r>
      <rPr>
        <sz val="11"/>
        <rFont val="Calibri"/>
        <charset val="0"/>
      </rPr>
      <t>Nikki</t>
    </r>
    <r>
      <rPr>
        <sz val="11"/>
        <rFont val="宋体"/>
        <charset val="0"/>
      </rPr>
      <t>用于订单</t>
    </r>
    <r>
      <rPr>
        <sz val="11"/>
        <rFont val="Calibri"/>
        <charset val="0"/>
      </rPr>
      <t xml:space="preserve"> 4500126714 4500126719 4500126721 4500126722</t>
    </r>
  </si>
  <si>
    <t>Jenny Shen</t>
  </si>
  <si>
    <r>
      <rPr>
        <sz val="11"/>
        <rFont val="Calibri"/>
        <charset val="0"/>
      </rPr>
      <t>Luna</t>
    </r>
    <r>
      <rPr>
        <sz val="11"/>
        <rFont val="宋体"/>
        <charset val="0"/>
      </rPr>
      <t>用于</t>
    </r>
    <r>
      <rPr>
        <sz val="11"/>
        <rFont val="Calibri"/>
        <charset val="0"/>
      </rPr>
      <t>GEKAS</t>
    </r>
    <r>
      <rPr>
        <sz val="11"/>
        <rFont val="宋体"/>
        <charset val="0"/>
      </rPr>
      <t>订单</t>
    </r>
    <r>
      <rPr>
        <sz val="11"/>
        <rFont val="Calibri"/>
        <charset val="0"/>
      </rPr>
      <t>1080pcs</t>
    </r>
    <r>
      <rPr>
        <sz val="11"/>
        <rFont val="宋体"/>
        <charset val="0"/>
      </rPr>
      <t>，</t>
    </r>
    <r>
      <rPr>
        <sz val="11"/>
        <rFont val="Calibri"/>
        <charset val="0"/>
      </rPr>
      <t>4500126079 480</t>
    </r>
    <r>
      <rPr>
        <sz val="11"/>
        <rFont val="宋体"/>
        <charset val="0"/>
      </rPr>
      <t>，</t>
    </r>
    <r>
      <rPr>
        <sz val="11"/>
        <rFont val="Calibri"/>
        <charset val="0"/>
      </rPr>
      <t>4500126092 240</t>
    </r>
    <r>
      <rPr>
        <sz val="11"/>
        <rFont val="宋体"/>
        <charset val="0"/>
      </rPr>
      <t>，</t>
    </r>
    <r>
      <rPr>
        <sz val="11"/>
        <rFont val="Calibri"/>
        <charset val="0"/>
      </rPr>
      <t>4500137072 240</t>
    </r>
  </si>
  <si>
    <r>
      <rPr>
        <sz val="11"/>
        <rFont val="宋体"/>
        <charset val="0"/>
      </rPr>
      <t>此单按单订购</t>
    </r>
    <r>
      <rPr>
        <sz val="11"/>
        <rFont val="Calibri"/>
        <charset val="0"/>
      </rPr>
      <t>MA</t>
    </r>
    <r>
      <rPr>
        <sz val="11"/>
        <rFont val="宋体"/>
        <charset val="0"/>
      </rPr>
      <t>不另外建</t>
    </r>
    <r>
      <rPr>
        <sz val="11"/>
        <rFont val="Calibri"/>
        <charset val="0"/>
      </rPr>
      <t>MA PO</t>
    </r>
  </si>
  <si>
    <t>Peggy Wu</t>
  </si>
  <si>
    <r>
      <rPr>
        <sz val="11"/>
        <rFont val="Calibri"/>
        <charset val="0"/>
      </rPr>
      <t xml:space="preserve">Paul </t>
    </r>
    <r>
      <rPr>
        <sz val="11"/>
        <rFont val="宋体"/>
        <charset val="0"/>
      </rPr>
      <t>用于订单</t>
    </r>
    <r>
      <rPr>
        <sz val="11"/>
        <rFont val="Calibri"/>
        <charset val="0"/>
      </rPr>
      <t xml:space="preserve"> 4500127917 4500128074</t>
    </r>
  </si>
  <si>
    <r>
      <rPr>
        <sz val="11"/>
        <rFont val="Calibri"/>
        <charset val="0"/>
      </rPr>
      <t>Nikki</t>
    </r>
    <r>
      <rPr>
        <sz val="11"/>
        <rFont val="宋体"/>
        <charset val="0"/>
      </rPr>
      <t>用于订单</t>
    </r>
    <r>
      <rPr>
        <sz val="11"/>
        <rFont val="Calibri"/>
        <charset val="0"/>
      </rPr>
      <t xml:space="preserve"> 4500128688 4500128690</t>
    </r>
  </si>
  <si>
    <r>
      <rPr>
        <sz val="11"/>
        <rFont val="Calibri"/>
        <charset val="0"/>
      </rPr>
      <t>Nikki</t>
    </r>
    <r>
      <rPr>
        <sz val="11"/>
        <rFont val="宋体"/>
        <charset val="0"/>
      </rPr>
      <t>用于订单</t>
    </r>
    <r>
      <rPr>
        <sz val="11"/>
        <rFont val="Calibri"/>
        <charset val="0"/>
      </rPr>
      <t>4500130003  4500130004</t>
    </r>
  </si>
  <si>
    <r>
      <rPr>
        <sz val="11"/>
        <rFont val="Calibri"/>
        <charset val="0"/>
      </rPr>
      <t xml:space="preserve">Paul </t>
    </r>
    <r>
      <rPr>
        <sz val="11"/>
        <rFont val="宋体"/>
        <charset val="0"/>
      </rPr>
      <t>用于订单</t>
    </r>
    <r>
      <rPr>
        <sz val="11"/>
        <rFont val="Calibri"/>
        <charset val="0"/>
      </rPr>
      <t xml:space="preserve"> 4500129615</t>
    </r>
  </si>
  <si>
    <r>
      <rPr>
        <sz val="11"/>
        <rFont val="Calibri"/>
        <charset val="0"/>
      </rPr>
      <t xml:space="preserve">Paul </t>
    </r>
    <r>
      <rPr>
        <sz val="11"/>
        <rFont val="宋体"/>
        <charset val="0"/>
      </rPr>
      <t>用于订单</t>
    </r>
    <r>
      <rPr>
        <sz val="11"/>
        <rFont val="Calibri"/>
        <charset val="0"/>
      </rPr>
      <t xml:space="preserve"> 4500131634</t>
    </r>
  </si>
  <si>
    <r>
      <rPr>
        <sz val="11"/>
        <rFont val="Calibri"/>
        <charset val="0"/>
      </rPr>
      <t>Nikki</t>
    </r>
    <r>
      <rPr>
        <sz val="11"/>
        <rFont val="宋体"/>
        <charset val="0"/>
      </rPr>
      <t>用于订单</t>
    </r>
    <r>
      <rPr>
        <sz val="11"/>
        <rFont val="Calibri"/>
        <charset val="0"/>
      </rPr>
      <t xml:space="preserve"> 4500132086 4500132087 4500132088 4500132089 4500132090</t>
    </r>
  </si>
  <si>
    <r>
      <rPr>
        <sz val="11"/>
        <rFont val="Calibri"/>
        <charset val="0"/>
      </rPr>
      <t>Nikki</t>
    </r>
    <r>
      <rPr>
        <sz val="11"/>
        <rFont val="宋体"/>
        <charset val="0"/>
      </rPr>
      <t>用于订单</t>
    </r>
    <r>
      <rPr>
        <sz val="11"/>
        <rFont val="Calibri"/>
        <charset val="0"/>
      </rPr>
      <t xml:space="preserve">  4500132508;4500132509;4500132510;4500132513;4500132515;4500132516;4500132517;4500132519;4500132520;4500132521;</t>
    </r>
  </si>
  <si>
    <t>Nikki用于订单 4500136416</t>
  </si>
  <si>
    <t>Nikki用于订单 4500136412 4500136414</t>
  </si>
  <si>
    <r>
      <rPr>
        <sz val="11"/>
        <rFont val="Calibri"/>
        <charset val="0"/>
      </rPr>
      <t>Paul</t>
    </r>
    <r>
      <rPr>
        <sz val="11"/>
        <rFont val="宋体"/>
        <charset val="0"/>
      </rPr>
      <t>用于订单</t>
    </r>
    <r>
      <rPr>
        <sz val="11"/>
        <rFont val="Calibri"/>
        <charset val="0"/>
      </rPr>
      <t>4500140185/4500140192/4500140197</t>
    </r>
  </si>
  <si>
    <r>
      <rPr>
        <sz val="11"/>
        <color theme="1"/>
        <rFont val="宋体"/>
        <charset val="0"/>
      </rPr>
      <t>此单按单订购</t>
    </r>
    <r>
      <rPr>
        <sz val="11"/>
        <color theme="1"/>
        <rFont val="Calibri"/>
        <charset val="0"/>
      </rPr>
      <t>MA</t>
    </r>
    <r>
      <rPr>
        <sz val="11"/>
        <color theme="1"/>
        <rFont val="宋体"/>
        <charset val="0"/>
      </rPr>
      <t>不另外建</t>
    </r>
    <r>
      <rPr>
        <sz val="11"/>
        <color theme="1"/>
        <rFont val="Calibri"/>
        <charset val="0"/>
      </rPr>
      <t>MA PO</t>
    </r>
  </si>
  <si>
    <r>
      <rPr>
        <sz val="11"/>
        <rFont val="Calibri"/>
        <charset val="0"/>
      </rPr>
      <t>Paul</t>
    </r>
    <r>
      <rPr>
        <sz val="11"/>
        <rFont val="宋体"/>
        <charset val="0"/>
      </rPr>
      <t>用于订单</t>
    </r>
    <r>
      <rPr>
        <sz val="11"/>
        <rFont val="Calibri"/>
        <charset val="0"/>
      </rPr>
      <t>4500141556</t>
    </r>
  </si>
  <si>
    <r>
      <rPr>
        <sz val="11"/>
        <rFont val="Calibri"/>
        <charset val="0"/>
      </rPr>
      <t>Nikki</t>
    </r>
    <r>
      <rPr>
        <sz val="11"/>
        <rFont val="宋体"/>
        <charset val="0"/>
      </rPr>
      <t>用于订单</t>
    </r>
    <r>
      <rPr>
        <sz val="11"/>
        <rFont val="Calibri"/>
        <charset val="0"/>
      </rPr>
      <t xml:space="preserve"> 4500141781</t>
    </r>
  </si>
  <si>
    <r>
      <rPr>
        <sz val="11"/>
        <rFont val="Calibri"/>
        <charset val="0"/>
      </rPr>
      <t>Nikki</t>
    </r>
    <r>
      <rPr>
        <sz val="11"/>
        <rFont val="宋体"/>
        <charset val="0"/>
      </rPr>
      <t>用于订单</t>
    </r>
    <r>
      <rPr>
        <sz val="11"/>
        <rFont val="Calibri"/>
        <charset val="0"/>
      </rPr>
      <t>4500142931</t>
    </r>
  </si>
  <si>
    <r>
      <rPr>
        <sz val="11"/>
        <rFont val="Calibri"/>
        <charset val="0"/>
      </rPr>
      <t>Nikki</t>
    </r>
    <r>
      <rPr>
        <sz val="11"/>
        <rFont val="宋体"/>
        <charset val="0"/>
      </rPr>
      <t>用于订单</t>
    </r>
    <r>
      <rPr>
        <sz val="11"/>
        <rFont val="Calibri"/>
        <charset val="0"/>
      </rPr>
      <t>4500144311</t>
    </r>
  </si>
  <si>
    <r>
      <rPr>
        <sz val="11"/>
        <rFont val="Calibri"/>
        <charset val="0"/>
      </rPr>
      <t>Nikki</t>
    </r>
    <r>
      <rPr>
        <sz val="11"/>
        <rFont val="宋体"/>
        <charset val="0"/>
      </rPr>
      <t>用于订单</t>
    </r>
    <r>
      <rPr>
        <sz val="11"/>
        <rFont val="Calibri"/>
        <charset val="0"/>
      </rPr>
      <t>4500144909</t>
    </r>
  </si>
  <si>
    <r>
      <rPr>
        <sz val="11"/>
        <rFont val="Calibri"/>
        <charset val="0"/>
      </rPr>
      <t>Lluvia</t>
    </r>
    <r>
      <rPr>
        <sz val="11"/>
        <rFont val="宋体"/>
        <charset val="0"/>
      </rPr>
      <t>用于</t>
    </r>
    <r>
      <rPr>
        <sz val="11"/>
        <rFont val="Calibri"/>
        <charset val="0"/>
      </rPr>
      <t>4500145196 &amp; 4500145200&amp;4500145897&amp;4500145900 &amp; 4500145902 &amp; 4500145908 &amp; 4500145909 &amp; 4500145918 &amp; 4500145919 &amp; 4500145922 &amp; 4500145925 &amp; 4500145929 &amp; 4500145932 &amp; 4500145933</t>
    </r>
  </si>
  <si>
    <r>
      <rPr>
        <sz val="11"/>
        <rFont val="Calibri"/>
        <charset val="0"/>
      </rPr>
      <t>Nikki</t>
    </r>
    <r>
      <rPr>
        <sz val="11"/>
        <rFont val="宋体"/>
        <charset val="0"/>
      </rPr>
      <t>用于订单</t>
    </r>
    <r>
      <rPr>
        <sz val="11"/>
        <rFont val="Calibri"/>
        <charset val="0"/>
      </rPr>
      <t>4500147022</t>
    </r>
  </si>
  <si>
    <r>
      <rPr>
        <sz val="11"/>
        <rFont val="Calibri"/>
        <charset val="0"/>
      </rPr>
      <t>Paul</t>
    </r>
    <r>
      <rPr>
        <sz val="11"/>
        <rFont val="宋体"/>
        <charset val="0"/>
      </rPr>
      <t>用于订单</t>
    </r>
    <r>
      <rPr>
        <sz val="11"/>
        <rFont val="Calibri"/>
        <charset val="0"/>
      </rPr>
      <t>4500147555/4500147557</t>
    </r>
  </si>
  <si>
    <r>
      <rPr>
        <sz val="10"/>
        <rFont val="Arial"/>
        <charset val="0"/>
      </rPr>
      <t>Nikki</t>
    </r>
    <r>
      <rPr>
        <sz val="10"/>
        <rFont val="宋体"/>
        <charset val="0"/>
      </rPr>
      <t>用于订单</t>
    </r>
    <r>
      <rPr>
        <sz val="10"/>
        <rFont val="Arial"/>
        <charset val="0"/>
      </rPr>
      <t xml:space="preserve"> 4500147361;4500147363;4500147364;4500147367;4500147368;4500147369;4500147371;</t>
    </r>
  </si>
  <si>
    <r>
      <rPr>
        <sz val="11"/>
        <rFont val="宋体"/>
        <charset val="134"/>
      </rPr>
      <t>Nikki</t>
    </r>
    <r>
      <rPr>
        <sz val="10"/>
        <rFont val="宋体"/>
        <charset val="134"/>
      </rPr>
      <t>用于订单4500149173 4500148811 4500148812 4500149172 4500148814 4500149174 4500148810 4500149179 4500149180 4500149176 4500149177 4500149181 4500149178</t>
    </r>
  </si>
  <si>
    <t>Nikki用于订单4500149098;4500149103;4500149105;4500149097;</t>
  </si>
  <si>
    <t xml:space="preserve">Paul用于订单4500149124 </t>
  </si>
  <si>
    <t>Nikki用于订单4500150356 4500150359 4500150355 4500150360</t>
  </si>
  <si>
    <r>
      <rPr>
        <sz val="11"/>
        <rFont val="宋体"/>
        <charset val="134"/>
      </rPr>
      <t>Nikki用于订单4500150356 4500150359 4500150357</t>
    </r>
    <r>
      <rPr>
        <b/>
        <sz val="11"/>
        <rFont val="宋体"/>
        <charset val="134"/>
      </rPr>
      <t xml:space="preserve"> </t>
    </r>
  </si>
  <si>
    <t>4500148990\4500151222\4500151224\4500151225\4500151226\4500151227/4500153261</t>
  </si>
  <si>
    <t>Nikki用于订单4500151662</t>
  </si>
  <si>
    <t>Nikki用于订单4500151651 4500151662 4500151663</t>
  </si>
  <si>
    <t>此单按单订购MA不另外建MA PO</t>
  </si>
  <si>
    <t>Paul用于订单4500152523</t>
  </si>
  <si>
    <r>
      <rPr>
        <sz val="11"/>
        <rFont val="宋体"/>
        <charset val="134"/>
      </rPr>
      <t>Nikki</t>
    </r>
    <r>
      <rPr>
        <sz val="10"/>
        <rFont val="宋体"/>
        <charset val="134"/>
      </rPr>
      <t>用于订单4500152370;4500152364;4500152365;4500152367;4500152368;4500152369;4500152363;4500152846;4500152847;4500152848;4500152850;4500152851;4500152849;</t>
    </r>
  </si>
  <si>
    <t>Nikki用于订单4500153242;4500153245;4500153255;4500153246;4500153252;4500153251;4500153247;4500153250;4500153248</t>
  </si>
  <si>
    <t>Nikki用于订单4500153255;4500153251;4500153254</t>
  </si>
  <si>
    <t>Nikki用于订单4500155349;4500155344;4500155357;4500155350;4500155351;4500155353;4500155368;4500155356;4500155352;</t>
  </si>
  <si>
    <t xml:space="preserve">Paul用于订单4500155864 </t>
  </si>
  <si>
    <t>4500158873 &amp; 4500158924 &amp; 4500159075</t>
  </si>
  <si>
    <t>Katrina订单4500166055消耗504pcs+ Lillia订单消耗360pcs+后续订单消耗</t>
  </si>
  <si>
    <t>Katrina用于订单4500166055--504pcs，May Wu新单--3708pcs4500167625 &amp; 4500166942</t>
  </si>
  <si>
    <t>Katrina用于订单4500166055-1008pcs；May Wu新单3708pcs，4500165088/4500165069--2208pcs</t>
  </si>
  <si>
    <r>
      <rPr>
        <sz val="11"/>
        <rFont val="宋体"/>
        <charset val="134"/>
      </rPr>
      <t>Nikki</t>
    </r>
    <r>
      <rPr>
        <sz val="10"/>
        <rFont val="宋体"/>
        <charset val="134"/>
      </rPr>
      <t>用于订单</t>
    </r>
    <r>
      <rPr>
        <sz val="11"/>
        <rFont val="宋体"/>
        <charset val="134"/>
      </rPr>
      <t>4500174994(剩</t>
    </r>
    <r>
      <rPr>
        <sz val="11"/>
        <color indexed="10"/>
        <rFont val="宋体"/>
        <charset val="134"/>
      </rPr>
      <t>2444</t>
    </r>
    <r>
      <rPr>
        <sz val="11"/>
        <rFont val="宋体"/>
        <charset val="134"/>
      </rPr>
      <t>pcs待后续订单消耗</t>
    </r>
  </si>
  <si>
    <t>4500174994 &amp; 4500180568</t>
  </si>
  <si>
    <t>4500180576 &amp; 4500180574 &amp; 4500180578 &amp; 4500180589 &amp; 4500180591 &amp; 4500180592</t>
  </si>
  <si>
    <t>4500179875 &amp; 4500179895 &amp; 4500179913 &amp; 4500181092</t>
  </si>
  <si>
    <t>Nikki用于订单4500181703；4500181695；4500181733；4500181734；4500181735；4500181737；4500181736</t>
  </si>
  <si>
    <t>Nikki用于订单4500188079 4500188080 4500188134 4500188136 4500188139，                                4500188099 4500188103 4500188104</t>
  </si>
  <si>
    <t>Nikki：用于订单4500188084 4500188085 4500188098</t>
  </si>
  <si>
    <r>
      <rPr>
        <sz val="10"/>
        <rFont val="宋体"/>
        <charset val="134"/>
      </rPr>
      <t>合计MA数量</t>
    </r>
  </si>
  <si>
    <r>
      <rPr>
        <sz val="10"/>
        <color rgb="FFFF0000"/>
        <rFont val="Arial"/>
        <charset val="0"/>
      </rPr>
      <t>2022</t>
    </r>
    <r>
      <rPr>
        <sz val="10"/>
        <color rgb="FFFF0000"/>
        <rFont val="宋体"/>
        <charset val="0"/>
      </rPr>
      <t>年删单数：</t>
    </r>
  </si>
  <si>
    <r>
      <rPr>
        <sz val="10"/>
        <color rgb="FFFF0000"/>
        <rFont val="Arial"/>
        <charset val="0"/>
      </rPr>
      <t>2023</t>
    </r>
    <r>
      <rPr>
        <sz val="10"/>
        <color rgb="FFFF0000"/>
        <rFont val="宋体"/>
        <charset val="0"/>
      </rPr>
      <t>年删单数：</t>
    </r>
  </si>
  <si>
    <r>
      <rPr>
        <sz val="10"/>
        <color rgb="FFFF0000"/>
        <rFont val="Arial"/>
        <charset val="0"/>
      </rPr>
      <t>2024</t>
    </r>
    <r>
      <rPr>
        <sz val="10"/>
        <color rgb="FFFF0000"/>
        <rFont val="宋体"/>
        <charset val="0"/>
      </rPr>
      <t>年删单数：</t>
    </r>
  </si>
  <si>
    <r>
      <rPr>
        <sz val="10"/>
        <rFont val="宋体"/>
        <charset val="134"/>
      </rPr>
      <t>訂單需求數</t>
    </r>
  </si>
  <si>
    <t>樣板需求</t>
  </si>
  <si>
    <r>
      <rPr>
        <sz val="10"/>
        <rFont val="Arial"/>
        <charset val="0"/>
      </rPr>
      <t>MA</t>
    </r>
    <r>
      <rPr>
        <sz val="10"/>
        <rFont val="宋体"/>
        <charset val="134"/>
      </rPr>
      <t>庫存數</t>
    </r>
  </si>
  <si>
    <t>WM客版说明书</t>
  </si>
  <si>
    <t>MA 9语说明书</t>
  </si>
  <si>
    <t>MA半成品扣數表</t>
  </si>
  <si>
    <t>IC扣數表</t>
  </si>
  <si>
    <r>
      <rPr>
        <sz val="11"/>
        <rFont val="Arial"/>
        <charset val="0"/>
      </rPr>
      <t>MA</t>
    </r>
    <r>
      <rPr>
        <sz val="11"/>
        <rFont val="宋体"/>
        <charset val="134"/>
      </rPr>
      <t>訂單號</t>
    </r>
  </si>
  <si>
    <t>日期</t>
  </si>
  <si>
    <r>
      <rPr>
        <sz val="11"/>
        <rFont val="Arial"/>
        <charset val="0"/>
      </rPr>
      <t>3</t>
    </r>
    <r>
      <rPr>
        <sz val="11"/>
        <rFont val="宋体"/>
        <charset val="134"/>
      </rPr>
      <t>款游水合計</t>
    </r>
  </si>
  <si>
    <t>鲨鱼合计</t>
  </si>
  <si>
    <t>要求完成時間</t>
  </si>
  <si>
    <t>#25251-2</t>
  </si>
  <si>
    <r>
      <rPr>
        <sz val="11"/>
        <rFont val="宋体"/>
        <charset val="134"/>
      </rPr>
      <t>鴨子</t>
    </r>
  </si>
  <si>
    <r>
      <rPr>
        <sz val="11"/>
        <rFont val="宋体"/>
        <charset val="134"/>
      </rPr>
      <t>鱷魚</t>
    </r>
  </si>
  <si>
    <r>
      <rPr>
        <sz val="11"/>
        <rFont val="宋体"/>
        <charset val="134"/>
      </rPr>
      <t>金魚</t>
    </r>
  </si>
  <si>
    <t>黃色小鯊魚</t>
  </si>
  <si>
    <t>藍色小鯊魚</t>
  </si>
  <si>
    <t>粉色小鯊魚</t>
  </si>
  <si>
    <t>鴨子、鱷魚共用</t>
  </si>
  <si>
    <r>
      <rPr>
        <sz val="11"/>
        <rFont val="宋体"/>
        <charset val="134"/>
      </rPr>
      <t>滑台</t>
    </r>
    <r>
      <rPr>
        <sz val="11"/>
        <rFont val="Arial"/>
        <charset val="0"/>
      </rPr>
      <t xml:space="preserve"> IC</t>
    </r>
  </si>
  <si>
    <r>
      <rPr>
        <sz val="11"/>
        <rFont val="宋体"/>
        <charset val="134"/>
      </rPr>
      <t>鲨鱼</t>
    </r>
    <r>
      <rPr>
        <sz val="11"/>
        <rFont val="Arial"/>
        <charset val="0"/>
      </rPr>
      <t>-2 IC</t>
    </r>
  </si>
  <si>
    <t>Baby Shark</t>
  </si>
  <si>
    <t>Baby Shark Water Park</t>
  </si>
  <si>
    <t>Duck/Crocodi</t>
  </si>
  <si>
    <t>Baby shark</t>
  </si>
  <si>
    <t>MA_RR_062</t>
  </si>
  <si>
    <t>MA_RR_053</t>
  </si>
  <si>
    <t>MA_RR_0101</t>
  </si>
  <si>
    <t>MA_RR_086</t>
  </si>
  <si>
    <t>MA_RR_161</t>
  </si>
  <si>
    <t>MA_RR_099</t>
  </si>
  <si>
    <t>MA_RR_173</t>
  </si>
  <si>
    <t>MA_RR_132</t>
  </si>
  <si>
    <t>MA_RR_175</t>
  </si>
  <si>
    <t>MA_RR_140</t>
  </si>
  <si>
    <t>MA_RR_187</t>
  </si>
  <si>
    <t>MA_RR_151</t>
  </si>
  <si>
    <r>
      <rPr>
        <sz val="11"/>
        <color indexed="10"/>
        <rFont val="Arial"/>
        <charset val="0"/>
      </rPr>
      <t>2018/8/30</t>
    </r>
    <r>
      <rPr>
        <sz val="11"/>
        <color indexed="10"/>
        <rFont val="宋体"/>
        <charset val="134"/>
      </rPr>
      <t>清庫存數</t>
    </r>
  </si>
  <si>
    <t>MA_RR_160</t>
  </si>
  <si>
    <t>MA_RR_211</t>
  </si>
  <si>
    <t>MA_RR_167</t>
  </si>
  <si>
    <t>MA-RR-234 </t>
  </si>
  <si>
    <r>
      <rPr>
        <sz val="11"/>
        <rFont val="宋体"/>
        <charset val="134"/>
      </rPr>
      <t>預計</t>
    </r>
    <r>
      <rPr>
        <sz val="11"/>
        <rFont val="Arial"/>
        <charset val="0"/>
      </rPr>
      <t>4/12</t>
    </r>
    <r>
      <rPr>
        <sz val="11"/>
        <rFont val="宋体"/>
        <charset val="134"/>
      </rPr>
      <t>號回廠測試后才能生產剩下的IC</t>
    </r>
  </si>
  <si>
    <t>MA_RR_235</t>
  </si>
  <si>
    <r>
      <rPr>
        <sz val="11"/>
        <rFont val="Arial"/>
        <charset val="0"/>
      </rPr>
      <t>3/27</t>
    </r>
    <r>
      <rPr>
        <sz val="11"/>
        <rFont val="宋体"/>
        <charset val="134"/>
      </rPr>
      <t>號Tracy要求生產多100K IC，剩下450K等測試后再生產。</t>
    </r>
  </si>
  <si>
    <t>MA_RR_184</t>
  </si>
  <si>
    <t>MA_RR_239</t>
  </si>
  <si>
    <t>MA_RR_206</t>
  </si>
  <si>
    <t>MA_RR_248</t>
  </si>
  <si>
    <t>MA_RR_221</t>
  </si>
  <si>
    <t>邮件通知</t>
  </si>
  <si>
    <t>MA_RR_236</t>
  </si>
  <si>
    <t>MA_RR_262</t>
  </si>
  <si>
    <t>MA_RR_266</t>
  </si>
  <si>
    <t>MA_RR_240</t>
  </si>
  <si>
    <t>MA_RR_270</t>
  </si>
  <si>
    <t>MA-RR-245</t>
  </si>
  <si>
    <t>MA_RR_279</t>
  </si>
  <si>
    <t>MA-RR-252</t>
  </si>
  <si>
    <t>MA_RR_282</t>
  </si>
  <si>
    <t>MA-RR-260</t>
  </si>
  <si>
    <t>MA_RR_286</t>
  </si>
  <si>
    <t>MA-RR-263</t>
  </si>
  <si>
    <t>MA_RR_288</t>
  </si>
  <si>
    <t>MA-RR-265</t>
  </si>
  <si>
    <t>MA_RR_295</t>
  </si>
  <si>
    <t>MA-RR-277</t>
  </si>
  <si>
    <t>MA_RR_302</t>
  </si>
  <si>
    <t>MA-RR-280</t>
  </si>
  <si>
    <t>MA_RR_304</t>
  </si>
  <si>
    <t>MA-RR-281</t>
  </si>
  <si>
    <t>MA_RR_306</t>
  </si>
  <si>
    <t>MA-RR-289</t>
  </si>
  <si>
    <t>MA_RR_311</t>
  </si>
  <si>
    <t>MA-RR-296</t>
  </si>
  <si>
    <t>MA_RR_328</t>
  </si>
  <si>
    <t>MA-RR-297</t>
  </si>
  <si>
    <t>MA_RR_331</t>
  </si>
  <si>
    <t>MA-RR-303</t>
  </si>
  <si>
    <t>MA_RR_332</t>
  </si>
  <si>
    <t>MA-RR-310</t>
  </si>
  <si>
    <t>MA_RR_338</t>
  </si>
  <si>
    <t>MA-RR-312</t>
  </si>
  <si>
    <t>MA_RR_339</t>
  </si>
  <si>
    <t>MA-RR-319</t>
  </si>
  <si>
    <t>MA_RR_353</t>
  </si>
  <si>
    <t>MA-RR-324</t>
  </si>
  <si>
    <t>MA_RR_381</t>
  </si>
  <si>
    <t>MA-RR-329</t>
  </si>
  <si>
    <t>MA_RR_386</t>
  </si>
  <si>
    <t>MA-RR-330</t>
  </si>
  <si>
    <t>MA_RR_398</t>
  </si>
  <si>
    <t>MA_RR_405</t>
  </si>
  <si>
    <t>MA-RR-340</t>
  </si>
  <si>
    <t>MA_RR_416</t>
  </si>
  <si>
    <t>MA_RR_344</t>
  </si>
  <si>
    <t>MA_RR_427</t>
  </si>
  <si>
    <t>MA-RR-352</t>
  </si>
  <si>
    <t>MA_RR_439</t>
  </si>
  <si>
    <t>MA_RR_362</t>
  </si>
  <si>
    <t>MA_RR_440</t>
  </si>
  <si>
    <t>MA-RR-381</t>
  </si>
  <si>
    <t>MA_RR_443</t>
  </si>
  <si>
    <t>MA_RR_385</t>
  </si>
  <si>
    <t>MA_RR_453</t>
  </si>
  <si>
    <t>MA_RR_397</t>
  </si>
  <si>
    <t>MA_RR_465</t>
  </si>
  <si>
    <t>MA_RR_404</t>
  </si>
  <si>
    <t>MA_RR_467</t>
  </si>
  <si>
    <t>MA_RR_415</t>
  </si>
  <si>
    <t>MA_RR_484</t>
  </si>
  <si>
    <t>MA_RR_491</t>
  </si>
  <si>
    <t>MA_RR_426</t>
  </si>
  <si>
    <t>MA_RR_507</t>
  </si>
  <si>
    <t>MA_RR_438</t>
  </si>
  <si>
    <t xml:space="preserve"> MA_RR_509</t>
  </si>
  <si>
    <r>
      <rPr>
        <sz val="11"/>
        <color indexed="10"/>
        <rFont val="Arial"/>
        <charset val="0"/>
      </rPr>
      <t>IC</t>
    </r>
    <r>
      <rPr>
        <sz val="11"/>
        <color indexed="10"/>
        <rFont val="宋体"/>
        <charset val="134"/>
      </rPr>
      <t>差价从这批开始收取</t>
    </r>
  </si>
  <si>
    <t>MA_RR_441</t>
  </si>
  <si>
    <t>MA_RR_518</t>
  </si>
  <si>
    <r>
      <rPr>
        <sz val="11"/>
        <color indexed="10"/>
        <rFont val="宋体"/>
        <charset val="134"/>
      </rPr>
      <t>收取</t>
    </r>
    <r>
      <rPr>
        <sz val="11"/>
        <color indexed="10"/>
        <rFont val="Arial"/>
        <charset val="0"/>
      </rPr>
      <t>IC</t>
    </r>
    <r>
      <rPr>
        <sz val="11"/>
        <color indexed="10"/>
        <rFont val="宋体"/>
        <charset val="134"/>
      </rPr>
      <t>差价</t>
    </r>
  </si>
  <si>
    <t>MA_RR_444</t>
  </si>
  <si>
    <t>MA_RR_525</t>
  </si>
  <si>
    <t>MA_RR_548</t>
  </si>
  <si>
    <t>MA_RR_457</t>
  </si>
  <si>
    <t>MA_RR_557</t>
  </si>
  <si>
    <r>
      <rPr>
        <sz val="11"/>
        <rFont val="宋体"/>
        <charset val="134"/>
      </rPr>
      <t>原</t>
    </r>
    <r>
      <rPr>
        <sz val="11"/>
        <rFont val="Arial"/>
        <charset val="0"/>
      </rPr>
      <t>25291 11</t>
    </r>
    <r>
      <rPr>
        <sz val="11"/>
        <rFont val="宋体"/>
        <charset val="134"/>
      </rPr>
      <t>万</t>
    </r>
    <r>
      <rPr>
        <sz val="11"/>
        <rFont val="Arial"/>
        <charset val="0"/>
      </rPr>
      <t xml:space="preserve"> 分开</t>
    </r>
  </si>
  <si>
    <t>已交</t>
  </si>
  <si>
    <t>MA_RR_464</t>
  </si>
  <si>
    <t>MA_RR_593</t>
  </si>
  <si>
    <r>
      <rPr>
        <sz val="11"/>
        <rFont val="宋体"/>
        <charset val="134"/>
      </rPr>
      <t>普通</t>
    </r>
    <r>
      <rPr>
        <sz val="11"/>
        <rFont val="Arial"/>
        <charset val="0"/>
      </rPr>
      <t>IC</t>
    </r>
  </si>
  <si>
    <t>MA_RR_483</t>
  </si>
  <si>
    <t>MA_RR_594</t>
  </si>
  <si>
    <t>MA_RR_489</t>
  </si>
  <si>
    <t>MA_RR_611</t>
  </si>
  <si>
    <r>
      <rPr>
        <sz val="11"/>
        <rFont val="Arial"/>
        <charset val="0"/>
      </rPr>
      <t xml:space="preserve">OTP IC </t>
    </r>
    <r>
      <rPr>
        <sz val="11"/>
        <rFont val="宋体"/>
        <charset val="134"/>
      </rPr>
      <t>预计交期</t>
    </r>
    <r>
      <rPr>
        <sz val="11"/>
        <rFont val="Arial"/>
        <charset val="0"/>
      </rPr>
      <t>12/16开始交（收取IC差价）</t>
    </r>
  </si>
  <si>
    <r>
      <rPr>
        <sz val="11"/>
        <rFont val="宋体"/>
        <charset val="134"/>
      </rPr>
      <t>差</t>
    </r>
    <r>
      <rPr>
        <sz val="11"/>
        <rFont val="Arial"/>
        <charset val="0"/>
      </rPr>
      <t>4697pcs未交</t>
    </r>
  </si>
  <si>
    <t>MA_RR_492</t>
  </si>
  <si>
    <r>
      <rPr>
        <sz val="11"/>
        <rFont val="宋体"/>
        <charset val="134"/>
      </rPr>
      <t>差</t>
    </r>
    <r>
      <rPr>
        <sz val="11"/>
        <rFont val="Arial"/>
        <charset val="0"/>
      </rPr>
      <t>38075pcs未交</t>
    </r>
  </si>
  <si>
    <t>MA_RR_506</t>
  </si>
  <si>
    <t>MA_RR_616</t>
  </si>
  <si>
    <r>
      <rPr>
        <sz val="11"/>
        <rFont val="Arial"/>
        <charset val="0"/>
      </rPr>
      <t xml:space="preserve">4/14 </t>
    </r>
    <r>
      <rPr>
        <sz val="11"/>
        <rFont val="宋体"/>
        <charset val="134"/>
      </rPr>
      <t>交</t>
    </r>
    <r>
      <rPr>
        <sz val="11"/>
        <rFont val="Arial"/>
        <charset val="0"/>
      </rPr>
      <t>170K</t>
    </r>
  </si>
  <si>
    <t>MA_RR_520</t>
  </si>
  <si>
    <r>
      <rPr>
        <sz val="11"/>
        <rFont val="Arial"/>
        <charset val="0"/>
      </rPr>
      <t xml:space="preserve">OTP IC </t>
    </r>
    <r>
      <rPr>
        <sz val="11"/>
        <rFont val="宋体"/>
        <charset val="134"/>
      </rPr>
      <t>预计交期12/31开始交（收取IC差价）</t>
    </r>
  </si>
  <si>
    <t>MA_RR_539</t>
  </si>
  <si>
    <t>MA_RR_621</t>
  </si>
  <si>
    <t>未收差价</t>
  </si>
  <si>
    <t>MA_RR_550</t>
  </si>
  <si>
    <t>MA_RR_627</t>
  </si>
  <si>
    <t>MA_RR_560</t>
  </si>
  <si>
    <t>MA_RR_640</t>
  </si>
  <si>
    <r>
      <rPr>
        <sz val="11"/>
        <rFont val="Arial"/>
        <charset val="0"/>
      </rPr>
      <t xml:space="preserve">4/29 </t>
    </r>
    <r>
      <rPr>
        <sz val="11"/>
        <rFont val="宋体"/>
        <charset val="134"/>
      </rPr>
      <t>取消</t>
    </r>
    <r>
      <rPr>
        <sz val="11"/>
        <rFont val="Arial"/>
        <charset val="0"/>
      </rPr>
      <t xml:space="preserve">164500PCS </t>
    </r>
    <r>
      <rPr>
        <sz val="11"/>
        <rFont val="宋体"/>
        <charset val="134"/>
      </rPr>
      <t>改用新版本</t>
    </r>
    <r>
      <rPr>
        <sz val="11"/>
        <rFont val="Arial"/>
        <charset val="0"/>
      </rPr>
      <t>IC，会有164500pcs电子版 库存</t>
    </r>
  </si>
  <si>
    <t>MA_RR_572</t>
  </si>
  <si>
    <t>MA_RR_644</t>
  </si>
  <si>
    <r>
      <rPr>
        <sz val="11"/>
        <rFont val="Arial"/>
        <charset val="0"/>
      </rPr>
      <t xml:space="preserve">4/29 </t>
    </r>
    <r>
      <rPr>
        <sz val="11"/>
        <rFont val="宋体"/>
        <charset val="134"/>
      </rPr>
      <t>取消</t>
    </r>
    <r>
      <rPr>
        <sz val="11"/>
        <rFont val="Arial"/>
        <charset val="0"/>
      </rPr>
      <t xml:space="preserve">23500 </t>
    </r>
    <r>
      <rPr>
        <sz val="11"/>
        <rFont val="宋体"/>
        <charset val="134"/>
      </rPr>
      <t>改用新</t>
    </r>
    <r>
      <rPr>
        <sz val="11"/>
        <rFont val="Arial"/>
        <charset val="0"/>
      </rPr>
      <t>IC</t>
    </r>
  </si>
  <si>
    <t>MA_RR_578</t>
  </si>
  <si>
    <t>MA_RR_661</t>
  </si>
  <si>
    <t>OTP IC</t>
  </si>
  <si>
    <r>
      <rPr>
        <sz val="11"/>
        <rFont val="Arial"/>
        <charset val="0"/>
      </rPr>
      <t xml:space="preserve">4/2 </t>
    </r>
    <r>
      <rPr>
        <sz val="11"/>
        <rFont val="宋体"/>
        <charset val="134"/>
      </rPr>
      <t>交齐</t>
    </r>
  </si>
  <si>
    <t>MA_RR_595</t>
  </si>
  <si>
    <t>MA_RR_668</t>
  </si>
  <si>
    <r>
      <rPr>
        <sz val="11"/>
        <rFont val="Arial"/>
        <charset val="0"/>
      </rPr>
      <t xml:space="preserve">4/19 </t>
    </r>
    <r>
      <rPr>
        <sz val="11"/>
        <rFont val="宋体"/>
        <charset val="134"/>
      </rPr>
      <t>下单 预计 4/30交货</t>
    </r>
  </si>
  <si>
    <t>MA_RR_612</t>
  </si>
  <si>
    <r>
      <rPr>
        <sz val="11"/>
        <rFont val="宋体"/>
        <charset val="134"/>
      </rPr>
      <t>更新了</t>
    </r>
    <r>
      <rPr>
        <sz val="11"/>
        <rFont val="Arial"/>
        <charset val="0"/>
      </rPr>
      <t>IC  TR2204S053-1-SOP8</t>
    </r>
    <r>
      <rPr>
        <sz val="11"/>
        <rFont val="宋体"/>
        <charset val="134"/>
      </rPr>
      <t>，需配新的电子版与旧电子版不匹配</t>
    </r>
  </si>
  <si>
    <t>MA_RR_614</t>
  </si>
  <si>
    <t>MA_RR_752</t>
  </si>
  <si>
    <t>MA_RR_617</t>
  </si>
  <si>
    <t>MA_RR_816</t>
  </si>
  <si>
    <r>
      <rPr>
        <sz val="11"/>
        <rFont val="宋体"/>
        <charset val="134"/>
      </rPr>
      <t>要求</t>
    </r>
    <r>
      <rPr>
        <sz val="11"/>
        <rFont val="Arial"/>
        <charset val="0"/>
      </rPr>
      <t>4/28</t>
    </r>
  </si>
  <si>
    <r>
      <rPr>
        <sz val="11"/>
        <color indexed="10"/>
        <rFont val="宋体"/>
        <charset val="134"/>
      </rPr>
      <t>用到此批</t>
    </r>
    <r>
      <rPr>
        <sz val="11"/>
        <color indexed="10"/>
        <rFont val="Arial"/>
        <charset val="0"/>
      </rPr>
      <t>IC</t>
    </r>
    <r>
      <rPr>
        <sz val="11"/>
        <color indexed="10"/>
        <rFont val="宋体"/>
        <charset val="134"/>
      </rPr>
      <t>需改报价</t>
    </r>
  </si>
  <si>
    <t>MA_RR_623</t>
  </si>
  <si>
    <t>MA_RR_838</t>
  </si>
  <si>
    <r>
      <rPr>
        <sz val="11"/>
        <rFont val="宋体"/>
        <charset val="134"/>
      </rPr>
      <t>要求</t>
    </r>
    <r>
      <rPr>
        <sz val="11"/>
        <rFont val="Arial"/>
        <charset val="0"/>
      </rPr>
      <t>5/30</t>
    </r>
  </si>
  <si>
    <t>MA_RR_633</t>
  </si>
  <si>
    <t>MA_RR_648</t>
  </si>
  <si>
    <t>MA_RR_895</t>
  </si>
  <si>
    <t>要求7/6</t>
  </si>
  <si>
    <t>MA_RR_926</t>
  </si>
  <si>
    <t>要求9/3</t>
  </si>
  <si>
    <t>MA_RR_669</t>
  </si>
  <si>
    <t>MA_RR_674</t>
  </si>
  <si>
    <t>MA_RR_999</t>
  </si>
  <si>
    <t>MA_RR_691</t>
  </si>
  <si>
    <t>MA_RR_1020</t>
  </si>
  <si>
    <t>MA_RR_712</t>
  </si>
  <si>
    <t>MA_RR_1046</t>
  </si>
  <si>
    <t>MA_RR_745</t>
  </si>
  <si>
    <t>MA_RR_1061</t>
  </si>
  <si>
    <r>
      <rPr>
        <sz val="11"/>
        <rFont val="宋体"/>
        <charset val="0"/>
      </rPr>
      <t>要求</t>
    </r>
    <r>
      <rPr>
        <sz val="11"/>
        <rFont val="Arial"/>
        <charset val="0"/>
      </rPr>
      <t>2024/2/21</t>
    </r>
  </si>
  <si>
    <t>MA_RR_1072</t>
  </si>
  <si>
    <r>
      <rPr>
        <sz val="11"/>
        <rFont val="宋体"/>
        <charset val="0"/>
      </rPr>
      <t>要求</t>
    </r>
    <r>
      <rPr>
        <sz val="11"/>
        <rFont val="Arial"/>
        <charset val="0"/>
      </rPr>
      <t>2024/3/8</t>
    </r>
  </si>
  <si>
    <t>MA_RR_762</t>
  </si>
  <si>
    <t>MA_RR_1105</t>
  </si>
  <si>
    <r>
      <rPr>
        <sz val="11"/>
        <rFont val="宋体"/>
        <charset val="0"/>
      </rPr>
      <t>要求</t>
    </r>
    <r>
      <rPr>
        <sz val="11"/>
        <rFont val="Arial"/>
        <charset val="0"/>
      </rPr>
      <t>2024/3/29</t>
    </r>
  </si>
  <si>
    <t>MA_RR_769</t>
  </si>
  <si>
    <t>MA_RR_1145</t>
  </si>
  <si>
    <r>
      <rPr>
        <sz val="11"/>
        <rFont val="宋体"/>
        <charset val="0"/>
      </rPr>
      <t>要求</t>
    </r>
    <r>
      <rPr>
        <sz val="11"/>
        <rFont val="Arial"/>
        <charset val="0"/>
      </rPr>
      <t>2024/4/15</t>
    </r>
  </si>
  <si>
    <t>MA_RR_769 Rev 1</t>
  </si>
  <si>
    <t>MA_RR_1156</t>
  </si>
  <si>
    <t>MA_RR_791</t>
  </si>
  <si>
    <t>MA_RR_1192</t>
  </si>
  <si>
    <r>
      <rPr>
        <sz val="11"/>
        <rFont val="宋体"/>
        <charset val="0"/>
      </rPr>
      <t>要求</t>
    </r>
    <r>
      <rPr>
        <sz val="11"/>
        <rFont val="Arial"/>
        <charset val="0"/>
      </rPr>
      <t>2024/5/28</t>
    </r>
  </si>
  <si>
    <t>MA_RR_793</t>
  </si>
  <si>
    <r>
      <rPr>
        <sz val="11"/>
        <color rgb="FFFF0000"/>
        <rFont val="宋体"/>
        <charset val="0"/>
      </rPr>
      <t>报废</t>
    </r>
    <r>
      <rPr>
        <sz val="11"/>
        <color rgb="FFFF0000"/>
        <rFont val="Arial"/>
        <charset val="0"/>
      </rPr>
      <t>IC</t>
    </r>
  </si>
  <si>
    <t>MA_RR_811</t>
  </si>
  <si>
    <t>MA_RR_1258</t>
  </si>
  <si>
    <t>损耗-2024/4/9</t>
  </si>
  <si>
    <t>MA_RR_831</t>
  </si>
  <si>
    <t>MA_RR_1301</t>
  </si>
  <si>
    <t>MA_RR_837</t>
  </si>
  <si>
    <t>MA_RR_1345</t>
  </si>
  <si>
    <t>MA_RR_1417</t>
  </si>
  <si>
    <t>MA_RR_842</t>
  </si>
  <si>
    <t>MA_RR_1454</t>
  </si>
  <si>
    <t>新供应商：华远科创</t>
  </si>
  <si>
    <t>MA_RR_1461</t>
  </si>
  <si>
    <t>MA_RR_887</t>
  </si>
  <si>
    <t>MA_RR_1528</t>
  </si>
  <si>
    <t>MA_RR_904</t>
  </si>
  <si>
    <t>MA_RR_1591</t>
  </si>
  <si>
    <t>MA_RR_941</t>
  </si>
  <si>
    <r>
      <rPr>
        <sz val="11"/>
        <rFont val="Arial"/>
        <charset val="0"/>
      </rPr>
      <t>V3</t>
    </r>
    <r>
      <rPr>
        <sz val="11"/>
        <rFont val="宋体"/>
        <charset val="0"/>
      </rPr>
      <t>版本，</t>
    </r>
    <r>
      <rPr>
        <sz val="11"/>
        <rFont val="Arial"/>
        <charset val="0"/>
      </rPr>
      <t>9/2</t>
    </r>
  </si>
  <si>
    <t>MA_RR_1695</t>
  </si>
  <si>
    <t>MA_RR_956</t>
  </si>
  <si>
    <t>MA_RR_1762</t>
  </si>
  <si>
    <t>MA_RR_994</t>
  </si>
  <si>
    <t>MA_RR_1810</t>
  </si>
  <si>
    <t>MA_RR_1853</t>
  </si>
  <si>
    <t>MA_RR_1009</t>
  </si>
  <si>
    <t>MA_RR_1881</t>
  </si>
  <si>
    <t>MA_RR_1903</t>
  </si>
  <si>
    <t>待确认</t>
  </si>
  <si>
    <t>MA_RR_1026</t>
  </si>
  <si>
    <t>MA_RR_1912</t>
  </si>
  <si>
    <t>MA_RR_1950</t>
  </si>
  <si>
    <t>MA_RR_1981</t>
  </si>
  <si>
    <t>MA_RR_1056</t>
  </si>
  <si>
    <t>报废数量</t>
  </si>
  <si>
    <t>MA_RR_1062</t>
  </si>
  <si>
    <r>
      <rPr>
        <sz val="11"/>
        <rFont val="宋体"/>
        <charset val="0"/>
      </rPr>
      <t>报废</t>
    </r>
    <r>
      <rPr>
        <sz val="11"/>
        <rFont val="Arial"/>
        <charset val="0"/>
      </rPr>
      <t>V1</t>
    </r>
    <r>
      <rPr>
        <sz val="11"/>
        <rFont val="宋体"/>
        <charset val="0"/>
      </rPr>
      <t>鲨鱼数量</t>
    </r>
  </si>
  <si>
    <r>
      <rPr>
        <sz val="11"/>
        <rFont val="Arial"/>
        <charset val="0"/>
      </rPr>
      <t>MA</t>
    </r>
    <r>
      <rPr>
        <sz val="11"/>
        <rFont val="宋体"/>
        <charset val="134"/>
      </rPr>
      <t>合計</t>
    </r>
  </si>
  <si>
    <t>MA_RR_1069</t>
  </si>
  <si>
    <r>
      <rPr>
        <sz val="11"/>
        <rFont val="宋体"/>
        <charset val="0"/>
      </rPr>
      <t>半成品</t>
    </r>
    <r>
      <rPr>
        <sz val="11"/>
        <rFont val="Arial"/>
        <charset val="0"/>
      </rPr>
      <t>MA</t>
    </r>
    <r>
      <rPr>
        <sz val="11"/>
        <rFont val="宋体"/>
        <charset val="0"/>
      </rPr>
      <t>数</t>
    </r>
  </si>
  <si>
    <t>MA_RR_1091</t>
  </si>
  <si>
    <r>
      <rPr>
        <sz val="11"/>
        <rFont val="Arial"/>
        <charset val="0"/>
      </rPr>
      <t>MA IC</t>
    </r>
    <r>
      <rPr>
        <sz val="11"/>
        <rFont val="宋体"/>
        <charset val="134"/>
      </rPr>
      <t>剩餘數</t>
    </r>
  </si>
  <si>
    <t>備註：</t>
  </si>
  <si>
    <r>
      <rPr>
        <sz val="11"/>
        <rFont val="Arial"/>
        <charset val="0"/>
      </rPr>
      <t>1.</t>
    </r>
    <r>
      <rPr>
        <sz val="11"/>
        <rFont val="宋体"/>
        <charset val="134"/>
      </rPr>
      <t>鴨子和鱷魚的</t>
    </r>
    <r>
      <rPr>
        <sz val="11"/>
        <rFont val="Arial"/>
        <charset val="0"/>
      </rPr>
      <t>IC</t>
    </r>
    <r>
      <rPr>
        <sz val="11"/>
        <rFont val="宋体"/>
        <charset val="134"/>
      </rPr>
      <t>共用，</t>
    </r>
    <r>
      <rPr>
        <sz val="11"/>
        <rFont val="Arial"/>
        <charset val="0"/>
      </rPr>
      <t>MOQ 47000pcs</t>
    </r>
  </si>
  <si>
    <t>MA_RR_1150</t>
  </si>
  <si>
    <t>MA_RR_1173</t>
  </si>
  <si>
    <t>MA_RR_1220</t>
  </si>
  <si>
    <t>MA_RR_1240</t>
  </si>
  <si>
    <t>MA_RR_1257</t>
  </si>
  <si>
    <t>MA_RR_1295</t>
  </si>
  <si>
    <t>MA_RR_1344</t>
  </si>
  <si>
    <r>
      <rPr>
        <sz val="11"/>
        <rFont val="Arial"/>
        <charset val="0"/>
      </rPr>
      <t>2.</t>
    </r>
    <r>
      <rPr>
        <sz val="11"/>
        <rFont val="宋体"/>
        <charset val="134"/>
      </rPr>
      <t>金魚</t>
    </r>
    <r>
      <rPr>
        <sz val="11"/>
        <rFont val="Arial"/>
        <charset val="0"/>
      </rPr>
      <t>IC MOQ 60000pcs</t>
    </r>
  </si>
  <si>
    <t>MA_RR_1360</t>
  </si>
  <si>
    <t>MA_RR_1366</t>
  </si>
  <si>
    <t>MA_RR_1370</t>
  </si>
  <si>
    <t>MA_RR_1384</t>
  </si>
  <si>
    <t>MA_RR_1436</t>
  </si>
  <si>
    <t>MA_RR_1455</t>
  </si>
  <si>
    <t>MA_RR_1482</t>
  </si>
  <si>
    <t>MA_RR_1489</t>
  </si>
  <si>
    <t>MA_RR_1547</t>
  </si>
  <si>
    <t>MA_RR_1587</t>
  </si>
  <si>
    <t>MA_RR_1663</t>
  </si>
  <si>
    <t>MA_RR_1686</t>
  </si>
  <si>
    <t>MA_RR_1726</t>
  </si>
  <si>
    <t>MA_RR_1739</t>
  </si>
  <si>
    <t>MA_RR_1784</t>
  </si>
  <si>
    <t>MA_RR_1830</t>
  </si>
  <si>
    <t>MA_RR_1833</t>
  </si>
  <si>
    <t>MA_RR_1880</t>
  </si>
  <si>
    <t>MA_RR_1911</t>
  </si>
  <si>
    <t>MA_RR_1920</t>
  </si>
  <si>
    <t>MA_RR_1964</t>
  </si>
  <si>
    <t>MA_RR_2003</t>
  </si>
  <si>
    <t>MA_RR_2032</t>
  </si>
  <si>
    <t>鲨鱼旧胶件</t>
  </si>
  <si>
    <r>
      <rPr>
        <sz val="11"/>
        <color rgb="FFFF0000"/>
        <rFont val="Arial"/>
        <charset val="0"/>
      </rPr>
      <t>2022</t>
    </r>
    <r>
      <rPr>
        <sz val="11"/>
        <color rgb="FFFF0000"/>
        <rFont val="宋体"/>
        <charset val="0"/>
      </rPr>
      <t>年删单数：</t>
    </r>
  </si>
  <si>
    <r>
      <rPr>
        <sz val="11"/>
        <color rgb="FFFF0000"/>
        <rFont val="Arial"/>
        <charset val="0"/>
      </rPr>
      <t>2023</t>
    </r>
    <r>
      <rPr>
        <sz val="11"/>
        <color rgb="FFFF0000"/>
        <rFont val="宋体"/>
        <charset val="0"/>
      </rPr>
      <t>年删单数：</t>
    </r>
  </si>
  <si>
    <r>
      <rPr>
        <sz val="11"/>
        <color rgb="FFFF0000"/>
        <rFont val="Arial"/>
        <charset val="0"/>
      </rPr>
      <t>2024</t>
    </r>
    <r>
      <rPr>
        <sz val="11"/>
        <color rgb="FFFF0000"/>
        <rFont val="宋体"/>
        <charset val="0"/>
      </rPr>
      <t>年删单数：</t>
    </r>
  </si>
  <si>
    <r>
      <rPr>
        <sz val="11"/>
        <rFont val="Arial"/>
        <charset val="0"/>
      </rPr>
      <t>PO</t>
    </r>
    <r>
      <rPr>
        <sz val="11"/>
        <rFont val="宋体"/>
        <charset val="134"/>
      </rPr>
      <t>接單數量</t>
    </r>
  </si>
  <si>
    <t>內銷訂單</t>
  </si>
  <si>
    <t>樣板PO接單數</t>
  </si>
  <si>
    <t>MA半成品剩餘數</t>
  </si>
  <si>
    <r>
      <rPr>
        <sz val="11"/>
        <rFont val="Arial"/>
        <charset val="0"/>
      </rPr>
      <t>3</t>
    </r>
    <r>
      <rPr>
        <sz val="11"/>
        <rFont val="宋体"/>
        <charset val="0"/>
      </rPr>
      <t>款</t>
    </r>
    <r>
      <rPr>
        <sz val="11"/>
        <rFont val="Arial"/>
        <charset val="0"/>
      </rPr>
      <t>MA</t>
    </r>
    <r>
      <rPr>
        <sz val="11"/>
        <rFont val="宋体"/>
        <charset val="0"/>
      </rPr>
      <t>剩餘總數</t>
    </r>
  </si>
  <si>
    <t>实际需补数：</t>
  </si>
  <si>
    <t>半成品價格</t>
  </si>
  <si>
    <t>注意25282</t>
  </si>
  <si>
    <r>
      <rPr>
        <b/>
        <sz val="12"/>
        <rFont val="Tahoma"/>
        <charset val="134"/>
      </rPr>
      <t>80K</t>
    </r>
    <r>
      <rPr>
        <b/>
        <sz val="12"/>
        <rFont val="宋体"/>
        <charset val="134"/>
      </rPr>
      <t>啤旧件，63K啤新件</t>
    </r>
  </si>
  <si>
    <r>
      <rPr>
        <b/>
        <sz val="12"/>
        <rFont val="Tahoma"/>
        <charset val="134"/>
      </rPr>
      <t>80K</t>
    </r>
    <r>
      <rPr>
        <b/>
        <sz val="12"/>
        <rFont val="宋体"/>
        <charset val="134"/>
      </rPr>
      <t>啤旧件，7K啤新件</t>
    </r>
  </si>
  <si>
    <r>
      <rPr>
        <b/>
        <sz val="12"/>
        <rFont val="Tahoma"/>
        <charset val="134"/>
      </rPr>
      <t>90K</t>
    </r>
    <r>
      <rPr>
        <b/>
        <sz val="12"/>
        <rFont val="宋体"/>
        <charset val="134"/>
      </rPr>
      <t>全部啤旧件</t>
    </r>
  </si>
  <si>
    <t>此MA全部啤新胶件</t>
  </si>
  <si>
    <t>ZURU  水動樂寶系列生产排期表</t>
  </si>
  <si>
    <t>（藍色字體表示已完貨）</t>
  </si>
  <si>
    <r>
      <rPr>
        <b/>
        <sz val="11"/>
        <rFont val="宋体"/>
        <charset val="134"/>
      </rPr>
      <t>MA A</t>
    </r>
    <r>
      <rPr>
        <b/>
        <sz val="11"/>
        <rFont val="宋体"/>
        <charset val="134"/>
      </rPr>
      <t>版本彩盒</t>
    </r>
  </si>
  <si>
    <t>接单日期</t>
  </si>
  <si>
    <r>
      <rPr>
        <b/>
        <sz val="11"/>
        <rFont val="Arial"/>
        <charset val="0"/>
      </rPr>
      <t xml:space="preserve">ZURU </t>
    </r>
    <r>
      <rPr>
        <b/>
        <sz val="11"/>
        <rFont val="宋体"/>
        <charset val="134"/>
      </rPr>
      <t>跟单</t>
    </r>
  </si>
  <si>
    <r>
      <rPr>
        <b/>
        <sz val="11"/>
        <rFont val="宋体"/>
        <charset val="134"/>
      </rPr>
      <t>第三方客户</t>
    </r>
    <r>
      <rPr>
        <b/>
        <sz val="11"/>
        <rFont val="Arial"/>
        <charset val="0"/>
      </rPr>
      <t xml:space="preserve">
 PO NO#</t>
    </r>
  </si>
  <si>
    <t>外箱装箱数量(pcs)</t>
  </si>
  <si>
    <t>单价RMB</t>
  </si>
  <si>
    <t>金额RMB</t>
  </si>
  <si>
    <r>
      <rPr>
        <b/>
        <sz val="11"/>
        <rFont val="Arial"/>
        <charset val="0"/>
      </rPr>
      <t>ZURU</t>
    </r>
    <r>
      <rPr>
        <b/>
        <sz val="11"/>
        <rFont val="宋体"/>
        <charset val="134"/>
      </rPr>
      <t>验货</t>
    </r>
    <r>
      <rPr>
        <b/>
        <sz val="11"/>
        <rFont val="Arial"/>
        <charset val="0"/>
      </rPr>
      <t xml:space="preserve">
</t>
    </r>
    <r>
      <rPr>
        <b/>
        <sz val="11"/>
        <rFont val="宋体"/>
        <charset val="134"/>
      </rPr>
      <t>日期</t>
    </r>
  </si>
  <si>
    <r>
      <rPr>
        <b/>
        <sz val="11"/>
        <rFont val="Arial"/>
        <charset val="0"/>
      </rPr>
      <t>ZURU</t>
    </r>
    <r>
      <rPr>
        <b/>
        <sz val="11"/>
        <rFont val="宋体"/>
        <charset val="134"/>
      </rPr>
      <t>订单走货日期</t>
    </r>
  </si>
  <si>
    <r>
      <rPr>
        <b/>
        <sz val="11"/>
        <rFont val="Arial"/>
        <charset val="0"/>
      </rPr>
      <t>ZURU</t>
    </r>
    <r>
      <rPr>
        <b/>
        <sz val="11"/>
        <rFont val="宋体"/>
        <charset val="134"/>
      </rPr>
      <t>确认走货日期</t>
    </r>
  </si>
  <si>
    <t>移印資料</t>
  </si>
  <si>
    <r>
      <rPr>
        <b/>
        <sz val="11"/>
        <rFont val="宋体"/>
        <charset val="134"/>
      </rPr>
      <t>箱唛资料</t>
    </r>
    <r>
      <rPr>
        <b/>
        <sz val="11"/>
        <rFont val="Arial"/>
        <charset val="0"/>
      </rPr>
      <t>(收到日期)</t>
    </r>
  </si>
  <si>
    <r>
      <rPr>
        <b/>
        <sz val="11"/>
        <rFont val="宋体"/>
        <charset val="134"/>
      </rPr>
      <t>箱唛资料</t>
    </r>
    <r>
      <rPr>
        <b/>
        <sz val="11"/>
        <rFont val="Arial"/>
        <charset val="0"/>
      </rPr>
      <t>(确认日期)</t>
    </r>
  </si>
  <si>
    <t>3C貼紙</t>
  </si>
  <si>
    <r>
      <rPr>
        <b/>
        <sz val="11"/>
        <rFont val="宋体"/>
        <charset val="134"/>
      </rPr>
      <t>客供贴纸</t>
    </r>
    <r>
      <rPr>
        <b/>
        <sz val="11"/>
        <rFont val="Arial"/>
        <charset val="0"/>
      </rPr>
      <t>AI(</t>
    </r>
    <r>
      <rPr>
        <b/>
        <sz val="11"/>
        <rFont val="宋体"/>
        <charset val="134"/>
      </rPr>
      <t>放订日期)</t>
    </r>
  </si>
  <si>
    <r>
      <rPr>
        <b/>
        <sz val="11"/>
        <rFont val="宋体"/>
        <charset val="134"/>
      </rPr>
      <t>發票號</t>
    </r>
  </si>
  <si>
    <t>船期</t>
  </si>
  <si>
    <t>柜号</t>
  </si>
  <si>
    <t>#25270鴨子</t>
  </si>
  <si>
    <t>#25271鱷魚</t>
  </si>
  <si>
    <t>中英文說明書</t>
  </si>
  <si>
    <t>Kate</t>
  </si>
  <si>
    <t>4500003738</t>
  </si>
  <si>
    <t>Dongguan Silverlit Toys Co. LT</t>
  </si>
  <si>
    <t>水動樂寶鴨子</t>
  </si>
  <si>
    <t>客盒</t>
  </si>
  <si>
    <r>
      <rPr>
        <sz val="11"/>
        <color indexed="39"/>
        <rFont val="Arial"/>
        <charset val="0"/>
      </rPr>
      <t>A0000312</t>
    </r>
    <r>
      <rPr>
        <sz val="11"/>
        <color indexed="39"/>
        <rFont val="宋体"/>
        <charset val="134"/>
      </rPr>
      <t>、</t>
    </r>
    <r>
      <rPr>
        <sz val="11"/>
        <color indexed="39"/>
        <rFont val="Arial"/>
        <charset val="0"/>
      </rPr>
      <t>313</t>
    </r>
  </si>
  <si>
    <t>中國-東莞</t>
  </si>
  <si>
    <r>
      <rPr>
        <sz val="11"/>
        <color indexed="39"/>
        <rFont val="宋体"/>
        <charset val="134"/>
      </rPr>
      <t>產品、包裝、外箱日期碼是：</t>
    </r>
    <r>
      <rPr>
        <sz val="11"/>
        <color indexed="39"/>
        <rFont val="Arial"/>
        <charset val="0"/>
      </rPr>
      <t>20170720，客版中文彩盒+客版中英文说明书+3C貼紙，产品带电部件要增加移印橙色环保LOGO"10"，用透明膠紙封箱。</t>
    </r>
  </si>
  <si>
    <t>水動樂寶鱷魚</t>
  </si>
  <si>
    <t>4500003740</t>
  </si>
  <si>
    <t>Yan Liang</t>
  </si>
  <si>
    <t>ZT4500003914</t>
  </si>
  <si>
    <t>东莞银辉玩具有限公司</t>
  </si>
  <si>
    <r>
      <rPr>
        <sz val="11"/>
        <color indexed="39"/>
        <rFont val="Arial"/>
        <charset val="0"/>
      </rPr>
      <t>1/18</t>
    </r>
    <r>
      <rPr>
        <sz val="11"/>
        <color indexed="39"/>
        <rFont val="宋体"/>
        <charset val="134"/>
      </rPr>
      <t>重驗PASS</t>
    </r>
  </si>
  <si>
    <t>39771348</t>
  </si>
  <si>
    <t>客版彩盒+ 客版中英文说明书
（ 中文3C 贴纸请跟CQC 申请非标印刷 ， 申请提供AW 给 给CQC 预计一周内可完成.  完成后可直接印刷在贴纸上 ， 不用购买镭射标 ）,客版日期码:20171229 ,  產品/ 彩盒/ 外箱, 請保持一致。,帶電部件要增加移印環保橙色标识 “ “10” 客人有验货 ，请自行多备物料.客验货日期2018年1月5日,请在12 月 月22 前免费提供5套签板。请按以下数量要求分别装箱.  跟单会在发箱唛时注明.东莞银辉玩具有限公司 。
中国广东省东莞虎门镇怀德工业区 ； 收货联络人 ： 黎平先生 ； 电话  ： ：0769 8555 1956</t>
  </si>
  <si>
    <r>
      <rPr>
        <b/>
        <sz val="10"/>
        <rFont val="Arial"/>
        <charset val="0"/>
      </rPr>
      <t xml:space="preserve">ZURU  Baby shark playset </t>
    </r>
    <r>
      <rPr>
        <b/>
        <sz val="10"/>
        <rFont val="宋体"/>
        <charset val="134"/>
      </rPr>
      <t>滑道鲨鱼生产排期表</t>
    </r>
    <r>
      <rPr>
        <b/>
        <sz val="10"/>
        <rFont val="Arial"/>
        <charset val="0"/>
      </rPr>
      <t xml:space="preserve"> #25291</t>
    </r>
  </si>
  <si>
    <r>
      <rPr>
        <b/>
        <sz val="10"/>
        <rFont val="Arial"/>
        <charset val="0"/>
      </rPr>
      <t>MA</t>
    </r>
    <r>
      <rPr>
        <b/>
        <sz val="10"/>
        <rFont val="宋体"/>
        <charset val="134"/>
      </rPr>
      <t>包裝</t>
    </r>
  </si>
  <si>
    <r>
      <rPr>
        <b/>
        <sz val="10"/>
        <rFont val="宋体"/>
        <charset val="134"/>
      </rPr>
      <t>香港接单日期</t>
    </r>
  </si>
  <si>
    <r>
      <rPr>
        <b/>
        <sz val="10"/>
        <rFont val="宋体"/>
        <charset val="134"/>
      </rPr>
      <t>第三方客户名称</t>
    </r>
  </si>
  <si>
    <r>
      <rPr>
        <b/>
        <sz val="10"/>
        <rFont val="宋体"/>
        <charset val="134"/>
      </rPr>
      <t>走货国家</t>
    </r>
  </si>
  <si>
    <r>
      <rPr>
        <b/>
        <sz val="10"/>
        <rFont val="宋体"/>
        <charset val="134"/>
      </rPr>
      <t>中文名</t>
    </r>
  </si>
  <si>
    <r>
      <rPr>
        <b/>
        <sz val="10"/>
        <rFont val="宋体"/>
        <charset val="134"/>
      </rPr>
      <t>总箱数</t>
    </r>
  </si>
  <si>
    <r>
      <rPr>
        <b/>
        <sz val="10"/>
        <rFont val="宋体"/>
        <charset val="134"/>
      </rPr>
      <t>第三方客户公证行验货</t>
    </r>
  </si>
  <si>
    <r>
      <rPr>
        <b/>
        <sz val="10"/>
        <rFont val="宋体"/>
        <charset val="134"/>
      </rPr>
      <t>驗貨結果</t>
    </r>
  </si>
  <si>
    <r>
      <rPr>
        <b/>
        <sz val="10"/>
        <rFont val="宋体"/>
        <charset val="134"/>
      </rPr>
      <t>箱唛资料</t>
    </r>
    <r>
      <rPr>
        <b/>
        <sz val="10"/>
        <rFont val="Arial"/>
        <charset val="0"/>
      </rPr>
      <t>(收到日期)</t>
    </r>
  </si>
  <si>
    <r>
      <rPr>
        <b/>
        <sz val="10"/>
        <rFont val="宋体"/>
        <charset val="134"/>
      </rPr>
      <t>客供贴纸</t>
    </r>
    <r>
      <rPr>
        <b/>
        <sz val="10"/>
        <rFont val="Arial"/>
        <charset val="0"/>
      </rPr>
      <t>AI(收到日期)</t>
    </r>
  </si>
  <si>
    <r>
      <rPr>
        <b/>
        <sz val="10"/>
        <rFont val="宋体"/>
        <charset val="134"/>
      </rPr>
      <t>包装</t>
    </r>
  </si>
  <si>
    <r>
      <rPr>
        <b/>
        <sz val="10"/>
        <rFont val="宋体"/>
        <charset val="134"/>
      </rPr>
      <t>备注</t>
    </r>
  </si>
  <si>
    <r>
      <rPr>
        <b/>
        <sz val="10"/>
        <rFont val="宋体"/>
        <charset val="134"/>
      </rPr>
      <t>金额USD</t>
    </r>
  </si>
  <si>
    <r>
      <rPr>
        <b/>
        <sz val="10"/>
        <rFont val="宋体"/>
        <charset val="134"/>
      </rPr>
      <t>發票號</t>
    </r>
  </si>
  <si>
    <t>外箱</t>
  </si>
  <si>
    <r>
      <rPr>
        <b/>
        <sz val="10"/>
        <rFont val="宋体"/>
        <charset val="134"/>
      </rPr>
      <t>订单数量</t>
    </r>
  </si>
  <si>
    <r>
      <rPr>
        <b/>
        <sz val="10"/>
        <rFont val="Arial"/>
        <charset val="0"/>
      </rPr>
      <t>MA 1</t>
    </r>
    <r>
      <rPr>
        <b/>
        <sz val="10"/>
        <rFont val="宋体"/>
        <charset val="134"/>
      </rPr>
      <t>语彩盒
A版本</t>
    </r>
  </si>
  <si>
    <r>
      <rPr>
        <b/>
        <sz val="10"/>
        <color indexed="39"/>
        <rFont val="Arial"/>
        <charset val="0"/>
      </rPr>
      <t>MA 3</t>
    </r>
    <r>
      <rPr>
        <b/>
        <sz val="10"/>
        <color indexed="39"/>
        <rFont val="宋体"/>
        <charset val="134"/>
      </rPr>
      <t>语彩盒</t>
    </r>
    <r>
      <rPr>
        <b/>
        <sz val="10"/>
        <color indexed="39"/>
        <rFont val="Arial"/>
        <charset val="0"/>
      </rPr>
      <t xml:space="preserve">
A</t>
    </r>
    <r>
      <rPr>
        <b/>
        <sz val="10"/>
        <color indexed="39"/>
        <rFont val="宋体"/>
        <charset val="134"/>
      </rPr>
      <t>版本</t>
    </r>
  </si>
  <si>
    <r>
      <rPr>
        <b/>
        <sz val="10"/>
        <rFont val="Arial"/>
        <charset val="0"/>
      </rPr>
      <t>MA 1</t>
    </r>
    <r>
      <rPr>
        <b/>
        <sz val="10"/>
        <rFont val="宋体"/>
        <charset val="134"/>
      </rPr>
      <t>语说明书</t>
    </r>
    <r>
      <rPr>
        <b/>
        <sz val="10"/>
        <rFont val="Arial"/>
        <charset val="0"/>
      </rPr>
      <t xml:space="preserve">
A版本</t>
    </r>
  </si>
  <si>
    <r>
      <rPr>
        <b/>
        <sz val="10"/>
        <color indexed="39"/>
        <rFont val="Arial"/>
        <charset val="0"/>
      </rPr>
      <t>MA 3</t>
    </r>
    <r>
      <rPr>
        <b/>
        <sz val="10"/>
        <color indexed="39"/>
        <rFont val="宋体"/>
        <charset val="134"/>
      </rPr>
      <t>语说明书
A版本</t>
    </r>
  </si>
  <si>
    <r>
      <rPr>
        <b/>
        <sz val="10"/>
        <color indexed="39"/>
        <rFont val="Arial"/>
        <charset val="0"/>
      </rPr>
      <t>MA 1</t>
    </r>
    <r>
      <rPr>
        <b/>
        <sz val="10"/>
        <color indexed="39"/>
        <rFont val="宋体"/>
        <charset val="134"/>
      </rPr>
      <t>语PDQ</t>
    </r>
  </si>
  <si>
    <r>
      <rPr>
        <b/>
        <sz val="10"/>
        <color indexed="10"/>
        <rFont val="宋体"/>
        <charset val="134"/>
      </rPr>
      <t>客版彩盒</t>
    </r>
  </si>
  <si>
    <r>
      <rPr>
        <b/>
        <sz val="10"/>
        <color indexed="10"/>
        <rFont val="宋体"/>
        <charset val="134"/>
      </rPr>
      <t>客版说明书</t>
    </r>
  </si>
  <si>
    <r>
      <rPr>
        <b/>
        <sz val="10"/>
        <color indexed="10"/>
        <rFont val="宋体"/>
        <charset val="134"/>
      </rPr>
      <t>客版</t>
    </r>
    <r>
      <rPr>
        <b/>
        <sz val="10"/>
        <color indexed="10"/>
        <rFont val="Arial"/>
        <charset val="0"/>
      </rPr>
      <t>PDQ</t>
    </r>
  </si>
  <si>
    <t>湖南回复</t>
  </si>
  <si>
    <r>
      <rPr>
        <sz val="10"/>
        <color indexed="39"/>
        <rFont val="Arial"/>
        <charset val="0"/>
      </rPr>
      <t xml:space="preserve">2020/06/16 </t>
    </r>
    <r>
      <rPr>
        <sz val="10"/>
        <color indexed="39"/>
        <rFont val="宋体"/>
        <charset val="134"/>
      </rPr>
      <t xml:space="preserve">星期二 </t>
    </r>
  </si>
  <si>
    <r>
      <rPr>
        <sz val="10"/>
        <color indexed="39"/>
        <rFont val="宋体"/>
        <charset val="134"/>
      </rPr>
      <t>中国</t>
    </r>
  </si>
  <si>
    <r>
      <rPr>
        <sz val="10"/>
        <color indexed="39"/>
        <rFont val="宋体"/>
        <charset val="134"/>
      </rPr>
      <t>滑道鲨鱼</t>
    </r>
  </si>
  <si>
    <r>
      <rPr>
        <sz val="10"/>
        <color indexed="39"/>
        <rFont val="Arial"/>
        <charset val="0"/>
      </rPr>
      <t>2020/6/30</t>
    </r>
    <r>
      <rPr>
        <sz val="10"/>
        <color indexed="39"/>
        <rFont val="宋体"/>
        <charset val="134"/>
      </rPr>
      <t>周二</t>
    </r>
  </si>
  <si>
    <r>
      <rPr>
        <sz val="10"/>
        <color indexed="39"/>
        <rFont val="宋体"/>
        <charset val="134"/>
      </rPr>
      <t>空白箱</t>
    </r>
  </si>
  <si>
    <r>
      <rPr>
        <sz val="10"/>
        <color indexed="39"/>
        <rFont val="Arial"/>
        <charset val="0"/>
      </rPr>
      <t>MA 3L</t>
    </r>
    <r>
      <rPr>
        <sz val="10"/>
        <color indexed="39"/>
        <rFont val="宋体"/>
        <charset val="134"/>
      </rPr>
      <t>包装</t>
    </r>
  </si>
  <si>
    <r>
      <rPr>
        <sz val="10"/>
        <color indexed="39"/>
        <rFont val="宋体"/>
        <charset val="134"/>
      </rPr>
      <t>日期码格式：ZURU 标准格式 日期：按实际生产日期, 样品单：
 1. MA 3L包装+MA 3L说明书
 2.无需印刷箱唛，普通空白纸箱+2张A4贴纸即可。
 3.请帮忙于7月2号送货到客人HK地址：
 WowWee
 Address：92 Granville Road Energy Plaza Suite 301A-C 110 TSIMSHASUI Hong Kong SAR
 +852-2722 2774
 Attn: Christine</t>
    </r>
  </si>
  <si>
    <t xml:space="preserve">ZURU  </t>
  </si>
  <si>
    <t>ZMPO21403</t>
  </si>
  <si>
    <t>9/23已寄出</t>
  </si>
  <si>
    <t>只需要左图中箭头指的这个黄色鱼100PCS/100PCS吸塑，其他都不要</t>
  </si>
  <si>
    <t>ZMPO21201</t>
  </si>
  <si>
    <t>只要小鲨鱼半成品+吸塑</t>
  </si>
  <si>
    <t>只需要左图中箭头指的这个鱼，其他都不要</t>
  </si>
  <si>
    <t>EUROPRIS AS</t>
  </si>
  <si>
    <t>1/7 出货</t>
  </si>
  <si>
    <t>11/8 订购</t>
  </si>
  <si>
    <t>日期码格式：ZURU 标准格式 日期：按实际生产日期
Remark: 1. 包装
25291: MA 1L包装(PET材质)+MA 1L 说明书+客人贴纸（带EAN条码）+外箱条码贴纸（两张）
2. 配比信息
25291：include 3pcs LR44 battery in shark and 3pcs LR44 battery in starfish
3. 客人款号
25291：91816
4.条码不能直接印刷在外箱上面，需贴外箱条码贴纸，每箱2张
5.此订单需要第三方客验且需要寄大货样板，请务必多备料。
6. 此订单不能接受含有硼，香味，包装不能接受PVC如有PVC请用PET材质代替</t>
  </si>
  <si>
    <t>Jannie</t>
  </si>
  <si>
    <t>2/16 出货</t>
  </si>
  <si>
    <t>日期码格式：ZURU 标准格式 日期：按实际生产日期
Remark: #25291
1.包装
ACTION 9L EAN 客版包装
2. include 3pcs LR44 battery in shark and 3pcs LR44 battery in starfish
3.所有包装材料都不允许PVC, 请用PET代替
4.大货样板4套
5.客人款号
25291：3007510
6.客人一个PO#对应一款箱唛，共10款箱唛
7.共有5个货期</t>
  </si>
  <si>
    <t>2/26 出货</t>
  </si>
  <si>
    <t>3/7 SI</t>
  </si>
  <si>
    <t>4/1 SI</t>
  </si>
  <si>
    <t>3/28 SI</t>
  </si>
  <si>
    <t>4/12 出货</t>
  </si>
  <si>
    <t>5/6 出货</t>
  </si>
  <si>
    <t>58874-5.7</t>
  </si>
  <si>
    <t>ZMPO22102</t>
  </si>
  <si>
    <t>大货最新版本，请用大货标准箱装箱6PCS/箱共40箱，麻烦按款号装箱，并在外箱上注明款号（每箱货物外箱上面必须要有PO号+产品编号+数量 ）</t>
  </si>
  <si>
    <r>
      <rPr>
        <b/>
        <sz val="16"/>
        <rFont val="Arial"/>
        <charset val="0"/>
      </rPr>
      <t xml:space="preserve">ZURU  </t>
    </r>
    <r>
      <rPr>
        <b/>
        <sz val="16"/>
        <rFont val="宋体"/>
        <charset val="134"/>
      </rPr>
      <t>游水动物樣板訂單</t>
    </r>
  </si>
  <si>
    <r>
      <rPr>
        <b/>
        <sz val="11"/>
        <color indexed="39"/>
        <rFont val="Arial"/>
        <charset val="0"/>
      </rPr>
      <t>MA B</t>
    </r>
    <r>
      <rPr>
        <b/>
        <sz val="11"/>
        <color indexed="39"/>
        <rFont val="宋体"/>
        <charset val="134"/>
      </rPr>
      <t>版本彩盒</t>
    </r>
  </si>
  <si>
    <r>
      <rPr>
        <b/>
        <sz val="11"/>
        <color indexed="39"/>
        <rFont val="Arial"/>
        <charset val="0"/>
      </rPr>
      <t>MA C</t>
    </r>
    <r>
      <rPr>
        <b/>
        <sz val="11"/>
        <color indexed="39"/>
        <rFont val="宋体"/>
        <charset val="134"/>
      </rPr>
      <t>版本彩盒</t>
    </r>
  </si>
  <si>
    <r>
      <rPr>
        <b/>
        <sz val="11"/>
        <rFont val="Arial"/>
        <charset val="0"/>
      </rPr>
      <t>A</t>
    </r>
    <r>
      <rPr>
        <b/>
        <sz val="11"/>
        <rFont val="宋体"/>
        <charset val="134"/>
      </rPr>
      <t>版本</t>
    </r>
  </si>
  <si>
    <t>裝箱方式</t>
  </si>
  <si>
    <r>
      <rPr>
        <b/>
        <sz val="11"/>
        <rFont val="宋体"/>
        <charset val="134"/>
      </rPr>
      <t>单价</t>
    </r>
    <r>
      <rPr>
        <b/>
        <sz val="11"/>
        <rFont val="Arial"/>
        <charset val="0"/>
      </rPr>
      <t>USD</t>
    </r>
  </si>
  <si>
    <r>
      <rPr>
        <b/>
        <sz val="11"/>
        <rFont val="宋体"/>
        <charset val="134"/>
      </rPr>
      <t>金额</t>
    </r>
    <r>
      <rPr>
        <b/>
        <sz val="11"/>
        <rFont val="Arial"/>
        <charset val="0"/>
      </rPr>
      <t>USD</t>
    </r>
  </si>
  <si>
    <r>
      <rPr>
        <b/>
        <sz val="11"/>
        <rFont val="宋体"/>
        <charset val="134"/>
      </rPr>
      <t>#</t>
    </r>
    <r>
      <rPr>
        <b/>
        <sz val="11"/>
        <rFont val="宋体"/>
        <charset val="134"/>
      </rPr>
      <t>25251鴨子</t>
    </r>
  </si>
  <si>
    <r>
      <rPr>
        <b/>
        <sz val="11"/>
        <rFont val="宋体"/>
        <charset val="134"/>
      </rPr>
      <t>#</t>
    </r>
    <r>
      <rPr>
        <b/>
        <sz val="11"/>
        <rFont val="宋体"/>
        <charset val="134"/>
      </rPr>
      <t>25252鱷魚</t>
    </r>
  </si>
  <si>
    <r>
      <rPr>
        <b/>
        <sz val="11"/>
        <rFont val="宋体"/>
        <charset val="134"/>
      </rPr>
      <t>#</t>
    </r>
    <r>
      <rPr>
        <b/>
        <sz val="11"/>
        <rFont val="宋体"/>
        <charset val="134"/>
      </rPr>
      <t>25253金魚</t>
    </r>
  </si>
  <si>
    <t>#25257
MA说明书</t>
  </si>
  <si>
    <t>#25282
MA說明書</t>
  </si>
  <si>
    <t>#25282
MA彩盒</t>
  </si>
  <si>
    <t>发票号</t>
  </si>
  <si>
    <t>生产状态</t>
  </si>
  <si>
    <t>Winter</t>
  </si>
  <si>
    <t>ZMP017003</t>
  </si>
  <si>
    <t>三款游水</t>
  </si>
  <si>
    <t>周轉箱</t>
  </si>
  <si>
    <r>
      <rPr>
        <sz val="11"/>
        <rFont val="Arial"/>
        <charset val="0"/>
      </rPr>
      <t>MA</t>
    </r>
    <r>
      <rPr>
        <sz val="11"/>
        <rFont val="宋体"/>
        <charset val="134"/>
      </rPr>
      <t>包裝</t>
    </r>
  </si>
  <si>
    <r>
      <rPr>
        <sz val="11"/>
        <rFont val="Arial"/>
        <charset val="0"/>
      </rPr>
      <t>ZURU DG</t>
    </r>
    <r>
      <rPr>
        <sz val="11"/>
        <rFont val="宋体"/>
        <charset val="134"/>
      </rPr>
      <t>年月日CHINA， 1.英文版包装+MA说明书。</t>
    </r>
  </si>
  <si>
    <t>Sally</t>
  </si>
  <si>
    <t>NO.A0134713</t>
  </si>
  <si>
    <r>
      <rPr>
        <sz val="11"/>
        <rFont val="Arial"/>
        <charset val="0"/>
      </rPr>
      <t>PP</t>
    </r>
    <r>
      <rPr>
        <sz val="11"/>
        <rFont val="宋体"/>
        <charset val="134"/>
      </rPr>
      <t>樣板</t>
    </r>
  </si>
  <si>
    <t>邮件</t>
  </si>
  <si>
    <t>PP樣板</t>
  </si>
  <si>
    <t>郵件</t>
  </si>
  <si>
    <t>銀輝簽板</t>
  </si>
  <si>
    <t>鴨子、鱷魚</t>
  </si>
  <si>
    <t>客包裝</t>
  </si>
  <si>
    <t>Tony</t>
  </si>
  <si>
    <t>F963-16的物理测试</t>
  </si>
  <si>
    <t>Cici</t>
  </si>
  <si>
    <t>ITS測試版</t>
  </si>
  <si>
    <t>無包裝</t>
  </si>
  <si>
    <t>Summer</t>
  </si>
  <si>
    <t>寄客版</t>
  </si>
  <si>
    <t>Sara</t>
  </si>
  <si>
    <t>WM CA測試版</t>
  </si>
  <si>
    <t>KC測試版</t>
  </si>
  <si>
    <t>Emily</t>
  </si>
  <si>
    <t>Abby</t>
  </si>
  <si>
    <t>法國客測試版</t>
  </si>
  <si>
    <t>年度測試樣板</t>
  </si>
  <si>
    <t>包裝設計樣板</t>
  </si>
  <si>
    <t>產中抽版</t>
  </si>
  <si>
    <t>尾驗抽版</t>
  </si>
  <si>
    <t>化學測試樣板</t>
  </si>
  <si>
    <t>Wendy</t>
  </si>
  <si>
    <t>測試樣品</t>
  </si>
  <si>
    <t>簽板</t>
  </si>
  <si>
    <t>WM 英法文包裝</t>
  </si>
  <si>
    <t>客簽板</t>
  </si>
  <si>
    <t>Mary</t>
  </si>
  <si>
    <t>測試版</t>
  </si>
  <si>
    <t>游水魚</t>
  </si>
  <si>
    <t>tony</t>
  </si>
  <si>
    <t>bella</t>
  </si>
  <si>
    <t>大貨樣板</t>
  </si>
  <si>
    <t>Vicky</t>
  </si>
  <si>
    <t>MA-C版本簽樣</t>
  </si>
  <si>
    <t>ZMPO19043</t>
  </si>
  <si>
    <t>樣板房</t>
  </si>
  <si>
    <t>hailey</t>
  </si>
  <si>
    <t>產前測試版</t>
  </si>
  <si>
    <t>清溪兴信各客产品入系统进度汇总表</t>
  </si>
  <si>
    <t>No.</t>
  </si>
  <si>
    <t>客名</t>
  </si>
  <si>
    <t>产品货号</t>
  </si>
  <si>
    <t>产品中文名称</t>
  </si>
  <si>
    <t>装箱方式</t>
  </si>
  <si>
    <t>BOM物料设置</t>
  </si>
  <si>
    <t>盘点入库</t>
  </si>
  <si>
    <t>开单出库</t>
  </si>
  <si>
    <t>开单入库</t>
  </si>
  <si>
    <t>生产单跟踪</t>
  </si>
  <si>
    <t>系统出采购单</t>
  </si>
  <si>
    <t>内箱装箱数</t>
  </si>
  <si>
    <t>外箱装箱数</t>
  </si>
  <si>
    <t>胶件</t>
  </si>
  <si>
    <t>来料</t>
  </si>
  <si>
    <t>BOM</t>
  </si>
  <si>
    <t>生产单
入系统</t>
  </si>
  <si>
    <t>来料采
购分析</t>
  </si>
  <si>
    <t>胶件采
购分析</t>
  </si>
  <si>
    <t>鸭子标准版12只装</t>
  </si>
  <si>
    <t>鳄鱼标准版12只装</t>
  </si>
  <si>
    <t>金鱼标准版12只装</t>
  </si>
  <si>
    <t>金鱼欧洲版12只装</t>
  </si>
  <si>
    <t>5</t>
  </si>
  <si>
    <t>鸭子欧洲版6只装</t>
  </si>
  <si>
    <t>6</t>
  </si>
  <si>
    <t>鳄鱼标准版6只装</t>
  </si>
  <si>
    <t>7</t>
  </si>
  <si>
    <t>8</t>
  </si>
  <si>
    <t>鸭子美国版4只装</t>
  </si>
  <si>
    <t>9</t>
  </si>
  <si>
    <t>鳄鱼美国版4只装</t>
  </si>
  <si>
    <t>10</t>
  </si>
  <si>
    <t>金鱼美国版4只装</t>
  </si>
  <si>
    <t>12</t>
  </si>
  <si>
    <t>滑道鲨鱼标准版6只装</t>
  </si>
  <si>
    <t>13</t>
  </si>
  <si>
    <t>鲨鱼标准版12只装</t>
  </si>
  <si>
    <t>14</t>
  </si>
  <si>
    <t>15</t>
  </si>
  <si>
    <t>25282-S006</t>
  </si>
  <si>
    <t>16</t>
  </si>
  <si>
    <t>25282-S008</t>
  </si>
  <si>
    <t>17</t>
  </si>
  <si>
    <t>18</t>
  </si>
  <si>
    <t>黄色鲨鱼标准版12只装</t>
  </si>
  <si>
    <t>19</t>
  </si>
  <si>
    <t>25282A-S006</t>
  </si>
  <si>
    <t>20</t>
  </si>
  <si>
    <t>蓝色鲨鱼标准版12只装</t>
  </si>
  <si>
    <t>21</t>
  </si>
  <si>
    <t>25282B-S005</t>
  </si>
  <si>
    <t>22</t>
  </si>
  <si>
    <t>粉色鲨鱼标准版12只装</t>
  </si>
  <si>
    <t>23</t>
  </si>
  <si>
    <t>25282D-S005</t>
  </si>
  <si>
    <t>24</t>
  </si>
  <si>
    <t>25282-S022</t>
  </si>
  <si>
    <t>鲨鱼客版9只装</t>
  </si>
  <si>
    <t>25</t>
  </si>
  <si>
    <t>25282-S007</t>
  </si>
  <si>
    <t>鲨鱼客版8只装</t>
  </si>
  <si>
    <t>26</t>
  </si>
  <si>
    <t>25282-S001-1</t>
  </si>
  <si>
    <t>鲨鱼标准版6只装</t>
  </si>
  <si>
    <t>27</t>
  </si>
  <si>
    <t>28</t>
  </si>
  <si>
    <t>29</t>
  </si>
  <si>
    <t>25282-S005-1</t>
  </si>
  <si>
    <t>鲨鱼客版6只装</t>
  </si>
  <si>
    <t>30</t>
  </si>
  <si>
    <t>黄色鲨鱼标准版6只装</t>
  </si>
  <si>
    <t>31</t>
  </si>
  <si>
    <t>25282A-S003</t>
  </si>
  <si>
    <t>黄色鲨鱼客版6只装</t>
  </si>
  <si>
    <t>32</t>
  </si>
  <si>
    <t>33</t>
  </si>
  <si>
    <t>34</t>
  </si>
  <si>
    <t>25282B-S001-1</t>
  </si>
  <si>
    <t>蓝色鲨鱼标准版6只装</t>
  </si>
  <si>
    <t>35</t>
  </si>
  <si>
    <t>25282B-S002</t>
  </si>
  <si>
    <t>蓝色鲨鱼客版6只装</t>
  </si>
  <si>
    <t>36</t>
  </si>
  <si>
    <t>25282B-S003</t>
  </si>
  <si>
    <t>37</t>
  </si>
  <si>
    <t>38</t>
  </si>
  <si>
    <t>25282D-S002</t>
  </si>
  <si>
    <t>粉色鲨鱼客版6只装</t>
  </si>
  <si>
    <t>39</t>
  </si>
  <si>
    <t>25282D-S003</t>
  </si>
  <si>
    <t>40</t>
  </si>
  <si>
    <t>粉色鲨鱼标准版6只装</t>
  </si>
  <si>
    <t>41</t>
  </si>
  <si>
    <t>42</t>
  </si>
  <si>
    <t>25284-S001</t>
  </si>
  <si>
    <t>43</t>
  </si>
  <si>
    <t>25282-S012</t>
  </si>
  <si>
    <t>鲨鱼标准版4只装</t>
  </si>
  <si>
    <t>44</t>
  </si>
  <si>
    <t>鲨鱼标准版3只装</t>
  </si>
  <si>
    <t>45</t>
  </si>
  <si>
    <t>25282-S002</t>
  </si>
  <si>
    <t>鲨鱼加拿大版2只装</t>
  </si>
  <si>
    <t>46</t>
  </si>
  <si>
    <t>25282-S011</t>
  </si>
  <si>
    <t>鲨鱼客版2只装</t>
  </si>
  <si>
    <t>47</t>
  </si>
  <si>
    <t>25282-S020</t>
  </si>
  <si>
    <t>48</t>
  </si>
  <si>
    <t>黄色鲨鱼美国版2只装</t>
  </si>
  <si>
    <t>49</t>
  </si>
  <si>
    <t>蓝色鲨鱼美国版2只装</t>
  </si>
  <si>
    <t>50</t>
  </si>
  <si>
    <t>粉色鲨鱼美国版2只装</t>
  </si>
  <si>
    <t>51</t>
  </si>
  <si>
    <t>52</t>
  </si>
</sst>
</file>

<file path=xl/styles.xml><?xml version="1.0" encoding="utf-8"?>
<styleSheet xmlns="http://schemas.openxmlformats.org/spreadsheetml/2006/main" xmlns:mc="http://schemas.openxmlformats.org/markup-compatibility/2006" xmlns:xr9="http://schemas.microsoft.com/office/spreadsheetml/2016/revision9" mc:Ignorable="xr9">
  <numFmts count="31">
    <numFmt numFmtId="7" formatCode="&quot;￥&quot;#,##0.00;&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d/mmm/yy;@"/>
    <numFmt numFmtId="177" formatCode="[$-409]mmm/yy;@"/>
    <numFmt numFmtId="178" formatCode="_-* #,##0.00_-;\-* #,##0.00_-;_-* &quot;-&quot;??_-;_-@_-"/>
    <numFmt numFmtId="179" formatCode="_(* #,##0.00_);_(* \(#,##0.00\);_(* &quot;-&quot;??_);_(@_)"/>
    <numFmt numFmtId="180" formatCode="[$-409]d\-mmm;@"/>
    <numFmt numFmtId="181" formatCode="&quot;US$&quot;#,##0_);[Red]\(&quot;US$&quot;#,##0\)"/>
    <numFmt numFmtId="182" formatCode="0_);[Red]\(0\)"/>
    <numFmt numFmtId="183" formatCode="m/d;@"/>
    <numFmt numFmtId="184" formatCode="&quot;US$&quot;#,##0.00;\-&quot;US$&quot;#,##0.00"/>
    <numFmt numFmtId="185" formatCode="&quot;US$&quot;#,##0;\-&quot;US$&quot;#,##0"/>
    <numFmt numFmtId="186" formatCode="yyyy/m/d&quot;周&quot;aaa"/>
    <numFmt numFmtId="187" formatCode="yyyy&quot;年&quot;m&quot;月&quot;d&quot;日&quot;;@"/>
    <numFmt numFmtId="188" formatCode="m&quot;月&quot;d&quot;日&quot;;@"/>
    <numFmt numFmtId="189" formatCode="&quot;US$&quot;#,##0.000;\-&quot;US$&quot;#,##0.000"/>
    <numFmt numFmtId="190" formatCode="yyyy/mm/dd\ aaaa\ "/>
    <numFmt numFmtId="191" formatCode="\$#,##0;\-\$#,##0"/>
    <numFmt numFmtId="192" formatCode="yyyy/mm/dd\ aaaa"/>
    <numFmt numFmtId="193" formatCode="&quot;￥&quot;#,##0.00_);[Red]\(&quot;￥&quot;#,##0.00\)"/>
    <numFmt numFmtId="194" formatCode="yyyy/m/d;@"/>
    <numFmt numFmtId="195" formatCode="#,##0_);[Red]\(#,##0\)"/>
    <numFmt numFmtId="196" formatCode="0_ "/>
    <numFmt numFmtId="197" formatCode="0_ ;[Red]\-0\ "/>
    <numFmt numFmtId="198" formatCode="0.00_ "/>
    <numFmt numFmtId="199" formatCode="[$HK$-C04]#,##0.00;\-[$HK$-C04]#,##0.00"/>
    <numFmt numFmtId="200" formatCode="#,##0_ "/>
    <numFmt numFmtId="201" formatCode="0.0000_ "/>
  </numFmts>
  <fonts count="265">
    <font>
      <sz val="12"/>
      <name val="宋体"/>
      <charset val="134"/>
    </font>
    <font>
      <sz val="10"/>
      <color indexed="8"/>
      <name val="宋体"/>
      <charset val="134"/>
    </font>
    <font>
      <sz val="10"/>
      <name val="Arial"/>
      <charset val="0"/>
    </font>
    <font>
      <b/>
      <sz val="11"/>
      <color indexed="8"/>
      <name val="宋体"/>
      <charset val="134"/>
    </font>
    <font>
      <b/>
      <sz val="10"/>
      <color indexed="8"/>
      <name val="宋体"/>
      <charset val="134"/>
    </font>
    <font>
      <sz val="11"/>
      <name val="Arial"/>
      <charset val="0"/>
    </font>
    <font>
      <sz val="11"/>
      <color indexed="39"/>
      <name val="Arial"/>
      <charset val="0"/>
    </font>
    <font>
      <b/>
      <sz val="16"/>
      <name val="Arial"/>
      <charset val="0"/>
    </font>
    <font>
      <b/>
      <sz val="11"/>
      <color indexed="10"/>
      <name val="宋体"/>
      <charset val="134"/>
    </font>
    <font>
      <b/>
      <sz val="11"/>
      <color indexed="10"/>
      <name val="Arial"/>
      <charset val="0"/>
    </font>
    <font>
      <b/>
      <sz val="11"/>
      <name val="Arial"/>
      <charset val="0"/>
    </font>
    <font>
      <b/>
      <sz val="11"/>
      <name val="宋体"/>
      <charset val="134"/>
    </font>
    <font>
      <b/>
      <sz val="10"/>
      <name val="宋体"/>
      <charset val="134"/>
    </font>
    <font>
      <b/>
      <sz val="10"/>
      <name val="Arial"/>
      <charset val="0"/>
    </font>
    <font>
      <sz val="11"/>
      <name val="宋体"/>
      <charset val="134"/>
    </font>
    <font>
      <b/>
      <sz val="16"/>
      <color indexed="39"/>
      <name val="Arial"/>
      <charset val="0"/>
    </font>
    <font>
      <b/>
      <sz val="11"/>
      <color indexed="39"/>
      <name val="Arial"/>
      <charset val="0"/>
    </font>
    <font>
      <b/>
      <sz val="11"/>
      <color indexed="39"/>
      <name val="宋体"/>
      <charset val="134"/>
    </font>
    <font>
      <sz val="11"/>
      <color indexed="8"/>
      <name val="Arial"/>
      <charset val="0"/>
    </font>
    <font>
      <sz val="11"/>
      <color indexed="10"/>
      <name val="Arial"/>
      <charset val="0"/>
    </font>
    <font>
      <sz val="11"/>
      <color indexed="57"/>
      <name val="Arial"/>
      <charset val="0"/>
    </font>
    <font>
      <b/>
      <sz val="10"/>
      <color indexed="10"/>
      <name val="Arial"/>
      <charset val="0"/>
    </font>
    <font>
      <b/>
      <sz val="10"/>
      <color indexed="39"/>
      <name val="Arial"/>
      <charset val="0"/>
    </font>
    <font>
      <sz val="10"/>
      <color indexed="39"/>
      <name val="Arial"/>
      <charset val="0"/>
    </font>
    <font>
      <sz val="11"/>
      <color indexed="39"/>
      <name val="宋体"/>
      <charset val="134"/>
    </font>
    <font>
      <sz val="10"/>
      <color indexed="39"/>
      <name val="等线"/>
      <charset val="134"/>
    </font>
    <font>
      <sz val="10"/>
      <color indexed="39"/>
      <name val="宋体"/>
      <charset val="134"/>
    </font>
    <font>
      <sz val="11"/>
      <color indexed="8"/>
      <name val="宋体"/>
      <charset val="134"/>
    </font>
    <font>
      <b/>
      <sz val="9"/>
      <name val="宋体"/>
      <charset val="134"/>
    </font>
    <font>
      <b/>
      <sz val="14"/>
      <color indexed="36"/>
      <name val="宋体"/>
      <charset val="134"/>
    </font>
    <font>
      <b/>
      <sz val="11"/>
      <color indexed="36"/>
      <name val="宋体"/>
      <charset val="134"/>
    </font>
    <font>
      <sz val="14"/>
      <color indexed="39"/>
      <name val="Arial"/>
      <charset val="0"/>
    </font>
    <font>
      <sz val="12"/>
      <color indexed="39"/>
      <name val="Arial"/>
      <charset val="0"/>
    </font>
    <font>
      <sz val="14"/>
      <color indexed="36"/>
      <name val="Arial"/>
      <charset val="0"/>
    </font>
    <font>
      <sz val="14"/>
      <color indexed="39"/>
      <name val="宋体"/>
      <charset val="134"/>
    </font>
    <font>
      <sz val="12"/>
      <color indexed="36"/>
      <name val="Arial"/>
      <charset val="0"/>
    </font>
    <font>
      <sz val="14"/>
      <color indexed="36"/>
      <name val="宋体"/>
      <charset val="134"/>
    </font>
    <font>
      <sz val="12"/>
      <name val="Arial"/>
      <charset val="0"/>
    </font>
    <font>
      <b/>
      <sz val="10"/>
      <color indexed="57"/>
      <name val="Arial"/>
      <charset val="0"/>
    </font>
    <font>
      <b/>
      <sz val="10"/>
      <color indexed="10"/>
      <name val="宋体"/>
      <charset val="134"/>
    </font>
    <font>
      <b/>
      <sz val="10"/>
      <color indexed="57"/>
      <name val="宋体"/>
      <charset val="134"/>
    </font>
    <font>
      <sz val="10"/>
      <color indexed="57"/>
      <name val="Arial"/>
      <charset val="0"/>
    </font>
    <font>
      <sz val="11"/>
      <color indexed="57"/>
      <name val="宋体"/>
      <charset val="134"/>
    </font>
    <font>
      <sz val="10"/>
      <color indexed="57"/>
      <name val="宋体"/>
      <charset val="134"/>
    </font>
    <font>
      <b/>
      <sz val="14"/>
      <name val="Arial"/>
      <charset val="0"/>
    </font>
    <font>
      <sz val="11"/>
      <color indexed="10"/>
      <name val="宋体"/>
      <charset val="134"/>
    </font>
    <font>
      <sz val="10"/>
      <name val="Tahoma"/>
      <charset val="134"/>
    </font>
    <font>
      <b/>
      <sz val="12"/>
      <name val="Tahoma"/>
      <charset val="134"/>
    </font>
    <font>
      <sz val="11"/>
      <color rgb="FFFF0000"/>
      <name val="Arial"/>
      <charset val="0"/>
    </font>
    <font>
      <sz val="11"/>
      <name val="宋体"/>
      <charset val="0"/>
    </font>
    <font>
      <sz val="11"/>
      <color rgb="FFFF0000"/>
      <name val="宋体"/>
      <charset val="0"/>
    </font>
    <font>
      <sz val="10"/>
      <color rgb="FFFF0000"/>
      <name val="Arial"/>
      <charset val="0"/>
    </font>
    <font>
      <sz val="10"/>
      <name val="宋体"/>
      <charset val="134"/>
    </font>
    <font>
      <sz val="11"/>
      <name val="Calibri"/>
      <charset val="0"/>
    </font>
    <font>
      <sz val="11"/>
      <color rgb="FFFF0000"/>
      <name val="宋体"/>
      <charset val="134"/>
    </font>
    <font>
      <b/>
      <sz val="11"/>
      <color rgb="FFFF0000"/>
      <name val="宋体"/>
      <charset val="0"/>
    </font>
    <font>
      <b/>
      <sz val="11"/>
      <color rgb="FFFF0000"/>
      <name val="Arial"/>
      <charset val="0"/>
    </font>
    <font>
      <sz val="10"/>
      <name val="宋体"/>
      <charset val="0"/>
    </font>
    <font>
      <b/>
      <sz val="10"/>
      <color rgb="FFFF0000"/>
      <name val="宋体"/>
      <charset val="134"/>
    </font>
    <font>
      <sz val="10"/>
      <color rgb="FFFF0000"/>
      <name val="宋体"/>
      <charset val="134"/>
    </font>
    <font>
      <sz val="10"/>
      <color indexed="10"/>
      <name val="宋体"/>
      <charset val="134"/>
    </font>
    <font>
      <b/>
      <sz val="11"/>
      <color rgb="FFFF0000"/>
      <name val="宋体"/>
      <charset val="134"/>
    </font>
    <font>
      <sz val="11"/>
      <color indexed="10"/>
      <name val="Calibri"/>
      <charset val="0"/>
    </font>
    <font>
      <sz val="10"/>
      <color indexed="10"/>
      <name val="Arial"/>
      <charset val="0"/>
    </font>
    <font>
      <sz val="10"/>
      <color indexed="8"/>
      <name val="Arial"/>
      <charset val="0"/>
    </font>
    <font>
      <sz val="11"/>
      <color indexed="8"/>
      <name val="Calibri"/>
      <charset val="0"/>
    </font>
    <font>
      <sz val="11"/>
      <color indexed="8"/>
      <name val="Tahoma"/>
      <charset val="134"/>
    </font>
    <font>
      <sz val="10"/>
      <color indexed="8"/>
      <name val="Calibri"/>
      <charset val="0"/>
    </font>
    <font>
      <sz val="11"/>
      <color theme="1"/>
      <name val="Calibri"/>
      <charset val="0"/>
    </font>
    <font>
      <sz val="10"/>
      <name val="Calibri"/>
      <charset val="0"/>
    </font>
    <font>
      <sz val="11"/>
      <color theme="1"/>
      <name val="宋体"/>
      <charset val="0"/>
    </font>
    <font>
      <sz val="11"/>
      <color rgb="FFFF0000"/>
      <name val="Calibri"/>
      <charset val="0"/>
    </font>
    <font>
      <sz val="10"/>
      <color rgb="FFFF0000"/>
      <name val="宋体"/>
      <charset val="0"/>
    </font>
    <font>
      <sz val="12"/>
      <color rgb="FFFF0000"/>
      <name val="宋体"/>
      <charset val="0"/>
      <scheme val="minor"/>
    </font>
    <font>
      <b/>
      <sz val="10"/>
      <name val="宋体"/>
      <charset val="0"/>
    </font>
    <font>
      <sz val="12"/>
      <color rgb="FFFF0000"/>
      <name val="宋体"/>
      <charset val="134"/>
      <scheme val="minor"/>
    </font>
    <font>
      <sz val="12"/>
      <name val="宋体"/>
      <charset val="0"/>
    </font>
    <font>
      <sz val="12"/>
      <color rgb="FFFF0000"/>
      <name val="宋体"/>
      <charset val="0"/>
    </font>
    <font>
      <sz val="10"/>
      <name val="等线"/>
      <charset val="134"/>
    </font>
    <font>
      <sz val="12"/>
      <color rgb="FFFF0000"/>
      <name val="宋体"/>
      <charset val="134"/>
    </font>
    <font>
      <sz val="10"/>
      <color rgb="FFFF0000"/>
      <name val="等线"/>
      <charset val="134"/>
    </font>
    <font>
      <sz val="11"/>
      <color rgb="FF0E2EF0"/>
      <name val="Arial"/>
      <charset val="0"/>
    </font>
    <font>
      <sz val="11"/>
      <color rgb="FF0000FF"/>
      <name val="Arial"/>
      <charset val="0"/>
    </font>
    <font>
      <sz val="11"/>
      <color indexed="36"/>
      <name val="宋体"/>
      <charset val="134"/>
    </font>
    <font>
      <sz val="11"/>
      <color rgb="FF0E2EF0"/>
      <name val="宋体"/>
      <charset val="134"/>
    </font>
    <font>
      <sz val="10"/>
      <color rgb="FF0E2EF0"/>
      <name val="Arial"/>
      <charset val="0"/>
    </font>
    <font>
      <b/>
      <sz val="12"/>
      <name val="Arial"/>
      <charset val="0"/>
    </font>
    <font>
      <b/>
      <sz val="12"/>
      <name val="宋体"/>
      <charset val="134"/>
    </font>
    <font>
      <b/>
      <sz val="24"/>
      <name val="宋体"/>
      <charset val="134"/>
    </font>
    <font>
      <sz val="12"/>
      <color rgb="FF0E2EF0"/>
      <name val="宋体"/>
      <charset val="134"/>
      <scheme val="minor"/>
    </font>
    <font>
      <sz val="12"/>
      <color rgb="FF0E2EF0"/>
      <name val="宋体"/>
      <charset val="134"/>
    </font>
    <font>
      <sz val="12"/>
      <color rgb="FF0E2EF0"/>
      <name val="等线"/>
      <charset val="134"/>
    </font>
    <font>
      <sz val="10"/>
      <color rgb="FF0E2EF0"/>
      <name val="等线"/>
      <charset val="134"/>
    </font>
    <font>
      <b/>
      <sz val="10"/>
      <color rgb="FF7030A0"/>
      <name val="宋体"/>
      <charset val="134"/>
    </font>
    <font>
      <b/>
      <sz val="16"/>
      <color indexed="10"/>
      <name val="Arial"/>
      <charset val="0"/>
    </font>
    <font>
      <sz val="11"/>
      <color rgb="FF1506E0"/>
      <name val="Arial"/>
      <charset val="0"/>
    </font>
    <font>
      <b/>
      <sz val="12"/>
      <name val="宋体"/>
      <charset val="0"/>
    </font>
    <font>
      <sz val="11"/>
      <color rgb="FF1506E0"/>
      <name val="宋体"/>
      <charset val="134"/>
    </font>
    <font>
      <sz val="11"/>
      <color rgb="FF0000FF"/>
      <name val="宋体"/>
      <charset val="134"/>
    </font>
    <font>
      <sz val="10"/>
      <color rgb="FF0E2EF0"/>
      <name val="宋体"/>
      <charset val="0"/>
    </font>
    <font>
      <sz val="10"/>
      <color rgb="FF0E2EF0"/>
      <name val="宋体"/>
      <charset val="134"/>
    </font>
    <font>
      <sz val="11"/>
      <color rgb="FF0E2EF0"/>
      <name val="宋体"/>
      <charset val="0"/>
    </font>
    <font>
      <sz val="12"/>
      <color rgb="FF0E2EF0"/>
      <name val="宋体"/>
      <charset val="0"/>
    </font>
    <font>
      <sz val="14"/>
      <color rgb="FF0E2EF0"/>
      <name val="宋体"/>
      <charset val="0"/>
      <scheme val="minor"/>
    </font>
    <font>
      <sz val="10"/>
      <color rgb="FF0000FF"/>
      <name val="Arial"/>
      <charset val="0"/>
    </font>
    <font>
      <sz val="10"/>
      <color rgb="FF1506E0"/>
      <name val="Arial"/>
      <charset val="0"/>
    </font>
    <font>
      <sz val="10"/>
      <color rgb="FF2727F0"/>
      <name val="Arial"/>
      <charset val="0"/>
    </font>
    <font>
      <sz val="10"/>
      <color rgb="FF000000"/>
      <name val="Arial"/>
      <charset val="0"/>
    </font>
    <font>
      <sz val="11"/>
      <color rgb="FF2727F0"/>
      <name val="Arial"/>
      <charset val="0"/>
    </font>
    <font>
      <sz val="11"/>
      <color rgb="FF000000"/>
      <name val="Arial"/>
      <charset val="0"/>
    </font>
    <font>
      <sz val="10"/>
      <color rgb="FF0000FF"/>
      <name val="宋体"/>
      <charset val="134"/>
    </font>
    <font>
      <sz val="10"/>
      <color rgb="FF1506E0"/>
      <name val="宋体"/>
      <charset val="134"/>
    </font>
    <font>
      <sz val="10"/>
      <color rgb="FF2727F0"/>
      <name val="宋体"/>
      <charset val="134"/>
    </font>
    <font>
      <sz val="10"/>
      <color rgb="FF000000"/>
      <name val="宋体"/>
      <charset val="134"/>
    </font>
    <font>
      <sz val="14"/>
      <color rgb="FF0E2EF0"/>
      <name val="宋体"/>
      <charset val="0"/>
    </font>
    <font>
      <sz val="14"/>
      <color rgb="FF0E2EF0"/>
      <name val="宋体"/>
      <charset val="134"/>
    </font>
    <font>
      <sz val="12"/>
      <color rgb="FF0000FF"/>
      <name val="宋体"/>
      <charset val="134"/>
      <scheme val="minor"/>
    </font>
    <font>
      <sz val="11"/>
      <color rgb="FF0000FF"/>
      <name val="宋体"/>
      <charset val="0"/>
    </font>
    <font>
      <sz val="12"/>
      <color rgb="FF0000FF"/>
      <name val="宋体"/>
      <charset val="0"/>
    </font>
    <font>
      <sz val="10"/>
      <color rgb="FF0000FF"/>
      <name val="宋体"/>
      <charset val="0"/>
    </font>
    <font>
      <sz val="12"/>
      <color rgb="FF0000FF"/>
      <name val="宋体"/>
      <charset val="134"/>
    </font>
    <font>
      <sz val="14"/>
      <color rgb="FF0000FF"/>
      <name val="宋体"/>
      <charset val="0"/>
    </font>
    <font>
      <sz val="10"/>
      <color rgb="FF0000FF"/>
      <name val="等线"/>
      <charset val="134"/>
    </font>
    <font>
      <sz val="14"/>
      <color rgb="FF0000FF"/>
      <name val="宋体"/>
      <charset val="134"/>
    </font>
    <font>
      <sz val="14"/>
      <name val="宋体"/>
      <charset val="0"/>
    </font>
    <font>
      <sz val="14"/>
      <name val="宋体"/>
      <charset val="134"/>
    </font>
    <font>
      <b/>
      <sz val="8"/>
      <color rgb="FF000000"/>
      <name val="STSong-Light"/>
      <charset val="134"/>
    </font>
    <font>
      <sz val="10"/>
      <color indexed="36"/>
      <name val="Arial"/>
      <charset val="0"/>
    </font>
    <font>
      <sz val="11"/>
      <color indexed="36"/>
      <name val="Arial"/>
      <charset val="0"/>
    </font>
    <font>
      <sz val="12"/>
      <name val="宋体"/>
      <charset val="0"/>
      <scheme val="minor"/>
    </font>
    <font>
      <sz val="12"/>
      <color rgb="FF0E2EF0"/>
      <name val="宋体"/>
      <charset val="0"/>
      <scheme val="minor"/>
    </font>
    <font>
      <sz val="12"/>
      <color rgb="FF0000FF"/>
      <name val="宋体"/>
      <charset val="0"/>
      <scheme val="minor"/>
    </font>
    <font>
      <sz val="12"/>
      <name val="宋体"/>
      <charset val="134"/>
      <scheme val="minor"/>
    </font>
    <font>
      <b/>
      <sz val="12"/>
      <color indexed="36"/>
      <name val="宋体"/>
      <charset val="0"/>
      <scheme val="minor"/>
    </font>
    <font>
      <sz val="12"/>
      <color indexed="39"/>
      <name val="宋体"/>
      <charset val="0"/>
      <scheme val="minor"/>
    </font>
    <font>
      <sz val="12"/>
      <color indexed="10"/>
      <name val="宋体"/>
      <charset val="0"/>
      <scheme val="minor"/>
    </font>
    <font>
      <b/>
      <sz val="12"/>
      <name val="宋体"/>
      <charset val="0"/>
      <scheme val="minor"/>
    </font>
    <font>
      <b/>
      <sz val="12"/>
      <color indexed="10"/>
      <name val="宋体"/>
      <charset val="0"/>
      <scheme val="minor"/>
    </font>
    <font>
      <b/>
      <sz val="12"/>
      <color indexed="39"/>
      <name val="宋体"/>
      <charset val="0"/>
      <scheme val="minor"/>
    </font>
    <font>
      <b/>
      <sz val="12"/>
      <name val="宋体"/>
      <charset val="134"/>
      <scheme val="minor"/>
    </font>
    <font>
      <b/>
      <sz val="12"/>
      <color indexed="36"/>
      <name val="宋体"/>
      <charset val="134"/>
      <scheme val="minor"/>
    </font>
    <font>
      <b/>
      <sz val="12"/>
      <color rgb="FF0E2EF0"/>
      <name val="宋体"/>
      <charset val="0"/>
      <scheme val="minor"/>
    </font>
    <font>
      <b/>
      <sz val="12"/>
      <color rgb="FFFF0000"/>
      <name val="宋体"/>
      <charset val="0"/>
      <scheme val="minor"/>
    </font>
    <font>
      <sz val="12"/>
      <color indexed="10"/>
      <name val="宋体"/>
      <charset val="134"/>
      <scheme val="minor"/>
    </font>
    <font>
      <b/>
      <sz val="12"/>
      <color indexed="10"/>
      <name val="宋体"/>
      <charset val="134"/>
      <scheme val="minor"/>
    </font>
    <font>
      <sz val="12"/>
      <color indexed="8"/>
      <name val="宋体"/>
      <charset val="0"/>
      <scheme val="minor"/>
    </font>
    <font>
      <sz val="12"/>
      <color indexed="8"/>
      <name val="宋体"/>
      <charset val="134"/>
      <scheme val="minor"/>
    </font>
    <font>
      <b/>
      <sz val="14"/>
      <color rgb="FF0000FF"/>
      <name val="宋体"/>
      <charset val="0"/>
    </font>
    <font>
      <sz val="12"/>
      <color theme="1"/>
      <name val="宋体"/>
      <charset val="0"/>
      <scheme val="minor"/>
    </font>
    <font>
      <sz val="14"/>
      <color rgb="FF000000"/>
      <name val="宋体"/>
      <charset val="0"/>
    </font>
    <font>
      <sz val="16"/>
      <name val="宋体"/>
      <charset val="0"/>
    </font>
    <font>
      <b/>
      <sz val="14"/>
      <color indexed="36"/>
      <name val="宋体"/>
      <charset val="0"/>
    </font>
    <font>
      <b/>
      <sz val="14"/>
      <name val="宋体"/>
      <charset val="0"/>
    </font>
    <font>
      <b/>
      <sz val="16"/>
      <name val="宋体"/>
      <charset val="0"/>
    </font>
    <font>
      <sz val="14"/>
      <color indexed="10"/>
      <name val="宋体"/>
      <charset val="0"/>
    </font>
    <font>
      <b/>
      <sz val="14"/>
      <color indexed="10"/>
      <name val="宋体"/>
      <charset val="134"/>
    </font>
    <font>
      <b/>
      <sz val="16"/>
      <color indexed="10"/>
      <name val="宋体"/>
      <charset val="134"/>
    </font>
    <font>
      <b/>
      <sz val="14"/>
      <color indexed="39"/>
      <name val="宋体"/>
      <charset val="134"/>
    </font>
    <font>
      <b/>
      <sz val="14"/>
      <color rgb="FF000000"/>
      <name val="宋体"/>
      <charset val="134"/>
    </font>
    <font>
      <b/>
      <sz val="16"/>
      <color rgb="FF000000"/>
      <name val="宋体"/>
      <charset val="0"/>
    </font>
    <font>
      <b/>
      <sz val="14"/>
      <color rgb="FF000000"/>
      <name val="宋体"/>
      <charset val="0"/>
    </font>
    <font>
      <b/>
      <sz val="14"/>
      <name val="宋体"/>
      <charset val="134"/>
    </font>
    <font>
      <sz val="16"/>
      <color rgb="FF0E2EF0"/>
      <name val="宋体"/>
      <charset val="0"/>
    </font>
    <font>
      <b/>
      <sz val="12"/>
      <color rgb="FF000000"/>
      <name val="宋体"/>
      <charset val="134"/>
    </font>
    <font>
      <b/>
      <sz val="14"/>
      <color rgb="FF0E2EF0"/>
      <name val="宋体"/>
      <charset val="0"/>
    </font>
    <font>
      <sz val="14"/>
      <color rgb="FF000000"/>
      <name val="宋体"/>
      <charset val="134"/>
    </font>
    <font>
      <sz val="14"/>
      <color rgb="FFFF0000"/>
      <name val="宋体"/>
      <charset val="0"/>
    </font>
    <font>
      <sz val="16"/>
      <color rgb="FF0000FF"/>
      <name val="宋体"/>
      <charset val="0"/>
    </font>
    <font>
      <sz val="16"/>
      <color rgb="FF000000"/>
      <name val="宋体"/>
      <charset val="0"/>
    </font>
    <font>
      <sz val="12"/>
      <color rgb="FF000000"/>
      <name val="宋体"/>
      <charset val="0"/>
    </font>
    <font>
      <sz val="11"/>
      <color rgb="FF000000"/>
      <name val="宋体"/>
      <charset val="134"/>
    </font>
    <font>
      <sz val="14"/>
      <color theme="1"/>
      <name val="宋体"/>
      <charset val="0"/>
    </font>
    <font>
      <sz val="14"/>
      <color indexed="12"/>
      <name val="宋体"/>
      <charset val="0"/>
    </font>
    <font>
      <sz val="14"/>
      <color indexed="36"/>
      <name val="宋体"/>
      <charset val="0"/>
    </font>
    <font>
      <u/>
      <sz val="12"/>
      <color indexed="39"/>
      <name val="宋体"/>
      <charset val="134"/>
    </font>
    <font>
      <u/>
      <sz val="12"/>
      <color indexed="36"/>
      <name val="宋体"/>
      <charset val="134"/>
    </font>
    <font>
      <b/>
      <sz val="18"/>
      <color indexed="62"/>
      <name val="宋体"/>
      <charset val="134"/>
    </font>
    <font>
      <i/>
      <sz val="11"/>
      <color indexed="23"/>
      <name val="宋体"/>
      <charset val="134"/>
    </font>
    <font>
      <b/>
      <sz val="15"/>
      <color indexed="62"/>
      <name val="宋体"/>
      <charset val="134"/>
    </font>
    <font>
      <b/>
      <sz val="13"/>
      <color indexed="62"/>
      <name val="宋体"/>
      <charset val="134"/>
    </font>
    <font>
      <b/>
      <sz val="11"/>
      <color indexed="62"/>
      <name val="宋体"/>
      <charset val="134"/>
    </font>
    <font>
      <sz val="11"/>
      <color indexed="62"/>
      <name val="宋体"/>
      <charset val="134"/>
    </font>
    <font>
      <b/>
      <sz val="11"/>
      <color indexed="63"/>
      <name val="宋体"/>
      <charset val="134"/>
    </font>
    <font>
      <b/>
      <sz val="11"/>
      <color indexed="53"/>
      <name val="宋体"/>
      <charset val="134"/>
    </font>
    <font>
      <b/>
      <sz val="11"/>
      <color indexed="9"/>
      <name val="宋体"/>
      <charset val="134"/>
    </font>
    <font>
      <sz val="11"/>
      <color indexed="53"/>
      <name val="宋体"/>
      <charset val="134"/>
    </font>
    <font>
      <sz val="11"/>
      <color indexed="17"/>
      <name val="宋体"/>
      <charset val="134"/>
    </font>
    <font>
      <sz val="11"/>
      <color indexed="16"/>
      <name val="宋体"/>
      <charset val="134"/>
    </font>
    <font>
      <sz val="11"/>
      <color indexed="60"/>
      <name val="宋体"/>
      <charset val="134"/>
    </font>
    <font>
      <sz val="11"/>
      <color indexed="9"/>
      <name val="宋体"/>
      <charset val="134"/>
    </font>
    <font>
      <b/>
      <sz val="11"/>
      <color indexed="52"/>
      <name val="宋体"/>
      <charset val="134"/>
    </font>
    <font>
      <sz val="12"/>
      <color indexed="8"/>
      <name val="新細明體"/>
      <charset val="134"/>
    </font>
    <font>
      <sz val="11"/>
      <color indexed="62"/>
      <name val="Calibri"/>
      <charset val="0"/>
    </font>
    <font>
      <sz val="12"/>
      <color indexed="62"/>
      <name val="新細明體"/>
      <charset val="134"/>
    </font>
    <font>
      <b/>
      <sz val="11"/>
      <color indexed="56"/>
      <name val="Calibri"/>
      <charset val="0"/>
    </font>
    <font>
      <sz val="12"/>
      <color indexed="10"/>
      <name val="新細明體"/>
      <charset val="134"/>
    </font>
    <font>
      <sz val="12"/>
      <color indexed="0"/>
      <name val="新細明體"/>
      <charset val="134"/>
    </font>
    <font>
      <b/>
      <sz val="18"/>
      <color indexed="56"/>
      <name val="新細明體"/>
      <charset val="134"/>
    </font>
    <font>
      <b/>
      <sz val="12"/>
      <color indexed="8"/>
      <name val="新細明體"/>
      <charset val="134"/>
    </font>
    <font>
      <b/>
      <sz val="18"/>
      <color indexed="62"/>
      <name val="新細明體"/>
      <charset val="134"/>
    </font>
    <font>
      <i/>
      <sz val="12"/>
      <color indexed="23"/>
      <name val="新細明體"/>
      <charset val="134"/>
    </font>
    <font>
      <sz val="12"/>
      <color indexed="8"/>
      <name val="宋体"/>
      <charset val="134"/>
    </font>
    <font>
      <sz val="10"/>
      <name val="Helv"/>
      <charset val="0"/>
    </font>
    <font>
      <b/>
      <sz val="13"/>
      <color indexed="56"/>
      <name val="Calibri"/>
      <charset val="0"/>
    </font>
    <font>
      <sz val="12"/>
      <color indexed="17"/>
      <name val="Calibri"/>
      <charset val="0"/>
    </font>
    <font>
      <sz val="11"/>
      <color indexed="9"/>
      <name val="Calibri"/>
      <charset val="0"/>
    </font>
    <font>
      <b/>
      <sz val="15"/>
      <color indexed="56"/>
      <name val="新細明體"/>
      <charset val="134"/>
    </font>
    <font>
      <b/>
      <sz val="13"/>
      <color indexed="56"/>
      <name val="新細明體"/>
      <charset val="134"/>
    </font>
    <font>
      <b/>
      <sz val="11"/>
      <color indexed="56"/>
      <name val="新細明體"/>
      <charset val="134"/>
    </font>
    <font>
      <sz val="12"/>
      <color indexed="9"/>
      <name val="新細明體"/>
      <charset val="134"/>
    </font>
    <font>
      <sz val="11"/>
      <color indexed="17"/>
      <name val="Calibri"/>
      <charset val="0"/>
    </font>
    <font>
      <sz val="11"/>
      <color indexed="60"/>
      <name val="Calibri"/>
      <charset val="0"/>
    </font>
    <font>
      <sz val="11"/>
      <color indexed="20"/>
      <name val="Calibri"/>
      <charset val="0"/>
    </font>
    <font>
      <b/>
      <sz val="11"/>
      <color indexed="52"/>
      <name val="Calibri"/>
      <charset val="0"/>
    </font>
    <font>
      <b/>
      <sz val="11"/>
      <color indexed="9"/>
      <name val="Calibri"/>
      <charset val="0"/>
    </font>
    <font>
      <b/>
      <sz val="12"/>
      <name val="新細明體"/>
      <charset val="134"/>
    </font>
    <font>
      <i/>
      <sz val="11"/>
      <color indexed="23"/>
      <name val="Calibri"/>
      <charset val="0"/>
    </font>
    <font>
      <b/>
      <sz val="15"/>
      <color indexed="56"/>
      <name val="Calibri"/>
      <charset val="0"/>
    </font>
    <font>
      <sz val="11"/>
      <color indexed="52"/>
      <name val="Calibri"/>
      <charset val="0"/>
    </font>
    <font>
      <sz val="12"/>
      <name val="新細明體"/>
      <charset val="134"/>
    </font>
    <font>
      <b/>
      <sz val="11"/>
      <color indexed="8"/>
      <name val="Calibri"/>
      <charset val="0"/>
    </font>
    <font>
      <sz val="11"/>
      <color indexed="20"/>
      <name val="宋体"/>
      <charset val="134"/>
    </font>
    <font>
      <sz val="12"/>
      <color indexed="20"/>
      <name val="新細明體"/>
      <charset val="134"/>
    </font>
    <font>
      <b/>
      <sz val="18"/>
      <color indexed="56"/>
      <name val="Cambria"/>
      <charset val="0"/>
    </font>
    <font>
      <b/>
      <sz val="18"/>
      <color indexed="56"/>
      <name val="宋体"/>
      <charset val="134"/>
    </font>
    <font>
      <b/>
      <sz val="11"/>
      <color indexed="63"/>
      <name val="Calibri"/>
      <charset val="0"/>
    </font>
    <font>
      <sz val="10"/>
      <name val="Ottawa"/>
      <charset val="0"/>
    </font>
    <font>
      <b/>
      <sz val="15"/>
      <color indexed="56"/>
      <name val="宋体"/>
      <charset val="134"/>
    </font>
    <font>
      <b/>
      <sz val="13"/>
      <color indexed="56"/>
      <name val="宋体"/>
      <charset val="134"/>
    </font>
    <font>
      <b/>
      <sz val="11"/>
      <color indexed="56"/>
      <name val="宋体"/>
      <charset val="134"/>
    </font>
    <font>
      <sz val="12"/>
      <color indexed="20"/>
      <name val="Calibri"/>
      <charset val="0"/>
    </font>
    <font>
      <sz val="12"/>
      <color indexed="17"/>
      <name val="新細明體"/>
      <charset val="134"/>
    </font>
    <font>
      <sz val="12"/>
      <color indexed="14"/>
      <name val="新細明體"/>
      <charset val="134"/>
    </font>
    <font>
      <sz val="12"/>
      <color indexed="8"/>
      <name val="Arial"/>
      <charset val="0"/>
    </font>
    <font>
      <sz val="12"/>
      <color indexed="52"/>
      <name val="新細明體"/>
      <charset val="134"/>
    </font>
    <font>
      <b/>
      <sz val="12"/>
      <color indexed="9"/>
      <name val="新細明體"/>
      <charset val="134"/>
    </font>
    <font>
      <b/>
      <sz val="12"/>
      <color indexed="52"/>
      <name val="新細明體"/>
      <charset val="134"/>
    </font>
    <font>
      <sz val="11"/>
      <color indexed="52"/>
      <name val="宋体"/>
      <charset val="134"/>
    </font>
    <font>
      <b/>
      <sz val="12"/>
      <color indexed="63"/>
      <name val="新細明體"/>
      <charset val="134"/>
    </font>
    <font>
      <sz val="12"/>
      <color indexed="60"/>
      <name val="新細明體"/>
      <charset val="134"/>
    </font>
    <font>
      <sz val="11"/>
      <color theme="1"/>
      <name val="Times New Roman"/>
      <charset val="134"/>
    </font>
    <font>
      <sz val="11"/>
      <color theme="1"/>
      <name val="宋体"/>
      <charset val="134"/>
      <scheme val="minor"/>
    </font>
    <font>
      <b/>
      <sz val="10"/>
      <color indexed="39"/>
      <name val="宋体"/>
      <charset val="134"/>
    </font>
    <font>
      <b/>
      <sz val="10"/>
      <name val="Arial"/>
      <charset val="134"/>
    </font>
    <font>
      <sz val="11"/>
      <name val="Calibri"/>
      <charset val="134"/>
    </font>
    <font>
      <b/>
      <sz val="16"/>
      <name val="宋体"/>
      <charset val="134"/>
    </font>
    <font>
      <sz val="11"/>
      <name val="Arial"/>
      <charset val="134"/>
    </font>
    <font>
      <sz val="10"/>
      <color indexed="8"/>
      <name val="微软雅黑"/>
      <charset val="134"/>
    </font>
    <font>
      <sz val="10.5"/>
      <color indexed="8"/>
      <name val="Arial"/>
      <charset val="0"/>
    </font>
    <font>
      <b/>
      <sz val="9"/>
      <name val="宋体"/>
      <charset val="134"/>
    </font>
    <font>
      <sz val="14"/>
      <name val="宋体"/>
      <charset val="134"/>
    </font>
    <font>
      <sz val="9"/>
      <name val="宋体"/>
      <charset val="134"/>
    </font>
    <font>
      <sz val="16"/>
      <name val="宋体"/>
      <charset val="134"/>
    </font>
    <font>
      <b/>
      <sz val="11"/>
      <name val="宋体"/>
      <charset val="134"/>
    </font>
    <font>
      <sz val="12"/>
      <name val="宋体"/>
      <charset val="134"/>
    </font>
    <font>
      <b/>
      <sz val="16"/>
      <name val="宋体"/>
      <charset val="134"/>
    </font>
    <font>
      <sz val="18"/>
      <name val="宋体"/>
      <charset val="134"/>
    </font>
    <font>
      <b/>
      <sz val="14"/>
      <name val="宋体"/>
      <charset val="134"/>
    </font>
    <font>
      <b/>
      <sz val="12"/>
      <name val="宋体"/>
      <charset val="134"/>
    </font>
    <font>
      <b/>
      <sz val="18"/>
      <name val="宋体"/>
      <charset val="134"/>
    </font>
    <font>
      <sz val="10"/>
      <name val="宋体"/>
      <charset val="134"/>
    </font>
    <font>
      <b/>
      <sz val="8"/>
      <name val="宋体"/>
      <charset val="134"/>
    </font>
    <font>
      <sz val="8"/>
      <name val="宋体"/>
      <charset val="134"/>
    </font>
    <font>
      <sz val="11"/>
      <name val="宋体"/>
      <charset val="134"/>
    </font>
    <font>
      <b/>
      <sz val="10"/>
      <name val="宋体"/>
      <charset val="134"/>
    </font>
  </fonts>
  <fills count="37">
    <fill>
      <patternFill patternType="none"/>
    </fill>
    <fill>
      <patternFill patternType="gray125"/>
    </fill>
    <fill>
      <patternFill patternType="solid">
        <fgColor indexed="26"/>
        <bgColor indexed="64"/>
      </patternFill>
    </fill>
    <fill>
      <patternFill patternType="solid">
        <fgColor indexed="36"/>
        <bgColor indexed="64"/>
      </patternFill>
    </fill>
    <fill>
      <patternFill patternType="solid">
        <fgColor indexed="31"/>
        <bgColor indexed="64"/>
      </patternFill>
    </fill>
    <fill>
      <patternFill patternType="solid">
        <fgColor indexed="50"/>
        <bgColor indexed="64"/>
      </patternFill>
    </fill>
    <fill>
      <patternFill patternType="solid">
        <fgColor indexed="34"/>
        <bgColor indexed="64"/>
      </patternFill>
    </fill>
    <fill>
      <patternFill patternType="solid">
        <fgColor rgb="FFFFFF00"/>
        <bgColor indexed="64"/>
      </patternFill>
    </fill>
    <fill>
      <patternFill patternType="solid">
        <fgColor indexed="51"/>
        <bgColor indexed="64"/>
      </patternFill>
    </fill>
    <fill>
      <patternFill patternType="solid">
        <fgColor indexed="44"/>
        <bgColor indexed="64"/>
      </patternFill>
    </fill>
    <fill>
      <patternFill patternType="solid">
        <fgColor indexed="9"/>
        <bgColor indexed="64"/>
      </patternFill>
    </fill>
    <fill>
      <patternFill patternType="solid">
        <fgColor indexed="43"/>
        <bgColor indexed="64"/>
      </patternFill>
    </fill>
    <fill>
      <patternFill patternType="solid">
        <fgColor indexed="13"/>
        <bgColor indexed="64"/>
      </patternFill>
    </fill>
    <fill>
      <patternFill patternType="solid">
        <fgColor rgb="FF92D050"/>
        <bgColor indexed="64"/>
      </patternFill>
    </fill>
    <fill>
      <patternFill patternType="solid">
        <fgColor theme="0"/>
        <bgColor indexed="64"/>
      </patternFill>
    </fill>
    <fill>
      <patternFill patternType="solid">
        <fgColor rgb="FF00B0F0"/>
        <bgColor indexed="64"/>
      </patternFill>
    </fill>
    <fill>
      <patternFill patternType="solid">
        <fgColor theme="9" tint="0.4"/>
        <bgColor indexed="64"/>
      </patternFill>
    </fill>
    <fill>
      <patternFill patternType="solid">
        <fgColor rgb="FF00B0F0"/>
        <bgColor indexed="64"/>
      </patternFill>
    </fill>
    <fill>
      <patternFill patternType="solid">
        <fgColor indexed="47"/>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54"/>
        <bgColor indexed="64"/>
      </patternFill>
    </fill>
    <fill>
      <patternFill patternType="solid">
        <fgColor indexed="27"/>
        <bgColor indexed="64"/>
      </patternFill>
    </fill>
    <fill>
      <patternFill patternType="solid">
        <fgColor indexed="22"/>
        <bgColor indexed="64"/>
      </patternFill>
    </fill>
    <fill>
      <patternFill patternType="solid">
        <fgColor indexed="25"/>
        <bgColor indexed="64"/>
      </patternFill>
    </fill>
    <fill>
      <patternFill patternType="solid">
        <fgColor indexed="29"/>
        <bgColor indexed="64"/>
      </patternFill>
    </fill>
    <fill>
      <patternFill patternType="solid">
        <fgColor indexed="23"/>
        <bgColor indexed="64"/>
      </patternFill>
    </fill>
    <fill>
      <patternFill patternType="solid">
        <fgColor indexed="49"/>
        <bgColor indexed="64"/>
      </patternFill>
    </fill>
    <fill>
      <patternFill patternType="solid">
        <fgColor indexed="46"/>
        <bgColor indexed="64"/>
      </patternFill>
    </fill>
    <fill>
      <patternFill patternType="solid">
        <fgColor indexed="11"/>
        <bgColor indexed="64"/>
      </patternFill>
    </fill>
    <fill>
      <patternFill patternType="solid">
        <fgColor indexed="30"/>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s>
  <borders count="51">
    <border>
      <left/>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bottom/>
      <diagonal/>
    </border>
    <border>
      <left/>
      <right/>
      <top style="thin">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medium">
        <color auto="1"/>
      </right>
      <top/>
      <bottom style="thin">
        <color auto="1"/>
      </bottom>
      <diagonal/>
    </border>
    <border>
      <left style="medium">
        <color auto="1"/>
      </left>
      <right style="thin">
        <color auto="1"/>
      </right>
      <top/>
      <bottom style="thin">
        <color auto="1"/>
      </bottom>
      <diagonal/>
    </border>
    <border>
      <left/>
      <right style="thin">
        <color auto="1"/>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medium">
        <color auto="1"/>
      </bottom>
      <diagonal/>
    </border>
    <border>
      <left style="thin">
        <color indexed="22"/>
      </left>
      <right style="thin">
        <color indexed="22"/>
      </right>
      <top style="thin">
        <color indexed="22"/>
      </top>
      <bottom style="thin">
        <color indexed="22"/>
      </bottom>
      <diagonal/>
    </border>
    <border>
      <left/>
      <right/>
      <top/>
      <bottom style="thick">
        <color indexed="54"/>
      </bottom>
      <diagonal/>
    </border>
    <border>
      <left/>
      <right/>
      <top/>
      <bottom style="thick">
        <color indexed="44"/>
      </bottom>
      <diagonal/>
    </border>
    <border>
      <left/>
      <right/>
      <top/>
      <bottom style="medium">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54"/>
      </top>
      <bottom style="double">
        <color indexed="54"/>
      </bottom>
      <diagonal/>
    </border>
    <border>
      <left/>
      <right/>
      <top/>
      <bottom style="medium">
        <color indexed="30"/>
      </bottom>
      <diagonal/>
    </border>
    <border>
      <left/>
      <right/>
      <top style="thin">
        <color indexed="62"/>
      </top>
      <bottom style="double">
        <color indexed="62"/>
      </bottom>
      <diagonal/>
    </border>
    <border>
      <left/>
      <right/>
      <top/>
      <bottom style="thick">
        <color indexed="22"/>
      </bottom>
      <diagonal/>
    </border>
    <border>
      <left/>
      <right/>
      <top/>
      <bottom style="thick">
        <color indexed="62"/>
      </bottom>
      <diagonal/>
    </border>
    <border>
      <left style="thin">
        <color auto="1"/>
      </left>
      <right style="thin">
        <color auto="1"/>
      </right>
      <top style="hair">
        <color auto="1"/>
      </top>
      <bottom style="hair">
        <color auto="1"/>
      </bottom>
      <diagonal/>
    </border>
  </borders>
  <cellStyleXfs count="17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4" fillId="0" borderId="0" applyNumberFormat="0" applyFill="0" applyBorder="0" applyAlignment="0" applyProtection="0">
      <alignment vertical="top"/>
      <protection locked="0"/>
    </xf>
    <xf numFmtId="0" fontId="175" fillId="0" borderId="0" applyNumberFormat="0" applyFill="0" applyBorder="0" applyAlignment="0" applyProtection="0">
      <alignment vertical="top"/>
      <protection locked="0"/>
    </xf>
    <xf numFmtId="0" fontId="0" fillId="2" borderId="37" applyNumberFormat="0" applyFont="0" applyAlignment="0" applyProtection="0">
      <alignment vertical="center"/>
    </xf>
    <xf numFmtId="0" fontId="45"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8" fillId="0" borderId="38" applyNumberFormat="0" applyFill="0" applyAlignment="0" applyProtection="0">
      <alignment vertical="center"/>
    </xf>
    <xf numFmtId="0" fontId="179" fillId="0" borderId="39" applyNumberFormat="0" applyFill="0" applyAlignment="0" applyProtection="0">
      <alignment vertical="center"/>
    </xf>
    <xf numFmtId="0" fontId="180" fillId="0" borderId="40" applyNumberFormat="0" applyFill="0" applyAlignment="0" applyProtection="0">
      <alignment vertical="center"/>
    </xf>
    <xf numFmtId="0" fontId="180" fillId="0" borderId="0" applyNumberFormat="0" applyFill="0" applyBorder="0" applyAlignment="0" applyProtection="0">
      <alignment vertical="center"/>
    </xf>
    <xf numFmtId="0" fontId="181" fillId="18" borderId="41" applyNumberFormat="0" applyAlignment="0" applyProtection="0">
      <alignment vertical="center"/>
    </xf>
    <xf numFmtId="0" fontId="182" fillId="10" borderId="42" applyNumberFormat="0" applyAlignment="0" applyProtection="0">
      <alignment vertical="center"/>
    </xf>
    <xf numFmtId="0" fontId="183" fillId="10" borderId="41" applyNumberFormat="0" applyAlignment="0" applyProtection="0">
      <alignment vertical="center"/>
    </xf>
    <xf numFmtId="0" fontId="184" fillId="19" borderId="43" applyNumberFormat="0" applyAlignment="0" applyProtection="0">
      <alignment vertical="center"/>
    </xf>
    <xf numFmtId="0" fontId="185" fillId="0" borderId="44" applyNumberFormat="0" applyFill="0" applyAlignment="0" applyProtection="0">
      <alignment vertical="center"/>
    </xf>
    <xf numFmtId="0" fontId="3" fillId="0" borderId="45" applyNumberFormat="0" applyFill="0" applyAlignment="0" applyProtection="0">
      <alignment vertical="center"/>
    </xf>
    <xf numFmtId="0" fontId="186" fillId="20" borderId="0" applyNumberFormat="0" applyBorder="0" applyAlignment="0" applyProtection="0">
      <alignment vertical="center"/>
    </xf>
    <xf numFmtId="0" fontId="187" fillId="21" borderId="0" applyNumberFormat="0" applyBorder="0" applyAlignment="0" applyProtection="0">
      <alignment vertical="center"/>
    </xf>
    <xf numFmtId="0" fontId="188" fillId="11" borderId="0" applyNumberFormat="0" applyBorder="0" applyAlignment="0" applyProtection="0">
      <alignment vertical="center"/>
    </xf>
    <xf numFmtId="0" fontId="189" fillId="22" borderId="0" applyNumberFormat="0" applyBorder="0" applyAlignment="0" applyProtection="0">
      <alignment vertical="center"/>
    </xf>
    <xf numFmtId="0" fontId="27" fillId="23" borderId="0" applyNumberFormat="0" applyBorder="0" applyAlignment="0" applyProtection="0">
      <alignment vertical="center"/>
    </xf>
    <xf numFmtId="0" fontId="27" fillId="4" borderId="0" applyNumberFormat="0" applyBorder="0" applyAlignment="0" applyProtection="0">
      <alignment vertical="center"/>
    </xf>
    <xf numFmtId="0" fontId="189" fillId="24" borderId="0" applyNumberFormat="0" applyBorder="0" applyAlignment="0" applyProtection="0">
      <alignment vertical="center"/>
    </xf>
    <xf numFmtId="0" fontId="189" fillId="25" borderId="0" applyNumberFormat="0" applyBorder="0" applyAlignment="0" applyProtection="0">
      <alignment vertical="center"/>
    </xf>
    <xf numFmtId="0" fontId="27" fillId="2" borderId="0" applyNumberFormat="0" applyBorder="0" applyAlignment="0" applyProtection="0">
      <alignment vertical="center"/>
    </xf>
    <xf numFmtId="0" fontId="27" fillId="18" borderId="0" applyNumberFormat="0" applyBorder="0" applyAlignment="0" applyProtection="0">
      <alignment vertical="center"/>
    </xf>
    <xf numFmtId="0" fontId="189" fillId="26" borderId="0" applyNumberFormat="0" applyBorder="0" applyAlignment="0" applyProtection="0">
      <alignment vertical="center"/>
    </xf>
    <xf numFmtId="0" fontId="189" fillId="27" borderId="0" applyNumberFormat="0" applyBorder="0" applyAlignment="0" applyProtection="0">
      <alignment vertical="center"/>
    </xf>
    <xf numFmtId="0" fontId="27" fillId="2" borderId="0" applyNumberFormat="0" applyBorder="0" applyAlignment="0" applyProtection="0">
      <alignment vertical="center"/>
    </xf>
    <xf numFmtId="0" fontId="27" fillId="20" borderId="0" applyNumberFormat="0" applyBorder="0" applyAlignment="0" applyProtection="0">
      <alignment vertical="center"/>
    </xf>
    <xf numFmtId="0" fontId="189" fillId="24" borderId="0" applyNumberFormat="0" applyBorder="0" applyAlignment="0" applyProtection="0">
      <alignment vertical="center"/>
    </xf>
    <xf numFmtId="0" fontId="189" fillId="22" borderId="0" applyNumberFormat="0" applyBorder="0" applyAlignment="0" applyProtection="0">
      <alignment vertical="center"/>
    </xf>
    <xf numFmtId="0" fontId="27" fillId="4" borderId="0" applyNumberFormat="0" applyBorder="0" applyAlignment="0" applyProtection="0">
      <alignment vertical="center"/>
    </xf>
    <xf numFmtId="0" fontId="27" fillId="24" borderId="0" applyNumberFormat="0" applyBorder="0" applyAlignment="0" applyProtection="0">
      <alignment vertical="center"/>
    </xf>
    <xf numFmtId="0" fontId="189" fillId="24" borderId="0" applyNumberFormat="0" applyBorder="0" applyAlignment="0" applyProtection="0">
      <alignment vertical="center"/>
    </xf>
    <xf numFmtId="0" fontId="189" fillId="28" borderId="0" applyNumberFormat="0" applyBorder="0" applyAlignment="0" applyProtection="0">
      <alignment vertical="center"/>
    </xf>
    <xf numFmtId="0" fontId="27" fillId="23" borderId="0" applyNumberFormat="0" applyBorder="0" applyAlignment="0" applyProtection="0">
      <alignment vertical="center"/>
    </xf>
    <xf numFmtId="0" fontId="27" fillId="4" borderId="0" applyNumberFormat="0" applyBorder="0" applyAlignment="0" applyProtection="0">
      <alignment vertical="center"/>
    </xf>
    <xf numFmtId="0" fontId="189" fillId="9" borderId="0" applyNumberFormat="0" applyBorder="0" applyAlignment="0" applyProtection="0">
      <alignment vertical="center"/>
    </xf>
    <xf numFmtId="0" fontId="189" fillId="26" borderId="0" applyNumberFormat="0" applyBorder="0" applyAlignment="0" applyProtection="0">
      <alignment vertical="center"/>
    </xf>
    <xf numFmtId="0" fontId="27" fillId="2" borderId="0" applyNumberFormat="0" applyBorder="0" applyAlignment="0" applyProtection="0">
      <alignment vertical="center"/>
    </xf>
    <xf numFmtId="0" fontId="27" fillId="18" borderId="0" applyNumberFormat="0" applyBorder="0" applyAlignment="0" applyProtection="0">
      <alignment vertical="center"/>
    </xf>
    <xf numFmtId="0" fontId="189" fillId="18" borderId="0" applyNumberFormat="0" applyBorder="0" applyAlignment="0" applyProtection="0">
      <alignment vertical="center"/>
    </xf>
    <xf numFmtId="176" fontId="0" fillId="0" borderId="0"/>
    <xf numFmtId="0" fontId="27" fillId="0" borderId="0"/>
    <xf numFmtId="0" fontId="190" fillId="24" borderId="41" applyNumberFormat="0" applyAlignment="0" applyProtection="0">
      <alignment vertical="center"/>
    </xf>
    <xf numFmtId="0" fontId="191" fillId="29" borderId="0" applyNumberFormat="0" applyBorder="0" applyAlignment="0" applyProtection="0">
      <alignment vertical="center"/>
    </xf>
    <xf numFmtId="0" fontId="191" fillId="26" borderId="0" applyNumberFormat="0" applyBorder="0" applyAlignment="0" applyProtection="0">
      <alignment vertical="center"/>
    </xf>
    <xf numFmtId="0" fontId="64" fillId="0" borderId="0">
      <alignment vertical="top"/>
    </xf>
    <xf numFmtId="0" fontId="2" fillId="0" borderId="0"/>
    <xf numFmtId="0" fontId="192" fillId="18" borderId="41" applyNumberFormat="0" applyAlignment="0" applyProtection="0"/>
    <xf numFmtId="0" fontId="27" fillId="29" borderId="0" applyNumberFormat="0" applyBorder="0" applyAlignment="0" applyProtection="0">
      <alignment vertical="center"/>
    </xf>
    <xf numFmtId="0" fontId="193" fillId="18" borderId="41" applyNumberFormat="0" applyAlignment="0" applyProtection="0">
      <alignment vertical="center"/>
    </xf>
    <xf numFmtId="0" fontId="194" fillId="0" borderId="46" applyNumberFormat="0" applyFill="0" applyAlignment="0" applyProtection="0"/>
    <xf numFmtId="0" fontId="195" fillId="0" borderId="0" applyNumberFormat="0" applyFill="0" applyBorder="0" applyAlignment="0" applyProtection="0">
      <alignment vertical="center"/>
    </xf>
    <xf numFmtId="0" fontId="191" fillId="21" borderId="0" applyNumberFormat="0" applyBorder="0" applyAlignment="0" applyProtection="0">
      <alignment vertical="center"/>
    </xf>
    <xf numFmtId="0" fontId="196" fillId="0" borderId="0" applyNumberFormat="0" applyBorder="0" applyProtection="0">
      <alignment vertical="center"/>
    </xf>
    <xf numFmtId="0" fontId="182" fillId="24" borderId="42" applyNumberFormat="0" applyAlignment="0" applyProtection="0">
      <alignment vertical="center"/>
    </xf>
    <xf numFmtId="0" fontId="191" fillId="20" borderId="0" applyNumberFormat="0" applyBorder="0" applyAlignment="0" applyProtection="0">
      <alignment vertical="center"/>
    </xf>
    <xf numFmtId="0" fontId="197" fillId="0" borderId="0" applyNumberFormat="0" applyFill="0" applyBorder="0" applyAlignment="0" applyProtection="0">
      <alignment vertical="center"/>
    </xf>
    <xf numFmtId="0" fontId="191" fillId="23" borderId="0" applyNumberFormat="0" applyBorder="0" applyAlignment="0" applyProtection="0">
      <alignment vertical="center"/>
    </xf>
    <xf numFmtId="0" fontId="191" fillId="18" borderId="0" applyNumberFormat="0" applyBorder="0" applyAlignment="0" applyProtection="0">
      <alignment vertical="center"/>
    </xf>
    <xf numFmtId="0" fontId="198" fillId="0" borderId="47" applyNumberFormat="0" applyFill="0" applyAlignment="0" applyProtection="0">
      <alignment vertical="center"/>
    </xf>
    <xf numFmtId="0" fontId="199" fillId="0" borderId="0" applyNumberFormat="0" applyFill="0" applyBorder="0" applyAlignment="0" applyProtection="0">
      <alignment vertical="center"/>
    </xf>
    <xf numFmtId="0" fontId="200" fillId="0" borderId="0" applyNumberFormat="0" applyFill="0" applyBorder="0" applyAlignment="0" applyProtection="0">
      <alignment vertical="center"/>
    </xf>
    <xf numFmtId="0" fontId="65" fillId="29" borderId="0" applyNumberFormat="0" applyBorder="0" applyAlignment="0" applyProtection="0"/>
    <xf numFmtId="0" fontId="65" fillId="21" borderId="0" applyNumberFormat="0" applyBorder="0" applyAlignment="0" applyProtection="0"/>
    <xf numFmtId="0" fontId="65" fillId="20" borderId="0" applyNumberFormat="0" applyBorder="0" applyAlignment="0" applyProtection="0"/>
    <xf numFmtId="0" fontId="65" fillId="23" borderId="0" applyNumberFormat="0" applyBorder="0" applyAlignment="0" applyProtection="0"/>
    <xf numFmtId="0" fontId="65" fillId="18" borderId="0" applyNumberFormat="0" applyBorder="0" applyAlignment="0" applyProtection="0"/>
    <xf numFmtId="0" fontId="201" fillId="0" borderId="0"/>
    <xf numFmtId="0" fontId="2" fillId="0" borderId="0">
      <alignment vertical="center"/>
    </xf>
    <xf numFmtId="0" fontId="62" fillId="0" borderId="0" applyNumberFormat="0" applyFill="0" applyBorder="0" applyAlignment="0" applyProtection="0"/>
    <xf numFmtId="0" fontId="202" fillId="0" borderId="0"/>
    <xf numFmtId="177" fontId="0" fillId="0" borderId="0"/>
    <xf numFmtId="0" fontId="191" fillId="4" borderId="0" applyNumberFormat="0" applyBorder="0" applyAlignment="0" applyProtection="0">
      <alignment vertical="center"/>
    </xf>
    <xf numFmtId="0" fontId="65" fillId="4" borderId="0" applyNumberFormat="0" applyBorder="0" applyAlignment="0" applyProtection="0"/>
    <xf numFmtId="0" fontId="27" fillId="21" borderId="0" applyNumberFormat="0" applyBorder="0" applyAlignment="0" applyProtection="0">
      <alignment vertical="center"/>
    </xf>
    <xf numFmtId="0" fontId="203" fillId="0" borderId="48" applyNumberFormat="0" applyFill="0" applyAlignment="0" applyProtection="0"/>
    <xf numFmtId="0" fontId="204" fillId="20" borderId="0" applyNumberFormat="0" applyBorder="0" applyAlignment="0" applyProtection="0"/>
    <xf numFmtId="0" fontId="65" fillId="9" borderId="0" applyNumberFormat="0" applyBorder="0" applyAlignment="0" applyProtection="0"/>
    <xf numFmtId="0" fontId="65" fillId="26" borderId="0" applyNumberFormat="0" applyBorder="0" applyAlignment="0" applyProtection="0"/>
    <xf numFmtId="0" fontId="65" fillId="30" borderId="0" applyNumberFormat="0" applyBorder="0" applyAlignment="0" applyProtection="0"/>
    <xf numFmtId="0" fontId="65" fillId="8" borderId="0" applyNumberFormat="0" applyBorder="0" applyAlignment="0" applyProtection="0"/>
    <xf numFmtId="0" fontId="191" fillId="9" borderId="0" applyNumberFormat="0" applyBorder="0" applyAlignment="0" applyProtection="0">
      <alignment vertical="center"/>
    </xf>
    <xf numFmtId="0" fontId="191" fillId="30" borderId="0" applyNumberFormat="0" applyBorder="0" applyAlignment="0" applyProtection="0">
      <alignment vertical="center"/>
    </xf>
    <xf numFmtId="0" fontId="191" fillId="8" borderId="0" applyNumberFormat="0" applyBorder="0" applyAlignment="0" applyProtection="0">
      <alignment vertical="center"/>
    </xf>
    <xf numFmtId="0" fontId="27" fillId="9" borderId="0" applyNumberFormat="0" applyBorder="0" applyAlignment="0" applyProtection="0">
      <alignment vertical="center"/>
    </xf>
    <xf numFmtId="0" fontId="27" fillId="26" borderId="0" applyNumberFormat="0" applyBorder="0" applyAlignment="0" applyProtection="0">
      <alignment vertical="center"/>
    </xf>
    <xf numFmtId="0" fontId="27" fillId="30" borderId="0" applyNumberFormat="0" applyBorder="0" applyAlignment="0" applyProtection="0">
      <alignment vertical="center"/>
    </xf>
    <xf numFmtId="0" fontId="27" fillId="8" borderId="0" applyNumberFormat="0" applyBorder="0" applyAlignment="0" applyProtection="0">
      <alignment vertical="center"/>
    </xf>
    <xf numFmtId="0" fontId="205" fillId="31" borderId="0" applyNumberFormat="0" applyBorder="0" applyAlignment="0" applyProtection="0"/>
    <xf numFmtId="0" fontId="205" fillId="26" borderId="0" applyNumberFormat="0" applyBorder="0" applyAlignment="0" applyProtection="0"/>
    <xf numFmtId="0" fontId="205" fillId="30" borderId="0" applyNumberFormat="0" applyBorder="0" applyAlignment="0" applyProtection="0"/>
    <xf numFmtId="0" fontId="205" fillId="3" borderId="0" applyNumberFormat="0" applyBorder="0" applyAlignment="0" applyProtection="0"/>
    <xf numFmtId="0" fontId="206" fillId="0" borderId="49" applyNumberFormat="0" applyFill="0" applyAlignment="0" applyProtection="0">
      <alignment vertical="center"/>
    </xf>
    <xf numFmtId="0" fontId="189" fillId="3" borderId="0" applyNumberFormat="0" applyBorder="0" applyAlignment="0" applyProtection="0">
      <alignment vertical="center"/>
    </xf>
    <xf numFmtId="0" fontId="205" fillId="28" borderId="0" applyNumberFormat="0" applyBorder="0" applyAlignment="0" applyProtection="0"/>
    <xf numFmtId="0" fontId="207" fillId="0" borderId="48" applyNumberFormat="0" applyFill="0" applyAlignment="0" applyProtection="0">
      <alignment vertical="center"/>
    </xf>
    <xf numFmtId="0" fontId="205" fillId="32" borderId="0" applyNumberFormat="0" applyBorder="0" applyAlignment="0" applyProtection="0"/>
    <xf numFmtId="0" fontId="208" fillId="0" borderId="46" applyNumberFormat="0" applyFill="0" applyAlignment="0" applyProtection="0">
      <alignment vertical="center"/>
    </xf>
    <xf numFmtId="0" fontId="209" fillId="31" borderId="0" applyNumberFormat="0" applyBorder="0" applyAlignment="0" applyProtection="0">
      <alignment vertical="center"/>
    </xf>
    <xf numFmtId="0" fontId="209" fillId="26" borderId="0" applyNumberFormat="0" applyBorder="0" applyAlignment="0" applyProtection="0">
      <alignment vertical="center"/>
    </xf>
    <xf numFmtId="0" fontId="209" fillId="30" borderId="0" applyNumberFormat="0" applyBorder="0" applyAlignment="0" applyProtection="0">
      <alignment vertical="center"/>
    </xf>
    <xf numFmtId="0" fontId="210" fillId="20" borderId="0" applyNumberFormat="0" applyBorder="0" applyAlignment="0" applyProtection="0"/>
    <xf numFmtId="0" fontId="209" fillId="3" borderId="0" applyNumberFormat="0" applyBorder="0" applyAlignment="0" applyProtection="0">
      <alignment vertical="center"/>
    </xf>
    <xf numFmtId="0" fontId="209" fillId="28" borderId="0" applyNumberFormat="0" applyBorder="0" applyAlignment="0" applyProtection="0">
      <alignment vertical="center"/>
    </xf>
    <xf numFmtId="0" fontId="209" fillId="32" borderId="0" applyNumberFormat="0" applyBorder="0" applyAlignment="0" applyProtection="0">
      <alignment vertical="center"/>
    </xf>
    <xf numFmtId="0" fontId="189" fillId="31" borderId="0" applyNumberFormat="0" applyBorder="0" applyAlignment="0" applyProtection="0">
      <alignment vertical="center"/>
    </xf>
    <xf numFmtId="0" fontId="194" fillId="0" borderId="0" applyNumberFormat="0" applyFill="0" applyBorder="0" applyAlignment="0" applyProtection="0"/>
    <xf numFmtId="0" fontId="189" fillId="30" borderId="0" applyNumberFormat="0" applyBorder="0" applyAlignment="0" applyProtection="0">
      <alignment vertical="center"/>
    </xf>
    <xf numFmtId="0" fontId="211" fillId="11" borderId="0" applyNumberFormat="0" applyBorder="0" applyAlignment="0" applyProtection="0"/>
    <xf numFmtId="177" fontId="0" fillId="0" borderId="0">
      <alignment vertical="center"/>
    </xf>
    <xf numFmtId="0" fontId="189" fillId="32" borderId="0" applyNumberFormat="0" applyBorder="0" applyAlignment="0" applyProtection="0">
      <alignment vertical="center"/>
    </xf>
    <xf numFmtId="0" fontId="205" fillId="33" borderId="0" applyNumberFormat="0" applyBorder="0" applyAlignment="0" applyProtection="0"/>
    <xf numFmtId="0" fontId="205" fillId="34" borderId="0" applyNumberFormat="0" applyBorder="0" applyAlignment="0" applyProtection="0"/>
    <xf numFmtId="0" fontId="205" fillId="35" borderId="0" applyNumberFormat="0" applyBorder="0" applyAlignment="0" applyProtection="0"/>
    <xf numFmtId="0" fontId="205" fillId="36" borderId="0" applyNumberFormat="0" applyBorder="0" applyAlignment="0" applyProtection="0"/>
    <xf numFmtId="0" fontId="212" fillId="21" borderId="0" applyNumberFormat="0" applyBorder="0" applyAlignment="0" applyProtection="0"/>
    <xf numFmtId="0" fontId="213" fillId="24" borderId="41" applyNumberFormat="0" applyAlignment="0" applyProtection="0"/>
    <xf numFmtId="0" fontId="214" fillId="19" borderId="43" applyNumberFormat="0" applyAlignment="0" applyProtection="0"/>
    <xf numFmtId="0" fontId="215" fillId="0" borderId="0" applyNumberFormat="0" applyFill="0" applyBorder="0" applyAlignment="0" applyProtection="0"/>
    <xf numFmtId="43" fontId="0" fillId="0" borderId="0" applyFont="0" applyFill="0" applyBorder="0" applyAlignment="0" applyProtection="0"/>
    <xf numFmtId="0" fontId="216" fillId="0" borderId="0" applyNumberFormat="0" applyFill="0" applyBorder="0" applyAlignment="0" applyProtection="0"/>
    <xf numFmtId="0" fontId="189" fillId="33" borderId="0" applyNumberFormat="0" applyBorder="0" applyAlignment="0" applyProtection="0">
      <alignment vertical="center"/>
    </xf>
    <xf numFmtId="0" fontId="217" fillId="0" borderId="49" applyNumberFormat="0" applyFill="0" applyAlignment="0" applyProtection="0"/>
    <xf numFmtId="0" fontId="218" fillId="0" borderId="44" applyNumberFormat="0" applyFill="0" applyAlignment="0" applyProtection="0"/>
    <xf numFmtId="0" fontId="219" fillId="0" borderId="0">
      <alignment vertical="center"/>
    </xf>
    <xf numFmtId="0" fontId="220" fillId="0" borderId="47" applyNumberFormat="0" applyFill="0" applyAlignment="0" applyProtection="0"/>
    <xf numFmtId="0" fontId="221" fillId="21" borderId="0" applyNumberFormat="0" applyBorder="0" applyAlignment="0" applyProtection="0">
      <alignment vertical="center"/>
    </xf>
    <xf numFmtId="9" fontId="0" fillId="0" borderId="0" applyFont="0" applyFill="0" applyBorder="0" applyAlignment="0" applyProtection="0"/>
    <xf numFmtId="0" fontId="222" fillId="21" borderId="0" applyNumberFormat="0" applyBorder="0" applyAlignment="0" applyProtection="0">
      <alignment vertical="center"/>
    </xf>
    <xf numFmtId="0" fontId="223" fillId="0" borderId="0" applyNumberFormat="0" applyFill="0" applyBorder="0" applyAlignment="0" applyProtection="0"/>
    <xf numFmtId="0" fontId="0" fillId="0" borderId="0"/>
    <xf numFmtId="0" fontId="224" fillId="0" borderId="0" applyNumberFormat="0" applyFill="0" applyBorder="0" applyAlignment="0" applyProtection="0">
      <alignment vertical="center"/>
    </xf>
    <xf numFmtId="0" fontId="0" fillId="2" borderId="37" applyNumberFormat="0" applyFont="0" applyAlignment="0" applyProtection="0"/>
    <xf numFmtId="0" fontId="225" fillId="24" borderId="42" applyNumberFormat="0" applyAlignment="0" applyProtection="0"/>
    <xf numFmtId="0" fontId="226" fillId="0" borderId="50"/>
    <xf numFmtId="0" fontId="227" fillId="0" borderId="49" applyNumberFormat="0" applyFill="0" applyAlignment="0" applyProtection="0">
      <alignment vertical="center"/>
    </xf>
    <xf numFmtId="0" fontId="228" fillId="0" borderId="48" applyNumberFormat="0" applyFill="0" applyAlignment="0" applyProtection="0">
      <alignment vertical="center"/>
    </xf>
    <xf numFmtId="0" fontId="229" fillId="0" borderId="46" applyNumberFormat="0" applyFill="0" applyAlignment="0" applyProtection="0">
      <alignment vertical="center"/>
    </xf>
    <xf numFmtId="0" fontId="229" fillId="0" borderId="0" applyNumberFormat="0" applyFill="0" applyBorder="0" applyAlignment="0" applyProtection="0">
      <alignment vertical="center"/>
    </xf>
    <xf numFmtId="0" fontId="208" fillId="0" borderId="0" applyNumberFormat="0" applyFill="0" applyBorder="0" applyAlignment="0" applyProtection="0">
      <alignment vertical="center"/>
    </xf>
    <xf numFmtId="0" fontId="230" fillId="21" borderId="0" applyNumberFormat="0" applyBorder="0" applyAlignment="0" applyProtection="0"/>
    <xf numFmtId="0" fontId="0" fillId="0" borderId="0">
      <alignment vertical="center"/>
    </xf>
    <xf numFmtId="0" fontId="191" fillId="0" borderId="0">
      <alignment vertical="center"/>
    </xf>
    <xf numFmtId="0" fontId="231" fillId="20" borderId="0" applyNumberFormat="0" applyBorder="0" applyAlignment="0" applyProtection="0">
      <alignment vertical="center"/>
    </xf>
    <xf numFmtId="0" fontId="232" fillId="21" borderId="0" applyNumberFormat="0" applyBorder="0" applyAlignment="0" applyProtection="0">
      <alignment vertical="center"/>
    </xf>
    <xf numFmtId="0" fontId="233" fillId="0" borderId="0">
      <alignment vertical="center"/>
    </xf>
    <xf numFmtId="0" fontId="0" fillId="0" borderId="0"/>
    <xf numFmtId="0" fontId="234" fillId="0" borderId="44" applyNumberFormat="0" applyFill="0" applyAlignment="0" applyProtection="0">
      <alignment vertical="center"/>
    </xf>
    <xf numFmtId="0" fontId="0" fillId="0" borderId="0"/>
    <xf numFmtId="0" fontId="235" fillId="19" borderId="43" applyNumberFormat="0" applyAlignment="0" applyProtection="0">
      <alignment vertical="center"/>
    </xf>
    <xf numFmtId="0" fontId="27" fillId="0" borderId="0">
      <alignment vertical="center"/>
    </xf>
    <xf numFmtId="0" fontId="209" fillId="33" borderId="0" applyNumberFormat="0" applyBorder="0" applyAlignment="0" applyProtection="0">
      <alignment vertical="center"/>
    </xf>
    <xf numFmtId="0" fontId="209" fillId="34" borderId="0" applyNumberFormat="0" applyBorder="0" applyAlignment="0" applyProtection="0">
      <alignment vertical="center"/>
    </xf>
    <xf numFmtId="0" fontId="209" fillId="35" borderId="0" applyNumberFormat="0" applyBorder="0" applyAlignment="0" applyProtection="0">
      <alignment vertical="center"/>
    </xf>
    <xf numFmtId="0" fontId="209" fillId="36" borderId="0" applyNumberFormat="0" applyBorder="0" applyAlignment="0" applyProtection="0">
      <alignment vertical="center"/>
    </xf>
    <xf numFmtId="0" fontId="3" fillId="0" borderId="47" applyNumberFormat="0" applyFill="0" applyAlignment="0" applyProtection="0">
      <alignment vertical="center"/>
    </xf>
    <xf numFmtId="0" fontId="236" fillId="24" borderId="41" applyNumberFormat="0" applyAlignment="0" applyProtection="0">
      <alignment vertical="center"/>
    </xf>
    <xf numFmtId="0" fontId="237" fillId="0" borderId="44" applyNumberFormat="0" applyFill="0" applyAlignment="0" applyProtection="0">
      <alignment vertical="center"/>
    </xf>
    <xf numFmtId="178" fontId="2" fillId="0" borderId="0" applyFont="0" applyFill="0" applyBorder="0" applyAlignment="0" applyProtection="0">
      <alignment vertical="center"/>
    </xf>
    <xf numFmtId="179" fontId="0" fillId="0" borderId="0" applyFont="0" applyFill="0" applyBorder="0" applyAlignment="0" applyProtection="0">
      <alignment vertical="center"/>
    </xf>
    <xf numFmtId="0" fontId="189" fillId="34" borderId="0" applyNumberFormat="0" applyBorder="0" applyAlignment="0" applyProtection="0">
      <alignment vertical="center"/>
    </xf>
    <xf numFmtId="0" fontId="189" fillId="35" borderId="0" applyNumberFormat="0" applyBorder="0" applyAlignment="0" applyProtection="0">
      <alignment vertical="center"/>
    </xf>
    <xf numFmtId="0" fontId="189" fillId="36" borderId="0" applyNumberFormat="0" applyBorder="0" applyAlignment="0" applyProtection="0">
      <alignment vertical="center"/>
    </xf>
    <xf numFmtId="0" fontId="238" fillId="24" borderId="42" applyNumberFormat="0" applyAlignment="0" applyProtection="0">
      <alignment vertical="center"/>
    </xf>
    <xf numFmtId="0" fontId="239" fillId="11" borderId="0" applyNumberFormat="0" applyBorder="0" applyAlignment="0" applyProtection="0">
      <alignment vertical="center"/>
    </xf>
    <xf numFmtId="0" fontId="240" fillId="0" borderId="0">
      <alignment vertical="center"/>
    </xf>
    <xf numFmtId="180" fontId="241" fillId="0" borderId="0">
      <alignment vertical="center"/>
    </xf>
  </cellStyleXfs>
  <cellXfs count="2324">
    <xf numFmtId="0" fontId="0" fillId="0" borderId="0" xfId="0">
      <alignment vertical="center"/>
    </xf>
    <xf numFmtId="0" fontId="1" fillId="0" borderId="0" xfId="0" applyFont="1" applyFill="1" applyBorder="1" applyAlignment="1">
      <alignment vertical="center"/>
    </xf>
    <xf numFmtId="0" fontId="1" fillId="0" borderId="0" xfId="0" applyFont="1" applyFill="1" applyBorder="1" applyAlignment="1">
      <alignment horizontal="center" vertical="center"/>
    </xf>
    <xf numFmtId="0" fontId="0" fillId="2" borderId="0" xfId="0" applyFont="1" applyFill="1" applyBorder="1" applyAlignment="1">
      <alignment vertical="center"/>
    </xf>
    <xf numFmtId="0" fontId="2" fillId="0" borderId="0" xfId="0" applyFont="1" applyFill="1" applyAlignment="1"/>
    <xf numFmtId="0" fontId="3" fillId="0" borderId="1" xfId="0" applyFont="1" applyFill="1" applyBorder="1" applyAlignment="1">
      <alignment horizontal="center" vertical="center"/>
    </xf>
    <xf numFmtId="0" fontId="3" fillId="0" borderId="0" xfId="0" applyFont="1" applyFill="1" applyBorder="1" applyAlignment="1">
      <alignment horizontal="center" vertical="center"/>
    </xf>
    <xf numFmtId="49" fontId="1" fillId="0" borderId="2" xfId="0" applyNumberFormat="1" applyFont="1" applyFill="1" applyBorder="1" applyAlignment="1">
      <alignment horizontal="center" vertical="center"/>
    </xf>
    <xf numFmtId="0" fontId="1" fillId="0" borderId="2" xfId="0" applyFont="1" applyFill="1" applyBorder="1" applyAlignment="1">
      <alignment horizontal="center" vertical="center"/>
    </xf>
    <xf numFmtId="0" fontId="1" fillId="0"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1" fillId="0" borderId="6" xfId="0" applyFont="1" applyFill="1" applyBorder="1" applyAlignment="1">
      <alignment horizontal="center" vertical="center"/>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49" fontId="1" fillId="3" borderId="0" xfId="0" applyNumberFormat="1" applyFont="1" applyFill="1" applyBorder="1" applyAlignment="1">
      <alignment horizontal="center" vertical="center"/>
    </xf>
    <xf numFmtId="0" fontId="1" fillId="3" borderId="0" xfId="0" applyFont="1" applyFill="1" applyBorder="1" applyAlignment="1">
      <alignment horizontal="center" vertical="center"/>
    </xf>
    <xf numFmtId="49" fontId="1" fillId="3" borderId="0" xfId="0" applyNumberFormat="1" applyFont="1" applyFill="1" applyBorder="1" applyAlignment="1">
      <alignment horizontal="left" vertical="center"/>
    </xf>
    <xf numFmtId="0" fontId="1" fillId="3" borderId="0" xfId="0" applyFont="1" applyFill="1" applyBorder="1" applyAlignment="1">
      <alignment vertical="center"/>
    </xf>
    <xf numFmtId="0" fontId="4" fillId="3" borderId="0" xfId="0" applyFont="1" applyFill="1" applyBorder="1" applyAlignment="1">
      <alignment horizontal="center" vertical="center"/>
    </xf>
    <xf numFmtId="0" fontId="1" fillId="0" borderId="6" xfId="0" applyFont="1" applyFill="1" applyBorder="1" applyAlignment="1">
      <alignment vertical="center"/>
    </xf>
    <xf numFmtId="49" fontId="1" fillId="2" borderId="0" xfId="0" applyNumberFormat="1" applyFont="1" applyFill="1" applyBorder="1" applyAlignment="1">
      <alignment horizontal="center" vertical="center"/>
    </xf>
    <xf numFmtId="0" fontId="1" fillId="2" borderId="0" xfId="0" applyFont="1" applyFill="1" applyBorder="1" applyAlignment="1">
      <alignment horizontal="center" vertical="center"/>
    </xf>
    <xf numFmtId="49" fontId="1" fillId="2" borderId="0" xfId="0" applyNumberFormat="1" applyFont="1" applyFill="1" applyBorder="1" applyAlignment="1">
      <alignment horizontal="left" vertical="center"/>
    </xf>
    <xf numFmtId="0" fontId="1" fillId="2" borderId="0" xfId="0" applyFont="1" applyFill="1" applyBorder="1" applyAlignment="1">
      <alignment vertical="center"/>
    </xf>
    <xf numFmtId="0" fontId="4" fillId="2" borderId="0" xfId="0" applyFont="1" applyFill="1" applyBorder="1" applyAlignment="1">
      <alignment vertical="center"/>
    </xf>
    <xf numFmtId="58" fontId="1" fillId="0" borderId="6" xfId="0" applyNumberFormat="1" applyFont="1" applyFill="1" applyBorder="1" applyAlignment="1">
      <alignment vertical="center"/>
    </xf>
    <xf numFmtId="0" fontId="4" fillId="4" borderId="4" xfId="0" applyFont="1" applyFill="1" applyBorder="1" applyAlignment="1">
      <alignment horizontal="center" vertical="center"/>
    </xf>
    <xf numFmtId="0" fontId="1" fillId="4" borderId="4"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5"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3"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5"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3" xfId="0" applyFont="1" applyFill="1" applyBorder="1" applyAlignment="1">
      <alignment horizontal="center" vertical="center"/>
    </xf>
    <xf numFmtId="0" fontId="1" fillId="4" borderId="7" xfId="0" applyFont="1" applyFill="1" applyBorder="1" applyAlignment="1">
      <alignment horizontal="center" vertical="center"/>
    </xf>
    <xf numFmtId="0" fontId="1" fillId="4" borderId="8" xfId="0" applyFont="1" applyFill="1" applyBorder="1" applyAlignment="1">
      <alignment horizontal="center" vertical="center"/>
    </xf>
    <xf numFmtId="0" fontId="4" fillId="4"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1" fillId="0" borderId="9" xfId="0" applyFont="1" applyFill="1" applyBorder="1" applyAlignment="1">
      <alignment horizontal="center" vertical="center" shrinkToFit="1"/>
    </xf>
    <xf numFmtId="0" fontId="1" fillId="4" borderId="4"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0" borderId="10" xfId="0" applyFont="1" applyFill="1" applyBorder="1" applyAlignment="1">
      <alignment horizontal="center" vertical="center" shrinkToFit="1"/>
    </xf>
    <xf numFmtId="0" fontId="1" fillId="3" borderId="0" xfId="0" applyFont="1" applyFill="1" applyBorder="1" applyAlignment="1">
      <alignment vertical="center" shrinkToFit="1"/>
    </xf>
    <xf numFmtId="0" fontId="1" fillId="0" borderId="7" xfId="0" applyFont="1" applyFill="1" applyBorder="1" applyAlignment="1">
      <alignment vertical="center" shrinkToFit="1"/>
    </xf>
    <xf numFmtId="0" fontId="1" fillId="2" borderId="0" xfId="0" applyFont="1" applyFill="1" applyBorder="1" applyAlignment="1">
      <alignment vertical="center" shrinkToFit="1"/>
    </xf>
    <xf numFmtId="49" fontId="1" fillId="0" borderId="2" xfId="0" applyNumberFormat="1" applyFont="1" applyFill="1" applyBorder="1" applyAlignment="1">
      <alignment horizontal="left" vertical="center"/>
    </xf>
    <xf numFmtId="0" fontId="1" fillId="0" borderId="3" xfId="0" applyFont="1" applyFill="1" applyBorder="1" applyAlignment="1">
      <alignment vertical="center"/>
    </xf>
    <xf numFmtId="0" fontId="5" fillId="0" borderId="0" xfId="0" applyFont="1">
      <alignment vertical="center"/>
    </xf>
    <xf numFmtId="0" fontId="5" fillId="0" borderId="0" xfId="0" applyFont="1" applyFill="1" applyAlignment="1">
      <alignment horizontal="center" vertical="center" wrapText="1"/>
    </xf>
    <xf numFmtId="0" fontId="5" fillId="0" borderId="0" xfId="0" applyFont="1" applyFill="1" applyAlignment="1">
      <alignment horizontal="center" vertical="center"/>
    </xf>
    <xf numFmtId="181" fontId="5" fillId="0" borderId="0" xfId="0" applyNumberFormat="1" applyFont="1" applyFill="1" applyAlignment="1">
      <alignment horizontal="center" vertical="center"/>
    </xf>
    <xf numFmtId="182" fontId="5" fillId="0" borderId="0" xfId="0" applyNumberFormat="1" applyFont="1" applyFill="1" applyAlignment="1">
      <alignment horizontal="center" vertical="center"/>
    </xf>
    <xf numFmtId="182" fontId="6" fillId="0" borderId="0" xfId="0" applyNumberFormat="1" applyFont="1" applyFill="1" applyAlignment="1">
      <alignment horizontal="center" vertical="center"/>
    </xf>
    <xf numFmtId="0" fontId="5" fillId="0" borderId="0" xfId="0" applyNumberFormat="1" applyFont="1" applyFill="1" applyAlignment="1">
      <alignment horizontal="center" vertical="center" wrapText="1"/>
    </xf>
    <xf numFmtId="0" fontId="7" fillId="0" borderId="0" xfId="0" applyFont="1" applyFill="1" applyAlignment="1">
      <alignment horizontal="center" vertical="center"/>
    </xf>
    <xf numFmtId="0" fontId="7" fillId="0" borderId="0" xfId="0" applyFont="1" applyFill="1" applyAlignment="1">
      <alignment vertical="center"/>
    </xf>
    <xf numFmtId="0" fontId="8" fillId="0" borderId="0" xfId="0" applyFont="1" applyFill="1" applyAlignment="1">
      <alignment horizontal="left" vertical="center"/>
    </xf>
    <xf numFmtId="0" fontId="9" fillId="0" borderId="0" xfId="0" applyFont="1" applyFill="1" applyAlignment="1">
      <alignment horizontal="left" vertical="center"/>
    </xf>
    <xf numFmtId="0" fontId="10" fillId="0" borderId="0" xfId="0" applyFont="1" applyFill="1" applyAlignment="1">
      <alignment horizontal="center" vertical="center"/>
    </xf>
    <xf numFmtId="0" fontId="11" fillId="0" borderId="2" xfId="0" applyFont="1" applyFill="1" applyBorder="1" applyAlignment="1">
      <alignment horizontal="center" vertical="center" wrapText="1" shrinkToFit="1"/>
    </xf>
    <xf numFmtId="0" fontId="10" fillId="0" borderId="2" xfId="0" applyFont="1" applyFill="1" applyBorder="1" applyAlignment="1">
      <alignment horizontal="center" vertical="center" wrapText="1" shrinkToFit="1"/>
    </xf>
    <xf numFmtId="0" fontId="12" fillId="0" borderId="2" xfId="0" applyFont="1" applyFill="1" applyBorder="1" applyAlignment="1">
      <alignment horizontal="center" vertical="center" wrapText="1" shrinkToFit="1"/>
    </xf>
    <xf numFmtId="0" fontId="13" fillId="0" borderId="2" xfId="0" applyFont="1" applyFill="1" applyBorder="1" applyAlignment="1">
      <alignment horizontal="center" vertical="center" wrapText="1" shrinkToFit="1"/>
    </xf>
    <xf numFmtId="183" fontId="5" fillId="0" borderId="2" xfId="0" applyNumberFormat="1" applyFont="1" applyFill="1" applyBorder="1" applyAlignment="1">
      <alignment horizontal="center" vertical="center"/>
    </xf>
    <xf numFmtId="0" fontId="5" fillId="0" borderId="2" xfId="0" applyFont="1" applyFill="1" applyBorder="1" applyAlignment="1">
      <alignment horizontal="center" vertical="center"/>
    </xf>
    <xf numFmtId="49" fontId="5" fillId="0" borderId="2" xfId="0" applyNumberFormat="1" applyFont="1" applyFill="1" applyBorder="1" applyAlignment="1">
      <alignment horizontal="center" vertical="center"/>
    </xf>
    <xf numFmtId="0" fontId="14" fillId="0" borderId="2" xfId="0" applyFont="1" applyFill="1" applyBorder="1" applyAlignment="1">
      <alignment horizontal="center" vertical="center" wrapText="1"/>
    </xf>
    <xf numFmtId="0" fontId="5" fillId="0" borderId="3" xfId="0" applyFont="1" applyFill="1" applyBorder="1" applyAlignment="1">
      <alignment horizontal="center" vertical="center"/>
    </xf>
    <xf numFmtId="0" fontId="14" fillId="0" borderId="2" xfId="0" applyFont="1" applyFill="1" applyBorder="1" applyAlignment="1">
      <alignment horizontal="center" vertical="center"/>
    </xf>
    <xf numFmtId="184" fontId="5" fillId="0" borderId="2" xfId="0" applyNumberFormat="1" applyFont="1" applyFill="1" applyBorder="1" applyAlignment="1">
      <alignment horizontal="center" vertical="center"/>
    </xf>
    <xf numFmtId="183" fontId="5" fillId="5" borderId="0" xfId="0" applyNumberFormat="1" applyFont="1" applyFill="1" applyAlignment="1">
      <alignment horizontal="center" vertical="center"/>
    </xf>
    <xf numFmtId="0" fontId="5" fillId="5" borderId="0" xfId="0" applyFont="1" applyFill="1" applyAlignment="1">
      <alignment horizontal="center" vertical="center"/>
    </xf>
    <xf numFmtId="0" fontId="10" fillId="5" borderId="0" xfId="0" applyFont="1" applyFill="1" applyAlignment="1">
      <alignment horizontal="center" vertical="center"/>
    </xf>
    <xf numFmtId="184" fontId="5" fillId="5" borderId="0" xfId="0" applyNumberFormat="1" applyFont="1" applyFill="1" applyAlignment="1">
      <alignment horizontal="center" vertical="center"/>
    </xf>
    <xf numFmtId="181" fontId="10" fillId="0" borderId="0" xfId="0" applyNumberFormat="1" applyFont="1" applyFill="1" applyAlignment="1">
      <alignment horizontal="center" vertical="center"/>
    </xf>
    <xf numFmtId="182" fontId="10" fillId="0" borderId="0" xfId="0" applyNumberFormat="1" applyFont="1" applyFill="1" applyAlignment="1">
      <alignment horizontal="center" vertical="center"/>
    </xf>
    <xf numFmtId="181" fontId="11" fillId="0" borderId="2" xfId="0" applyNumberFormat="1" applyFont="1" applyFill="1" applyBorder="1" applyAlignment="1">
      <alignment horizontal="center" vertical="center" wrapText="1" shrinkToFit="1"/>
    </xf>
    <xf numFmtId="182" fontId="11" fillId="0" borderId="2" xfId="0" applyNumberFormat="1" applyFont="1" applyFill="1" applyBorder="1" applyAlignment="1">
      <alignment horizontal="center" vertical="center" wrapText="1" shrinkToFit="1"/>
    </xf>
    <xf numFmtId="0" fontId="11" fillId="0" borderId="2" xfId="157" applyFont="1" applyBorder="1" applyAlignment="1">
      <alignment horizontal="center" vertical="center" wrapText="1"/>
    </xf>
    <xf numFmtId="181" fontId="5" fillId="0" borderId="2" xfId="0" applyNumberFormat="1" applyFont="1" applyFill="1" applyBorder="1" applyAlignment="1">
      <alignment horizontal="center" vertical="center"/>
    </xf>
    <xf numFmtId="183" fontId="5" fillId="0" borderId="2" xfId="0" applyNumberFormat="1" applyFont="1" applyFill="1" applyBorder="1" applyAlignment="1">
      <alignment horizontal="center" vertical="center" wrapText="1"/>
    </xf>
    <xf numFmtId="182" fontId="5" fillId="0" borderId="2" xfId="0" applyNumberFormat="1" applyFont="1" applyFill="1" applyBorder="1" applyAlignment="1">
      <alignment horizontal="center" vertical="center"/>
    </xf>
    <xf numFmtId="183" fontId="14" fillId="0" borderId="2" xfId="0" applyNumberFormat="1" applyFont="1" applyFill="1" applyBorder="1" applyAlignment="1">
      <alignment horizontal="center" vertical="center"/>
    </xf>
    <xf numFmtId="183" fontId="14" fillId="0" borderId="2" xfId="0" applyNumberFormat="1" applyFont="1" applyFill="1" applyBorder="1" applyAlignment="1">
      <alignment horizontal="center" vertical="center" wrapText="1"/>
    </xf>
    <xf numFmtId="185" fontId="10" fillId="5" borderId="0" xfId="0" applyNumberFormat="1" applyFont="1" applyFill="1" applyAlignment="1">
      <alignment horizontal="center" vertical="center"/>
    </xf>
    <xf numFmtId="0" fontId="15" fillId="0" borderId="0" xfId="0" applyFont="1" applyFill="1" applyAlignment="1">
      <alignment vertical="center"/>
    </xf>
    <xf numFmtId="182" fontId="7" fillId="0" borderId="0" xfId="0" applyNumberFormat="1" applyFont="1" applyFill="1" applyAlignment="1">
      <alignment vertical="center"/>
    </xf>
    <xf numFmtId="182" fontId="16" fillId="0" borderId="2" xfId="0" applyNumberFormat="1" applyFont="1" applyFill="1" applyBorder="1" applyAlignment="1">
      <alignment horizontal="center" vertical="center"/>
    </xf>
    <xf numFmtId="182" fontId="17" fillId="0" borderId="2" xfId="0" applyNumberFormat="1" applyFont="1" applyFill="1" applyBorder="1" applyAlignment="1">
      <alignment horizontal="center" vertical="center" wrapText="1" shrinkToFit="1"/>
    </xf>
    <xf numFmtId="182" fontId="6" fillId="0" borderId="2" xfId="0" applyNumberFormat="1" applyFont="1" applyFill="1" applyBorder="1" applyAlignment="1">
      <alignment horizontal="center" vertical="center"/>
    </xf>
    <xf numFmtId="0" fontId="7" fillId="0" borderId="0" xfId="0" applyNumberFormat="1" applyFont="1" applyFill="1" applyAlignment="1">
      <alignment vertical="center" wrapText="1"/>
    </xf>
    <xf numFmtId="0" fontId="10" fillId="0" borderId="0" xfId="0" applyNumberFormat="1" applyFont="1" applyFill="1" applyAlignment="1">
      <alignment horizontal="center" vertical="center" wrapText="1"/>
    </xf>
    <xf numFmtId="0" fontId="11" fillId="0" borderId="2" xfId="0" applyNumberFormat="1" applyFont="1" applyFill="1" applyBorder="1" applyAlignment="1">
      <alignment horizontal="center" vertical="center" wrapText="1" shrinkToFit="1"/>
    </xf>
    <xf numFmtId="0" fontId="10" fillId="0" borderId="2" xfId="0" applyFont="1" applyFill="1" applyBorder="1" applyAlignment="1">
      <alignment horizontal="center" vertical="center"/>
    </xf>
    <xf numFmtId="0" fontId="5" fillId="0" borderId="2" xfId="0" applyNumberFormat="1" applyFont="1" applyFill="1" applyBorder="1" applyAlignment="1">
      <alignment horizontal="center" vertical="center" wrapText="1"/>
    </xf>
    <xf numFmtId="0" fontId="5" fillId="5" borderId="0" xfId="0" applyNumberFormat="1" applyFont="1" applyFill="1" applyAlignment="1">
      <alignment horizontal="center" vertical="center" wrapText="1"/>
    </xf>
    <xf numFmtId="0" fontId="5" fillId="0" borderId="0" xfId="0" applyFont="1" applyFill="1">
      <alignment vertical="center"/>
    </xf>
    <xf numFmtId="0" fontId="6" fillId="0" borderId="0" xfId="0" applyFont="1" applyFill="1" applyAlignment="1">
      <alignment horizontal="center" vertical="center" wrapText="1"/>
    </xf>
    <xf numFmtId="0" fontId="6" fillId="0" borderId="2" xfId="0" applyFont="1" applyFill="1" applyBorder="1" applyAlignment="1">
      <alignment horizontal="center" vertical="center" wrapText="1"/>
    </xf>
    <xf numFmtId="0" fontId="18" fillId="0" borderId="0" xfId="0" applyFont="1" applyFill="1" applyAlignment="1">
      <alignment horizontal="center" vertical="center" wrapText="1"/>
    </xf>
    <xf numFmtId="0" fontId="18" fillId="0" borderId="0" xfId="0" applyFont="1" applyFill="1" applyAlignment="1">
      <alignment horizontal="center" vertical="center"/>
    </xf>
    <xf numFmtId="186" fontId="5" fillId="0" borderId="0" xfId="0" applyNumberFormat="1" applyFont="1" applyFill="1" applyBorder="1" applyAlignment="1">
      <alignment horizontal="center" vertical="center" wrapText="1" shrinkToFit="1"/>
    </xf>
    <xf numFmtId="187" fontId="5" fillId="0" borderId="2" xfId="0" applyNumberFormat="1" applyFont="1" applyFill="1" applyBorder="1" applyAlignment="1">
      <alignment horizontal="center" vertical="center" wrapText="1" shrinkToFit="1"/>
    </xf>
    <xf numFmtId="188" fontId="5" fillId="0" borderId="0" xfId="0" applyNumberFormat="1" applyFont="1" applyFill="1" applyAlignment="1">
      <alignment horizontal="center" vertical="center" wrapText="1"/>
    </xf>
    <xf numFmtId="188" fontId="5" fillId="0" borderId="0" xfId="0" applyNumberFormat="1" applyFont="1" applyFill="1" applyAlignment="1">
      <alignment horizontal="center" vertical="center"/>
    </xf>
    <xf numFmtId="189" fontId="5" fillId="0" borderId="0" xfId="0" applyNumberFormat="1" applyFont="1" applyFill="1" applyAlignment="1">
      <alignment horizontal="center" vertical="center"/>
    </xf>
    <xf numFmtId="0" fontId="5" fillId="0" borderId="0" xfId="0" applyNumberFormat="1" applyFont="1" applyFill="1" applyAlignment="1">
      <alignment horizontal="center" vertical="center"/>
    </xf>
    <xf numFmtId="187" fontId="5" fillId="0" borderId="0" xfId="0" applyNumberFormat="1" applyFont="1" applyFill="1" applyAlignment="1">
      <alignment horizontal="center" vertical="center" wrapText="1" shrinkToFit="1"/>
    </xf>
    <xf numFmtId="182" fontId="19" fillId="0" borderId="0" xfId="0" applyNumberFormat="1" applyFont="1" applyFill="1" applyAlignment="1">
      <alignment horizontal="center" vertical="center"/>
    </xf>
    <xf numFmtId="0" fontId="20" fillId="0" borderId="0" xfId="0" applyNumberFormat="1" applyFont="1" applyFill="1" applyAlignment="1">
      <alignment horizontal="left" vertical="center" wrapText="1"/>
    </xf>
    <xf numFmtId="0" fontId="13" fillId="0" borderId="0" xfId="0" applyFont="1" applyFill="1" applyAlignment="1">
      <alignment vertical="center"/>
    </xf>
    <xf numFmtId="190" fontId="21" fillId="0" borderId="11" xfId="0" applyNumberFormat="1" applyFont="1" applyFill="1" applyBorder="1" applyAlignment="1">
      <alignment vertical="center"/>
    </xf>
    <xf numFmtId="0" fontId="13" fillId="0" borderId="0" xfId="0" applyFont="1" applyFill="1" applyAlignment="1">
      <alignment horizontal="center" vertical="center"/>
    </xf>
    <xf numFmtId="0" fontId="22" fillId="0" borderId="11" xfId="0" applyFont="1" applyFill="1" applyBorder="1" applyAlignment="1">
      <alignment vertical="center" wrapText="1"/>
    </xf>
    <xf numFmtId="0" fontId="2" fillId="0" borderId="0" xfId="0" applyFont="1" applyFill="1" applyAlignment="1">
      <alignment vertical="center"/>
    </xf>
    <xf numFmtId="190" fontId="23" fillId="0" borderId="11" xfId="0" applyNumberFormat="1" applyFont="1" applyFill="1" applyBorder="1" applyAlignment="1">
      <alignment horizontal="center" vertical="center"/>
    </xf>
    <xf numFmtId="0" fontId="23" fillId="0" borderId="2" xfId="0" applyFont="1" applyFill="1" applyBorder="1" applyAlignment="1">
      <alignment horizontal="center" vertical="center" wrapText="1" shrinkToFit="1"/>
    </xf>
    <xf numFmtId="0" fontId="23" fillId="0" borderId="3" xfId="0" applyFont="1" applyFill="1" applyBorder="1" applyAlignment="1">
      <alignment horizontal="center" vertical="center" wrapText="1" shrinkToFit="1"/>
    </xf>
    <xf numFmtId="190" fontId="6" fillId="0" borderId="2" xfId="0" applyNumberFormat="1" applyFont="1" applyFill="1" applyBorder="1" applyAlignment="1">
      <alignment horizontal="center" vertical="center"/>
    </xf>
    <xf numFmtId="0" fontId="6" fillId="0" borderId="2" xfId="0" applyFont="1" applyFill="1" applyBorder="1" applyAlignment="1">
      <alignment horizontal="center" vertical="center" wrapText="1" shrinkToFit="1"/>
    </xf>
    <xf numFmtId="0" fontId="24" fillId="0" borderId="2" xfId="0" applyFont="1" applyFill="1" applyBorder="1" applyAlignment="1">
      <alignment horizontal="center" vertical="center" wrapText="1" shrinkToFit="1"/>
    </xf>
    <xf numFmtId="0" fontId="6" fillId="0" borderId="2" xfId="0" applyFont="1" applyFill="1" applyBorder="1" applyAlignment="1">
      <alignment horizontal="center" vertical="center" shrinkToFit="1"/>
    </xf>
    <xf numFmtId="186" fontId="25" fillId="0" borderId="12" xfId="0" applyNumberFormat="1" applyFont="1" applyFill="1" applyBorder="1" applyAlignment="1">
      <alignment horizontal="center" vertical="center" wrapText="1" shrinkToFit="1"/>
    </xf>
    <xf numFmtId="0" fontId="26" fillId="0" borderId="12" xfId="0" applyFont="1" applyFill="1" applyBorder="1" applyAlignment="1">
      <alignment horizontal="center" vertical="center"/>
    </xf>
    <xf numFmtId="0" fontId="26" fillId="0" borderId="12" xfId="0" applyFont="1" applyFill="1" applyBorder="1" applyAlignment="1">
      <alignment horizontal="center" vertical="center" wrapText="1" shrinkToFit="1"/>
    </xf>
    <xf numFmtId="0" fontId="23" fillId="0" borderId="12" xfId="0" applyFont="1" applyFill="1" applyBorder="1" applyAlignment="1">
      <alignment horizontal="center" vertical="center" shrinkToFit="1"/>
    </xf>
    <xf numFmtId="0" fontId="23" fillId="0" borderId="13" xfId="0" applyFont="1" applyFill="1" applyBorder="1" applyAlignment="1">
      <alignment horizontal="center" vertical="center" wrapText="1" shrinkToFit="1"/>
    </xf>
    <xf numFmtId="190" fontId="18" fillId="0" borderId="11" xfId="0" applyNumberFormat="1" applyFont="1" applyFill="1" applyBorder="1" applyAlignment="1">
      <alignment horizontal="center" vertical="center"/>
    </xf>
    <xf numFmtId="0" fontId="18" fillId="0" borderId="14" xfId="0" applyFont="1" applyFill="1" applyBorder="1" applyAlignment="1">
      <alignment horizontal="center" vertical="center" wrapText="1" shrinkToFit="1"/>
    </xf>
    <xf numFmtId="0" fontId="27" fillId="0" borderId="14" xfId="0" applyFont="1" applyFill="1" applyBorder="1" applyAlignment="1">
      <alignment horizontal="center" vertical="center" wrapText="1" shrinkToFit="1"/>
    </xf>
    <xf numFmtId="0" fontId="18" fillId="0" borderId="14" xfId="0" applyFont="1" applyFill="1" applyBorder="1" applyAlignment="1">
      <alignment horizontal="center" vertical="center" shrinkToFit="1"/>
    </xf>
    <xf numFmtId="0" fontId="27" fillId="0" borderId="2" xfId="0" applyFont="1" applyFill="1" applyBorder="1" applyAlignment="1">
      <alignment horizontal="center" vertical="center" wrapText="1" shrinkToFit="1"/>
    </xf>
    <xf numFmtId="0" fontId="18" fillId="0" borderId="2" xfId="0" applyFont="1" applyFill="1" applyBorder="1" applyAlignment="1">
      <alignment horizontal="center" vertical="center" wrapText="1" shrinkToFit="1"/>
    </xf>
    <xf numFmtId="0" fontId="18" fillId="0" borderId="14" xfId="0" applyFont="1" applyFill="1" applyBorder="1" applyAlignment="1">
      <alignment horizontal="center" vertical="center" wrapText="1"/>
    </xf>
    <xf numFmtId="183" fontId="18" fillId="0" borderId="14" xfId="0" applyNumberFormat="1" applyFont="1" applyFill="1" applyBorder="1" applyAlignment="1">
      <alignment horizontal="center" vertical="center"/>
    </xf>
    <xf numFmtId="0" fontId="18" fillId="0" borderId="14" xfId="0" applyFont="1" applyFill="1" applyBorder="1" applyAlignment="1">
      <alignment horizontal="center" vertical="center"/>
    </xf>
    <xf numFmtId="0" fontId="18" fillId="0" borderId="15" xfId="0" applyFont="1" applyFill="1" applyBorder="1" applyAlignment="1">
      <alignment horizontal="center" vertical="center"/>
    </xf>
    <xf numFmtId="190" fontId="5" fillId="0" borderId="11" xfId="0" applyNumberFormat="1" applyFont="1" applyFill="1" applyBorder="1" applyAlignment="1">
      <alignment horizontal="center" vertical="center"/>
    </xf>
    <xf numFmtId="0" fontId="5" fillId="0" borderId="2" xfId="0" applyFont="1" applyFill="1" applyBorder="1" applyAlignment="1">
      <alignment horizontal="center" vertical="center" wrapText="1"/>
    </xf>
    <xf numFmtId="183" fontId="5" fillId="0" borderId="0" xfId="0" applyNumberFormat="1" applyFont="1" applyFill="1" applyAlignment="1">
      <alignment horizontal="center" vertical="center"/>
    </xf>
    <xf numFmtId="186" fontId="2" fillId="0" borderId="0" xfId="0" applyNumberFormat="1" applyFont="1" applyFill="1" applyBorder="1" applyAlignment="1">
      <alignment horizontal="center" vertical="center" wrapText="1" shrinkToFit="1"/>
    </xf>
    <xf numFmtId="187" fontId="2" fillId="0" borderId="2" xfId="0" applyNumberFormat="1" applyFont="1" applyFill="1" applyBorder="1" applyAlignment="1">
      <alignment horizontal="center" vertical="center" wrapText="1" shrinkToFit="1"/>
    </xf>
    <xf numFmtId="188" fontId="13" fillId="0" borderId="0" xfId="0" applyNumberFormat="1" applyFont="1" applyFill="1" applyAlignment="1">
      <alignment vertical="center" wrapText="1"/>
    </xf>
    <xf numFmtId="188" fontId="13" fillId="0" borderId="0" xfId="0" applyNumberFormat="1" applyFont="1" applyFill="1" applyAlignment="1">
      <alignment horizontal="center" vertical="center"/>
    </xf>
    <xf numFmtId="188" fontId="13" fillId="0" borderId="0" xfId="0" applyNumberFormat="1" applyFont="1" applyFill="1" applyAlignment="1">
      <alignment vertical="center"/>
    </xf>
    <xf numFmtId="188" fontId="13" fillId="0" borderId="0" xfId="0" applyNumberFormat="1" applyFont="1" applyFill="1" applyAlignment="1">
      <alignment horizontal="center" vertical="center" wrapText="1"/>
    </xf>
    <xf numFmtId="186" fontId="28" fillId="6" borderId="2" xfId="0" applyNumberFormat="1" applyFont="1" applyFill="1" applyBorder="1" applyAlignment="1">
      <alignment horizontal="center" vertical="center" wrapText="1" shrinkToFit="1"/>
    </xf>
    <xf numFmtId="188" fontId="13" fillId="0" borderId="3" xfId="0" applyNumberFormat="1" applyFont="1" applyFill="1" applyBorder="1" applyAlignment="1">
      <alignment horizontal="center" vertical="center" wrapText="1" shrinkToFit="1"/>
    </xf>
    <xf numFmtId="188" fontId="13" fillId="0" borderId="2" xfId="0" applyNumberFormat="1" applyFont="1" applyFill="1" applyBorder="1" applyAlignment="1">
      <alignment horizontal="center" vertical="center" wrapText="1" shrinkToFit="1"/>
    </xf>
    <xf numFmtId="188" fontId="13" fillId="0" borderId="7" xfId="0" applyNumberFormat="1" applyFont="1" applyFill="1" applyBorder="1" applyAlignment="1">
      <alignment horizontal="center" vertical="center" wrapText="1" shrinkToFit="1"/>
    </xf>
    <xf numFmtId="0" fontId="23" fillId="0" borderId="2" xfId="0" applyFont="1" applyFill="1" applyBorder="1" applyAlignment="1">
      <alignment horizontal="center" vertical="center"/>
    </xf>
    <xf numFmtId="186" fontId="23" fillId="0" borderId="2" xfId="0" applyNumberFormat="1" applyFont="1" applyFill="1" applyBorder="1" applyAlignment="1">
      <alignment horizontal="center" vertical="center" wrapText="1" shrinkToFit="1"/>
    </xf>
    <xf numFmtId="188" fontId="23" fillId="0" borderId="2" xfId="0" applyNumberFormat="1" applyFont="1" applyFill="1" applyBorder="1" applyAlignment="1">
      <alignment horizontal="center" vertical="center" wrapText="1" shrinkToFit="1"/>
    </xf>
    <xf numFmtId="188" fontId="23" fillId="0" borderId="7" xfId="0" applyNumberFormat="1" applyFont="1" applyFill="1" applyBorder="1" applyAlignment="1">
      <alignment horizontal="center" vertical="center" wrapText="1" shrinkToFit="1"/>
    </xf>
    <xf numFmtId="0" fontId="6" fillId="0" borderId="2" xfId="0" applyFont="1" applyFill="1" applyBorder="1" applyAlignment="1">
      <alignment horizontal="center" vertical="center"/>
    </xf>
    <xf numFmtId="186" fontId="6" fillId="0" borderId="2" xfId="0" applyNumberFormat="1" applyFont="1" applyFill="1" applyBorder="1" applyAlignment="1">
      <alignment horizontal="center" vertical="center" wrapText="1" shrinkToFit="1"/>
    </xf>
    <xf numFmtId="188" fontId="6" fillId="0" borderId="2" xfId="0" applyNumberFormat="1" applyFont="1" applyFill="1" applyBorder="1" applyAlignment="1">
      <alignment horizontal="center" vertical="center" wrapText="1" shrinkToFit="1"/>
    </xf>
    <xf numFmtId="188" fontId="24" fillId="0" borderId="2" xfId="0" applyNumberFormat="1" applyFont="1" applyFill="1" applyBorder="1" applyAlignment="1">
      <alignment horizontal="center" vertical="center" wrapText="1" shrinkToFit="1"/>
    </xf>
    <xf numFmtId="188" fontId="26" fillId="0" borderId="10" xfId="0" applyNumberFormat="1" applyFont="1" applyFill="1" applyBorder="1" applyAlignment="1">
      <alignment horizontal="center" vertical="center" wrapText="1" shrinkToFit="1"/>
    </xf>
    <xf numFmtId="186" fontId="23" fillId="0" borderId="12" xfId="0" applyNumberFormat="1" applyFont="1" applyFill="1" applyBorder="1" applyAlignment="1">
      <alignment horizontal="center" vertical="center" wrapText="1" shrinkToFit="1"/>
    </xf>
    <xf numFmtId="188" fontId="23" fillId="0" borderId="13" xfId="0" applyNumberFormat="1" applyFont="1" applyFill="1" applyBorder="1" applyAlignment="1">
      <alignment horizontal="center" vertical="center" wrapText="1" shrinkToFit="1"/>
    </xf>
    <xf numFmtId="188" fontId="26" fillId="0" borderId="9" xfId="0" applyNumberFormat="1" applyFont="1" applyFill="1" applyBorder="1" applyAlignment="1">
      <alignment horizontal="center" vertical="center" wrapText="1" shrinkToFit="1"/>
    </xf>
    <xf numFmtId="58" fontId="24" fillId="0" borderId="2" xfId="0" applyNumberFormat="1" applyFont="1" applyFill="1" applyBorder="1" applyAlignment="1">
      <alignment horizontal="center" vertical="center" wrapText="1"/>
    </xf>
    <xf numFmtId="0" fontId="24" fillId="0" borderId="2" xfId="0" applyFont="1" applyFill="1" applyBorder="1" applyAlignment="1">
      <alignment horizontal="center" vertical="center" wrapText="1"/>
    </xf>
    <xf numFmtId="0" fontId="18" fillId="0" borderId="2" xfId="0" applyFont="1" applyFill="1" applyBorder="1" applyAlignment="1">
      <alignment horizontal="center" vertical="center"/>
    </xf>
    <xf numFmtId="186" fontId="18" fillId="0" borderId="14" xfId="0" applyNumberFormat="1" applyFont="1" applyFill="1" applyBorder="1" applyAlignment="1">
      <alignment horizontal="center" vertical="center" wrapText="1" shrinkToFit="1"/>
    </xf>
    <xf numFmtId="188" fontId="18" fillId="0" borderId="15" xfId="0" applyNumberFormat="1" applyFont="1" applyFill="1" applyBorder="1" applyAlignment="1">
      <alignment horizontal="center" vertical="center" wrapText="1" shrinkToFit="1"/>
    </xf>
    <xf numFmtId="188" fontId="18" fillId="0" borderId="14" xfId="0" applyNumberFormat="1" applyFont="1" applyFill="1" applyBorder="1" applyAlignment="1">
      <alignment horizontal="center" vertical="center" wrapText="1" shrinkToFit="1"/>
    </xf>
    <xf numFmtId="0" fontId="27" fillId="0" borderId="10" xfId="0" applyFont="1" applyFill="1" applyBorder="1" applyAlignment="1">
      <alignment horizontal="center" vertical="center" wrapText="1"/>
    </xf>
    <xf numFmtId="187" fontId="18" fillId="0" borderId="14" xfId="0" applyNumberFormat="1" applyFont="1" applyFill="1" applyBorder="1" applyAlignment="1">
      <alignment horizontal="center" vertical="center" wrapText="1" shrinkToFit="1"/>
    </xf>
    <xf numFmtId="188" fontId="18" fillId="0" borderId="15" xfId="0" applyNumberFormat="1" applyFont="1" applyFill="1" applyBorder="1" applyAlignment="1">
      <alignment horizontal="center" vertical="center" wrapText="1"/>
    </xf>
    <xf numFmtId="188" fontId="18" fillId="0" borderId="14" xfId="0" applyNumberFormat="1" applyFont="1" applyFill="1" applyBorder="1" applyAlignment="1">
      <alignment horizontal="center" vertical="center"/>
    </xf>
    <xf numFmtId="188" fontId="18" fillId="0" borderId="10" xfId="0" applyNumberFormat="1" applyFont="1" applyFill="1" applyBorder="1" applyAlignment="1">
      <alignment horizontal="center" vertical="center"/>
    </xf>
    <xf numFmtId="186" fontId="5" fillId="0" borderId="2" xfId="0" applyNumberFormat="1" applyFont="1" applyFill="1" applyBorder="1" applyAlignment="1">
      <alignment horizontal="center" vertical="center" wrapText="1" shrinkToFit="1"/>
    </xf>
    <xf numFmtId="0" fontId="5" fillId="0" borderId="11" xfId="0" applyFont="1" applyFill="1" applyBorder="1">
      <alignment vertical="center"/>
    </xf>
    <xf numFmtId="188" fontId="5" fillId="0" borderId="3" xfId="0" applyNumberFormat="1" applyFont="1" applyFill="1" applyBorder="1" applyAlignment="1">
      <alignment horizontal="center" vertical="center" wrapText="1"/>
    </xf>
    <xf numFmtId="188" fontId="5" fillId="0" borderId="2" xfId="0" applyNumberFormat="1" applyFont="1" applyFill="1" applyBorder="1" applyAlignment="1">
      <alignment horizontal="center" vertical="center"/>
    </xf>
    <xf numFmtId="188" fontId="5" fillId="0" borderId="7" xfId="0" applyNumberFormat="1" applyFont="1" applyFill="1" applyBorder="1" applyAlignment="1">
      <alignment horizontal="center" vertical="center"/>
    </xf>
    <xf numFmtId="0" fontId="5" fillId="0" borderId="0" xfId="0" applyFont="1" applyFill="1" applyBorder="1" applyAlignment="1">
      <alignment horizontal="center" vertical="center"/>
    </xf>
    <xf numFmtId="0" fontId="13" fillId="0" borderId="0" xfId="0" applyNumberFormat="1" applyFont="1" applyFill="1" applyAlignment="1">
      <alignment horizontal="center" vertical="center" wrapText="1"/>
    </xf>
    <xf numFmtId="189" fontId="13" fillId="0" borderId="0" xfId="0" applyNumberFormat="1" applyFont="1" applyFill="1" applyAlignment="1">
      <alignment vertical="center"/>
    </xf>
    <xf numFmtId="189" fontId="13" fillId="0" borderId="0" xfId="0" applyNumberFormat="1" applyFont="1" applyFill="1" applyAlignment="1">
      <alignment horizontal="center" vertical="center"/>
    </xf>
    <xf numFmtId="181" fontId="13" fillId="0" borderId="0" xfId="0" applyNumberFormat="1" applyFont="1" applyFill="1" applyAlignment="1">
      <alignment horizontal="center" vertical="center"/>
    </xf>
    <xf numFmtId="188" fontId="12" fillId="0" borderId="2" xfId="0" applyNumberFormat="1" applyFont="1" applyFill="1" applyBorder="1" applyAlignment="1">
      <alignment horizontal="center" vertical="center" wrapText="1" shrinkToFit="1"/>
    </xf>
    <xf numFmtId="0" fontId="13" fillId="0" borderId="2" xfId="0" applyNumberFormat="1" applyFont="1" applyFill="1" applyBorder="1" applyAlignment="1">
      <alignment horizontal="center" vertical="center" wrapText="1" shrinkToFit="1"/>
    </xf>
    <xf numFmtId="189" fontId="13" fillId="0" borderId="2" xfId="0" applyNumberFormat="1" applyFont="1" applyFill="1" applyBorder="1" applyAlignment="1">
      <alignment horizontal="center" vertical="center" wrapText="1" shrinkToFit="1"/>
    </xf>
    <xf numFmtId="181" fontId="13" fillId="0" borderId="2" xfId="0" applyNumberFormat="1" applyFont="1" applyFill="1" applyBorder="1" applyAlignment="1">
      <alignment horizontal="center" vertical="center" wrapText="1" shrinkToFit="1"/>
    </xf>
    <xf numFmtId="188" fontId="26" fillId="0" borderId="2" xfId="0" applyNumberFormat="1" applyFont="1" applyFill="1" applyBorder="1" applyAlignment="1">
      <alignment horizontal="center" vertical="center" wrapText="1" shrinkToFit="1"/>
    </xf>
    <xf numFmtId="182" fontId="23" fillId="0" borderId="2" xfId="0" applyNumberFormat="1" applyFont="1" applyFill="1" applyBorder="1" applyAlignment="1">
      <alignment horizontal="center" vertical="center" wrapText="1" shrinkToFit="1"/>
    </xf>
    <xf numFmtId="189" fontId="23" fillId="0" borderId="14" xfId="0" applyNumberFormat="1" applyFont="1" applyFill="1" applyBorder="1" applyAlignment="1">
      <alignment horizontal="center" vertical="center" wrapText="1" shrinkToFit="1"/>
    </xf>
    <xf numFmtId="181" fontId="23" fillId="0" borderId="14" xfId="0" applyNumberFormat="1" applyFont="1" applyFill="1" applyBorder="1" applyAlignment="1">
      <alignment horizontal="center" vertical="center"/>
    </xf>
    <xf numFmtId="0" fontId="24" fillId="0" borderId="2" xfId="0" applyNumberFormat="1" applyFont="1" applyFill="1" applyBorder="1" applyAlignment="1">
      <alignment horizontal="center" vertical="center" wrapText="1" shrinkToFit="1"/>
    </xf>
    <xf numFmtId="189" fontId="6" fillId="0" borderId="2" xfId="0" applyNumberFormat="1" applyFont="1" applyFill="1" applyBorder="1" applyAlignment="1">
      <alignment horizontal="center" vertical="center" wrapText="1" shrinkToFit="1"/>
    </xf>
    <xf numFmtId="181" fontId="6" fillId="0" borderId="2" xfId="0" applyNumberFormat="1" applyFont="1" applyFill="1" applyBorder="1" applyAlignment="1">
      <alignment horizontal="center" vertical="center" wrapText="1" shrinkToFit="1"/>
    </xf>
    <xf numFmtId="188" fontId="26" fillId="0" borderId="12" xfId="0" applyNumberFormat="1" applyFont="1" applyFill="1" applyBorder="1" applyAlignment="1">
      <alignment horizontal="center" vertical="center" wrapText="1" shrinkToFit="1"/>
    </xf>
    <xf numFmtId="0" fontId="26" fillId="0" borderId="16" xfId="0" applyNumberFormat="1" applyFont="1" applyFill="1" applyBorder="1" applyAlignment="1">
      <alignment horizontal="center" vertical="center" wrapText="1" shrinkToFit="1"/>
    </xf>
    <xf numFmtId="189" fontId="23" fillId="0" borderId="12" xfId="0" applyNumberFormat="1" applyFont="1" applyFill="1" applyBorder="1" applyAlignment="1">
      <alignment horizontal="center" vertical="center" wrapText="1" shrinkToFit="1"/>
    </xf>
    <xf numFmtId="181" fontId="23" fillId="0" borderId="12" xfId="0" applyNumberFormat="1" applyFont="1" applyFill="1" applyBorder="1" applyAlignment="1">
      <alignment horizontal="center" vertical="center" wrapText="1" shrinkToFit="1"/>
    </xf>
    <xf numFmtId="0" fontId="24" fillId="0" borderId="14" xfId="0" applyNumberFormat="1" applyFont="1" applyFill="1" applyBorder="1" applyAlignment="1">
      <alignment horizontal="center" vertical="center" wrapText="1" shrinkToFit="1"/>
    </xf>
    <xf numFmtId="58" fontId="27" fillId="0" borderId="14" xfId="0" applyNumberFormat="1" applyFont="1" applyFill="1" applyBorder="1" applyAlignment="1">
      <alignment horizontal="center" vertical="center" wrapText="1"/>
    </xf>
    <xf numFmtId="188" fontId="27" fillId="0" borderId="14" xfId="0" applyNumberFormat="1" applyFont="1" applyFill="1" applyBorder="1" applyAlignment="1">
      <alignment horizontal="center" vertical="center" wrapText="1" shrinkToFit="1"/>
    </xf>
    <xf numFmtId="0" fontId="27" fillId="0" borderId="14" xfId="0" applyNumberFormat="1" applyFont="1" applyFill="1" applyBorder="1" applyAlignment="1">
      <alignment horizontal="center" vertical="center" wrapText="1" shrinkToFit="1"/>
    </xf>
    <xf numFmtId="189" fontId="18" fillId="0" borderId="14" xfId="0" applyNumberFormat="1" applyFont="1" applyFill="1" applyBorder="1" applyAlignment="1">
      <alignment horizontal="center" vertical="center" wrapText="1" shrinkToFit="1"/>
    </xf>
    <xf numFmtId="181" fontId="18" fillId="0" borderId="2" xfId="0" applyNumberFormat="1" applyFont="1" applyFill="1" applyBorder="1" applyAlignment="1">
      <alignment horizontal="center" vertical="center" wrapText="1" shrinkToFit="1"/>
    </xf>
    <xf numFmtId="188" fontId="18" fillId="0" borderId="14" xfId="0" applyNumberFormat="1" applyFont="1" applyFill="1" applyBorder="1" applyAlignment="1">
      <alignment horizontal="center" vertical="center" wrapText="1"/>
    </xf>
    <xf numFmtId="0" fontId="18" fillId="0" borderId="14" xfId="0" applyNumberFormat="1" applyFont="1" applyFill="1" applyBorder="1" applyAlignment="1">
      <alignment horizontal="center" vertical="center" wrapText="1"/>
    </xf>
    <xf numFmtId="189" fontId="18" fillId="0" borderId="14" xfId="0" applyNumberFormat="1" applyFont="1" applyFill="1" applyBorder="1" applyAlignment="1">
      <alignment horizontal="center" vertical="center"/>
    </xf>
    <xf numFmtId="181" fontId="18" fillId="0" borderId="14" xfId="0" applyNumberFormat="1" applyFont="1" applyFill="1" applyBorder="1" applyAlignment="1">
      <alignment horizontal="center" vertical="center"/>
    </xf>
    <xf numFmtId="188" fontId="5" fillId="0" borderId="2" xfId="0" applyNumberFormat="1" applyFont="1" applyFill="1" applyBorder="1" applyAlignment="1">
      <alignment horizontal="center" vertical="center" wrapText="1"/>
    </xf>
    <xf numFmtId="0" fontId="5" fillId="0" borderId="14" xfId="0" applyNumberFormat="1" applyFont="1" applyFill="1" applyBorder="1" applyAlignment="1">
      <alignment horizontal="center" vertical="center" wrapText="1"/>
    </xf>
    <xf numFmtId="189" fontId="5" fillId="0" borderId="2" xfId="0" applyNumberFormat="1" applyFont="1" applyFill="1" applyBorder="1" applyAlignment="1">
      <alignment horizontal="center" vertical="center"/>
    </xf>
    <xf numFmtId="191" fontId="10" fillId="0" borderId="0" xfId="0" applyNumberFormat="1" applyFont="1" applyFill="1" applyAlignment="1">
      <alignment horizontal="center" vertical="center"/>
    </xf>
    <xf numFmtId="0" fontId="13" fillId="0" borderId="0" xfId="0" applyNumberFormat="1" applyFont="1" applyFill="1" applyAlignment="1">
      <alignment vertical="center"/>
    </xf>
    <xf numFmtId="187" fontId="2" fillId="0" borderId="0" xfId="0" applyNumberFormat="1" applyFont="1" applyFill="1" applyAlignment="1">
      <alignment horizontal="center" vertical="center" wrapText="1" shrinkToFit="1"/>
    </xf>
    <xf numFmtId="182" fontId="13" fillId="0" borderId="0" xfId="0" applyNumberFormat="1" applyFont="1" applyFill="1" applyAlignment="1">
      <alignment vertical="center"/>
    </xf>
    <xf numFmtId="182" fontId="22" fillId="0" borderId="0" xfId="0" applyNumberFormat="1" applyFont="1" applyFill="1" applyAlignment="1">
      <alignment vertical="center"/>
    </xf>
    <xf numFmtId="0" fontId="13" fillId="0" borderId="0" xfId="0" applyNumberFormat="1" applyFont="1" applyFill="1" applyAlignment="1">
      <alignment horizontal="center" vertical="center"/>
    </xf>
    <xf numFmtId="182" fontId="13" fillId="0" borderId="3" xfId="0" applyNumberFormat="1" applyFont="1" applyFill="1" applyBorder="1" applyAlignment="1">
      <alignment horizontal="center" vertical="center"/>
    </xf>
    <xf numFmtId="182" fontId="22" fillId="0" borderId="6" xfId="0" applyNumberFormat="1" applyFont="1" applyFill="1" applyBorder="1" applyAlignment="1">
      <alignment horizontal="center" vertical="center"/>
    </xf>
    <xf numFmtId="0" fontId="29" fillId="0" borderId="2" xfId="0" applyNumberFormat="1" applyFont="1" applyFill="1" applyBorder="1" applyAlignment="1">
      <alignment horizontal="center" vertical="center" wrapText="1" shrinkToFit="1"/>
    </xf>
    <xf numFmtId="187" fontId="30" fillId="0" borderId="2" xfId="0" applyNumberFormat="1" applyFont="1" applyFill="1" applyBorder="1" applyAlignment="1">
      <alignment horizontal="center" vertical="center" wrapText="1" shrinkToFit="1"/>
    </xf>
    <xf numFmtId="182" fontId="13" fillId="0" borderId="2" xfId="0" applyNumberFormat="1" applyFont="1" applyFill="1" applyBorder="1" applyAlignment="1">
      <alignment horizontal="center" vertical="center" wrapText="1" shrinkToFit="1"/>
    </xf>
    <xf numFmtId="182" fontId="22" fillId="0" borderId="2" xfId="0" applyNumberFormat="1" applyFont="1" applyFill="1" applyBorder="1" applyAlignment="1">
      <alignment horizontal="center" vertical="center" wrapText="1" shrinkToFit="1"/>
    </xf>
    <xf numFmtId="0" fontId="23" fillId="0" borderId="2" xfId="0" applyNumberFormat="1" applyFont="1" applyFill="1" applyBorder="1" applyAlignment="1">
      <alignment horizontal="center" vertical="center" wrapText="1" shrinkToFit="1"/>
    </xf>
    <xf numFmtId="0" fontId="31" fillId="0" borderId="2" xfId="0" applyNumberFormat="1" applyFont="1" applyFill="1" applyBorder="1" applyAlignment="1">
      <alignment horizontal="center" vertical="center" wrapText="1" shrinkToFit="1"/>
    </xf>
    <xf numFmtId="186" fontId="32" fillId="0" borderId="2" xfId="0" applyNumberFormat="1" applyFont="1" applyFill="1" applyBorder="1" applyAlignment="1">
      <alignment horizontal="center" vertical="center" wrapText="1" shrinkToFit="1"/>
    </xf>
    <xf numFmtId="186" fontId="32" fillId="0" borderId="14" xfId="0" applyNumberFormat="1" applyFont="1" applyFill="1" applyBorder="1" applyAlignment="1">
      <alignment horizontal="center" vertical="center" wrapText="1" shrinkToFit="1"/>
    </xf>
    <xf numFmtId="0" fontId="23" fillId="0" borderId="14" xfId="0" applyFont="1" applyFill="1" applyBorder="1" applyAlignment="1">
      <alignment horizontal="center" vertical="center" wrapText="1" shrinkToFit="1"/>
    </xf>
    <xf numFmtId="182" fontId="23" fillId="0" borderId="2" xfId="0" applyNumberFormat="1" applyFont="1" applyFill="1" applyBorder="1" applyAlignment="1">
      <alignment horizontal="center" vertical="center"/>
    </xf>
    <xf numFmtId="0" fontId="6" fillId="0" borderId="2" xfId="0" applyNumberFormat="1" applyFont="1" applyFill="1" applyBorder="1" applyAlignment="1">
      <alignment horizontal="center" vertical="center" wrapText="1" shrinkToFit="1"/>
    </xf>
    <xf numFmtId="182" fontId="6" fillId="0" borderId="2" xfId="0" applyNumberFormat="1" applyFont="1" applyFill="1" applyBorder="1" applyAlignment="1">
      <alignment horizontal="center" vertical="center" wrapText="1" shrinkToFit="1"/>
    </xf>
    <xf numFmtId="0" fontId="23" fillId="0" borderId="12" xfId="0" applyNumberFormat="1" applyFont="1" applyFill="1" applyBorder="1" applyAlignment="1">
      <alignment horizontal="center" vertical="center" wrapText="1" shrinkToFit="1"/>
    </xf>
    <xf numFmtId="0" fontId="23" fillId="0" borderId="16" xfId="0" applyFont="1" applyFill="1" applyBorder="1" applyAlignment="1">
      <alignment horizontal="center" vertical="center" wrapText="1" shrinkToFit="1"/>
    </xf>
    <xf numFmtId="0" fontId="31" fillId="0" borderId="12" xfId="0" applyNumberFormat="1" applyFont="1" applyFill="1" applyBorder="1" applyAlignment="1">
      <alignment horizontal="center" vertical="center" wrapText="1" shrinkToFit="1"/>
    </xf>
    <xf numFmtId="186" fontId="32" fillId="0" borderId="12" xfId="0" applyNumberFormat="1" applyFont="1" applyFill="1" applyBorder="1" applyAlignment="1">
      <alignment horizontal="center" vertical="center" wrapText="1" shrinkToFit="1"/>
    </xf>
    <xf numFmtId="186" fontId="32" fillId="0" borderId="16" xfId="0" applyNumberFormat="1" applyFont="1" applyFill="1" applyBorder="1" applyAlignment="1">
      <alignment horizontal="center" vertical="center" wrapText="1" shrinkToFit="1"/>
    </xf>
    <xf numFmtId="182" fontId="23" fillId="0" borderId="12" xfId="0" applyNumberFormat="1" applyFont="1" applyFill="1" applyBorder="1" applyAlignment="1">
      <alignment horizontal="center" vertical="center" wrapText="1" shrinkToFit="1"/>
    </xf>
    <xf numFmtId="0" fontId="33" fillId="0" borderId="2" xfId="0" applyNumberFormat="1" applyFont="1" applyFill="1" applyBorder="1" applyAlignment="1">
      <alignment horizontal="center" vertical="center" wrapText="1" shrinkToFit="1"/>
    </xf>
    <xf numFmtId="186" fontId="33" fillId="0" borderId="2" xfId="0" applyNumberFormat="1" applyFont="1" applyFill="1" applyBorder="1" applyAlignment="1">
      <alignment horizontal="center" vertical="center" wrapText="1" shrinkToFit="1"/>
    </xf>
    <xf numFmtId="0" fontId="32" fillId="0" borderId="2" xfId="0" applyNumberFormat="1" applyFont="1" applyFill="1" applyBorder="1" applyAlignment="1">
      <alignment horizontal="center" vertical="center" wrapText="1" shrinkToFit="1"/>
    </xf>
    <xf numFmtId="186" fontId="34" fillId="0" borderId="2" xfId="0" applyNumberFormat="1" applyFont="1" applyFill="1" applyBorder="1" applyAlignment="1">
      <alignment horizontal="center" vertical="center" wrapText="1" shrinkToFit="1"/>
    </xf>
    <xf numFmtId="0" fontId="18" fillId="0" borderId="14" xfId="0" applyNumberFormat="1" applyFont="1" applyFill="1" applyBorder="1" applyAlignment="1">
      <alignment horizontal="center" vertical="center" wrapText="1" shrinkToFit="1"/>
    </xf>
    <xf numFmtId="0" fontId="35" fillId="0" borderId="14" xfId="0" applyNumberFormat="1" applyFont="1" applyFill="1" applyBorder="1" applyAlignment="1">
      <alignment horizontal="center" vertical="center" wrapText="1" shrinkToFit="1"/>
    </xf>
    <xf numFmtId="186" fontId="36" fillId="0" borderId="14" xfId="0" applyNumberFormat="1" applyFont="1" applyFill="1" applyBorder="1" applyAlignment="1">
      <alignment horizontal="center" vertical="center" wrapText="1" shrinkToFit="1"/>
    </xf>
    <xf numFmtId="182" fontId="18" fillId="0" borderId="14" xfId="0" applyNumberFormat="1" applyFont="1" applyFill="1" applyBorder="1" applyAlignment="1">
      <alignment horizontal="center" vertical="center" wrapText="1" shrinkToFit="1"/>
    </xf>
    <xf numFmtId="0" fontId="18" fillId="0" borderId="14" xfId="0" applyNumberFormat="1" applyFont="1" applyFill="1" applyBorder="1" applyAlignment="1">
      <alignment horizontal="center" vertical="center"/>
    </xf>
    <xf numFmtId="187" fontId="33" fillId="0" borderId="14" xfId="0" applyNumberFormat="1" applyFont="1" applyFill="1" applyBorder="1" applyAlignment="1">
      <alignment horizontal="center" vertical="center" wrapText="1" shrinkToFit="1"/>
    </xf>
    <xf numFmtId="182" fontId="18" fillId="0" borderId="14" xfId="0" applyNumberFormat="1" applyFont="1" applyFill="1" applyBorder="1" applyAlignment="1">
      <alignment horizontal="center" vertical="center"/>
    </xf>
    <xf numFmtId="0" fontId="5" fillId="0" borderId="2" xfId="0" applyNumberFormat="1" applyFont="1" applyFill="1" applyBorder="1" applyAlignment="1">
      <alignment horizontal="center" vertical="center"/>
    </xf>
    <xf numFmtId="183" fontId="5" fillId="0" borderId="14" xfId="0" applyNumberFormat="1" applyFont="1" applyFill="1" applyBorder="1" applyAlignment="1">
      <alignment horizontal="center" vertical="center"/>
    </xf>
    <xf numFmtId="0" fontId="37" fillId="0" borderId="11" xfId="0" applyNumberFormat="1" applyFont="1" applyFill="1" applyBorder="1">
      <alignment vertical="center"/>
    </xf>
    <xf numFmtId="0" fontId="37" fillId="0" borderId="11" xfId="0" applyFont="1" applyFill="1" applyBorder="1">
      <alignment vertical="center"/>
    </xf>
    <xf numFmtId="0" fontId="5" fillId="0" borderId="14" xfId="0" applyFont="1" applyFill="1" applyBorder="1" applyAlignment="1">
      <alignment horizontal="center" vertical="center"/>
    </xf>
    <xf numFmtId="0" fontId="16" fillId="0" borderId="0" xfId="0" applyFont="1" applyFill="1" applyAlignment="1">
      <alignment horizontal="center" vertical="center"/>
    </xf>
    <xf numFmtId="182" fontId="21" fillId="0" borderId="0" xfId="0" applyNumberFormat="1" applyFont="1" applyFill="1" applyAlignment="1">
      <alignment vertical="center"/>
    </xf>
    <xf numFmtId="0" fontId="38" fillId="0" borderId="0" xfId="0" applyNumberFormat="1" applyFont="1" applyFill="1" applyAlignment="1">
      <alignment horizontal="left" vertical="center" wrapText="1"/>
    </xf>
    <xf numFmtId="182" fontId="13" fillId="0" borderId="6" xfId="0" applyNumberFormat="1" applyFont="1" applyFill="1" applyBorder="1" applyAlignment="1">
      <alignment horizontal="center" vertical="center"/>
    </xf>
    <xf numFmtId="182" fontId="21" fillId="0" borderId="6" xfId="0" applyNumberFormat="1" applyFont="1" applyFill="1" applyBorder="1" applyAlignment="1">
      <alignment horizontal="center" vertical="center"/>
    </xf>
    <xf numFmtId="182" fontId="21" fillId="0" borderId="7" xfId="0" applyNumberFormat="1" applyFont="1" applyFill="1" applyBorder="1" applyAlignment="1">
      <alignment horizontal="center" vertical="center"/>
    </xf>
    <xf numFmtId="182" fontId="21" fillId="0" borderId="0" xfId="0" applyNumberFormat="1" applyFont="1" applyFill="1" applyAlignment="1">
      <alignment horizontal="center" vertical="center"/>
    </xf>
    <xf numFmtId="182" fontId="21" fillId="0" borderId="2" xfId="0" applyNumberFormat="1" applyFont="1" applyFill="1" applyBorder="1" applyAlignment="1">
      <alignment horizontal="center" vertical="center" wrapText="1"/>
    </xf>
    <xf numFmtId="182" fontId="39" fillId="0" borderId="2" xfId="0" applyNumberFormat="1" applyFont="1" applyFill="1" applyBorder="1" applyAlignment="1">
      <alignment horizontal="center" vertical="center" wrapText="1"/>
    </xf>
    <xf numFmtId="0" fontId="40" fillId="0" borderId="0" xfId="0" applyNumberFormat="1" applyFont="1" applyFill="1" applyAlignment="1">
      <alignment horizontal="left" vertical="center" wrapText="1" shrinkToFit="1"/>
    </xf>
    <xf numFmtId="182" fontId="41" fillId="0" borderId="2" xfId="0" applyNumberFormat="1" applyFont="1" applyFill="1" applyBorder="1" applyAlignment="1">
      <alignment horizontal="left" vertical="center" wrapText="1" shrinkToFit="1"/>
    </xf>
    <xf numFmtId="182" fontId="6" fillId="0" borderId="2" xfId="0" applyNumberFormat="1" applyFont="1" applyFill="1" applyBorder="1" applyAlignment="1">
      <alignment horizontal="center" vertical="center" wrapText="1"/>
    </xf>
    <xf numFmtId="0" fontId="42" fillId="0" borderId="2" xfId="0" applyNumberFormat="1" applyFont="1" applyFill="1" applyBorder="1" applyAlignment="1">
      <alignment horizontal="left" vertical="center" wrapText="1" shrinkToFit="1"/>
    </xf>
    <xf numFmtId="182" fontId="23" fillId="0" borderId="16" xfId="0" applyNumberFormat="1" applyFont="1" applyFill="1" applyBorder="1" applyAlignment="1">
      <alignment horizontal="center" vertical="center" wrapText="1" shrinkToFit="1"/>
    </xf>
    <xf numFmtId="182" fontId="23" fillId="0" borderId="16" xfId="0" applyNumberFormat="1" applyFont="1" applyFill="1" applyBorder="1" applyAlignment="1">
      <alignment horizontal="center" vertical="center" wrapText="1"/>
    </xf>
    <xf numFmtId="0" fontId="43" fillId="0" borderId="0" xfId="0" applyNumberFormat="1" applyFont="1" applyFill="1" applyAlignment="1">
      <alignment horizontal="left" vertical="center" wrapText="1" shrinkToFit="1"/>
    </xf>
    <xf numFmtId="0" fontId="6" fillId="0" borderId="0" xfId="0" applyFont="1" applyFill="1" applyAlignment="1">
      <alignment horizontal="center" vertical="center"/>
    </xf>
    <xf numFmtId="0" fontId="24" fillId="0" borderId="2" xfId="0" applyNumberFormat="1" applyFont="1" applyFill="1" applyBorder="1" applyAlignment="1">
      <alignment horizontal="left" vertical="center" wrapText="1" shrinkToFit="1"/>
    </xf>
    <xf numFmtId="58" fontId="24" fillId="0" borderId="2" xfId="0" applyNumberFormat="1" applyFont="1" applyFill="1" applyBorder="1" applyAlignment="1">
      <alignment horizontal="left" vertical="center" wrapText="1" shrinkToFit="1"/>
    </xf>
    <xf numFmtId="182" fontId="18" fillId="0" borderId="14" xfId="0" applyNumberFormat="1" applyFont="1" applyFill="1" applyBorder="1" applyAlignment="1">
      <alignment horizontal="center" vertical="center" wrapText="1"/>
    </xf>
    <xf numFmtId="58" fontId="42" fillId="0" borderId="0" xfId="0" applyNumberFormat="1" applyFont="1" applyFill="1" applyAlignment="1">
      <alignment horizontal="left" vertical="center" wrapText="1" shrinkToFit="1"/>
    </xf>
    <xf numFmtId="182" fontId="6" fillId="0" borderId="14" xfId="0" applyNumberFormat="1" applyFont="1" applyFill="1" applyBorder="1" applyAlignment="1">
      <alignment horizontal="center" vertical="center"/>
    </xf>
    <xf numFmtId="182" fontId="19" fillId="0" borderId="14" xfId="0" applyNumberFormat="1" applyFont="1" applyFill="1" applyBorder="1" applyAlignment="1">
      <alignment horizontal="center" vertical="center"/>
    </xf>
    <xf numFmtId="0" fontId="9" fillId="0" borderId="0" xfId="0" applyFont="1" applyFill="1" applyAlignment="1">
      <alignment horizontal="center" vertical="center"/>
    </xf>
    <xf numFmtId="0" fontId="5" fillId="0" borderId="0" xfId="0" applyFont="1" applyFill="1" applyBorder="1" applyAlignment="1">
      <alignment horizontal="center" vertical="center" wrapText="1" shrinkToFit="1"/>
    </xf>
    <xf numFmtId="182" fontId="6" fillId="0" borderId="14" xfId="0" applyNumberFormat="1" applyFont="1" applyFill="1" applyBorder="1" applyAlignment="1">
      <alignment horizontal="center" vertical="center" wrapText="1" shrinkToFit="1"/>
    </xf>
    <xf numFmtId="0" fontId="6" fillId="0" borderId="14" xfId="0" applyNumberFormat="1" applyFont="1" applyFill="1" applyBorder="1" applyAlignment="1">
      <alignment horizontal="center" vertical="center" wrapText="1"/>
    </xf>
    <xf numFmtId="0" fontId="6" fillId="0" borderId="0" xfId="0" applyFont="1" applyFill="1" applyAlignment="1">
      <alignment horizontal="center" vertical="center" wrapText="1" shrinkToFit="1"/>
    </xf>
    <xf numFmtId="0" fontId="18" fillId="0" borderId="0" xfId="0" applyFont="1" applyFill="1" applyAlignment="1">
      <alignment horizontal="center" vertical="center" wrapText="1" shrinkToFit="1"/>
    </xf>
    <xf numFmtId="0" fontId="18" fillId="0" borderId="0" xfId="0" applyFont="1" applyFill="1">
      <alignment vertical="center"/>
    </xf>
    <xf numFmtId="0" fontId="6" fillId="0" borderId="0" xfId="0" applyFont="1" applyFill="1">
      <alignment vertical="center"/>
    </xf>
    <xf numFmtId="0" fontId="0" fillId="0" borderId="0" xfId="0" applyFill="1">
      <alignment vertical="center"/>
    </xf>
    <xf numFmtId="0" fontId="6" fillId="0" borderId="2" xfId="0" applyFont="1" applyFill="1" applyBorder="1">
      <alignment vertical="center"/>
    </xf>
    <xf numFmtId="0" fontId="5" fillId="0" borderId="0" xfId="0" applyFont="1" applyFill="1" applyAlignment="1">
      <alignment horizontal="center" vertical="center" shrinkToFit="1"/>
    </xf>
    <xf numFmtId="192" fontId="8" fillId="0" borderId="11" xfId="0" applyNumberFormat="1" applyFont="1" applyFill="1" applyBorder="1" applyAlignment="1">
      <alignment horizontal="center" vertical="center"/>
    </xf>
    <xf numFmtId="0" fontId="17" fillId="0" borderId="11" xfId="0" applyFont="1" applyFill="1" applyBorder="1" applyAlignment="1">
      <alignment horizontal="center" vertical="center" wrapText="1"/>
    </xf>
    <xf numFmtId="0" fontId="10" fillId="0" borderId="2" xfId="0" applyFont="1" applyFill="1" applyBorder="1" applyAlignment="1">
      <alignment horizontal="center" vertical="center" shrinkToFit="1"/>
    </xf>
    <xf numFmtId="183" fontId="6" fillId="0" borderId="2" xfId="0" applyNumberFormat="1" applyFont="1" applyFill="1" applyBorder="1" applyAlignment="1">
      <alignment horizontal="center" vertical="center"/>
    </xf>
    <xf numFmtId="49" fontId="6" fillId="0" borderId="2" xfId="0" applyNumberFormat="1" applyFont="1" applyFill="1" applyBorder="1" applyAlignment="1">
      <alignment horizontal="center" vertical="center"/>
    </xf>
    <xf numFmtId="0" fontId="6" fillId="0" borderId="3" xfId="0" applyFont="1" applyFill="1" applyBorder="1" applyAlignment="1">
      <alignment horizontal="center" vertical="center"/>
    </xf>
    <xf numFmtId="0" fontId="5" fillId="0" borderId="2" xfId="0" applyFont="1" applyFill="1" applyBorder="1" applyAlignment="1">
      <alignment horizontal="center" vertical="center" shrinkToFit="1"/>
    </xf>
    <xf numFmtId="0" fontId="5" fillId="5" borderId="0" xfId="0" applyFont="1" applyFill="1" applyAlignment="1">
      <alignment horizontal="center" vertical="center" shrinkToFit="1"/>
    </xf>
    <xf numFmtId="0" fontId="5" fillId="5" borderId="0" xfId="0" applyFont="1" applyFill="1" applyAlignment="1">
      <alignment horizontal="center" vertical="center" wrapText="1"/>
    </xf>
    <xf numFmtId="0" fontId="24" fillId="0" borderId="2" xfId="0" applyFont="1" applyFill="1" applyBorder="1" applyAlignment="1">
      <alignment horizontal="center" vertical="center"/>
    </xf>
    <xf numFmtId="193" fontId="6" fillId="0" borderId="2" xfId="0" applyNumberFormat="1" applyFont="1" applyFill="1" applyBorder="1" applyAlignment="1">
      <alignment horizontal="center" vertical="center"/>
    </xf>
    <xf numFmtId="183" fontId="6" fillId="0" borderId="2" xfId="0" applyNumberFormat="1" applyFont="1" applyFill="1" applyBorder="1" applyAlignment="1">
      <alignment horizontal="center" vertical="center" wrapText="1"/>
    </xf>
    <xf numFmtId="7" fontId="10" fillId="5" borderId="0" xfId="0" applyNumberFormat="1" applyFont="1" applyFill="1" applyAlignment="1">
      <alignment horizontal="center" vertical="center"/>
    </xf>
    <xf numFmtId="0" fontId="7" fillId="0" borderId="0" xfId="0" applyFont="1" applyFill="1" applyAlignment="1">
      <alignment vertical="center" shrinkToFit="1"/>
    </xf>
    <xf numFmtId="0" fontId="10" fillId="0" borderId="0" xfId="0" applyFont="1" applyFill="1" applyAlignment="1">
      <alignment horizontal="center" vertical="center" shrinkToFit="1"/>
    </xf>
    <xf numFmtId="0" fontId="11" fillId="0" borderId="2" xfId="0" applyFont="1" applyFill="1" applyBorder="1" applyAlignment="1">
      <alignment horizontal="center" vertical="center" shrinkToFit="1"/>
    </xf>
    <xf numFmtId="58" fontId="24" fillId="0" borderId="2" xfId="0" applyNumberFormat="1" applyFont="1" applyFill="1" applyBorder="1" applyAlignment="1">
      <alignment horizontal="center" vertical="center" shrinkToFit="1"/>
    </xf>
    <xf numFmtId="183" fontId="24" fillId="0" borderId="2" xfId="0" applyNumberFormat="1" applyFont="1" applyFill="1" applyBorder="1" applyAlignment="1">
      <alignment horizontal="center" vertical="center"/>
    </xf>
    <xf numFmtId="183" fontId="24" fillId="0" borderId="2" xfId="0" applyNumberFormat="1" applyFont="1" applyFill="1" applyBorder="1" applyAlignment="1">
      <alignment horizontal="center" vertical="center" wrapText="1"/>
    </xf>
    <xf numFmtId="182" fontId="11" fillId="0" borderId="2" xfId="0" applyNumberFormat="1" applyFont="1" applyFill="1" applyBorder="1" applyAlignment="1">
      <alignment horizontal="center" vertical="center"/>
    </xf>
    <xf numFmtId="182" fontId="10" fillId="0" borderId="2" xfId="0" applyNumberFormat="1" applyFont="1" applyFill="1" applyBorder="1" applyAlignment="1">
      <alignment horizontal="center" vertical="center"/>
    </xf>
    <xf numFmtId="182" fontId="11" fillId="0" borderId="7" xfId="0" applyNumberFormat="1" applyFont="1" applyFill="1" applyBorder="1" applyAlignment="1">
      <alignment horizontal="center" vertical="center"/>
    </xf>
    <xf numFmtId="0" fontId="6" fillId="0" borderId="2" xfId="0" applyNumberFormat="1" applyFont="1" applyFill="1" applyBorder="1" applyAlignment="1">
      <alignment horizontal="center" vertical="center" wrapText="1"/>
    </xf>
    <xf numFmtId="49" fontId="6" fillId="0" borderId="2" xfId="0" applyNumberFormat="1" applyFont="1" applyFill="1" applyBorder="1" applyAlignment="1">
      <alignment horizontal="center" vertical="center" wrapText="1"/>
    </xf>
    <xf numFmtId="0" fontId="24" fillId="0" borderId="2" xfId="0" applyNumberFormat="1" applyFont="1" applyFill="1" applyBorder="1" applyAlignment="1">
      <alignment horizontal="center" vertical="center" wrapText="1"/>
    </xf>
    <xf numFmtId="0" fontId="24" fillId="0" borderId="12" xfId="0" applyNumberFormat="1" applyFont="1" applyFill="1" applyBorder="1" applyAlignment="1">
      <alignment horizontal="center" vertical="center" wrapText="1"/>
    </xf>
    <xf numFmtId="0" fontId="24" fillId="0" borderId="16" xfId="0" applyNumberFormat="1" applyFont="1" applyFill="1" applyBorder="1" applyAlignment="1">
      <alignment horizontal="center" vertical="center" wrapText="1"/>
    </xf>
    <xf numFmtId="0" fontId="24" fillId="0" borderId="14" xfId="0" applyNumberFormat="1" applyFont="1" applyFill="1" applyBorder="1" applyAlignment="1">
      <alignment horizontal="center" vertical="center" wrapText="1"/>
    </xf>
    <xf numFmtId="0" fontId="5" fillId="0" borderId="0" xfId="0" applyFont="1" applyAlignment="1">
      <alignment horizontal="center" vertical="center"/>
    </xf>
    <xf numFmtId="0" fontId="5" fillId="7" borderId="0" xfId="0" applyFont="1" applyFill="1" applyAlignment="1">
      <alignment horizontal="center" vertical="center"/>
    </xf>
    <xf numFmtId="0" fontId="44" fillId="5" borderId="3" xfId="0" applyFont="1" applyFill="1" applyBorder="1" applyAlignment="1">
      <alignment horizontal="center" vertical="center"/>
    </xf>
    <xf numFmtId="0" fontId="44" fillId="5" borderId="6" xfId="0" applyFont="1" applyFill="1" applyBorder="1" applyAlignment="1">
      <alignment horizontal="center" vertical="center"/>
    </xf>
    <xf numFmtId="0" fontId="5" fillId="0" borderId="2" xfId="0" applyFont="1" applyBorder="1" applyAlignment="1">
      <alignment horizontal="center" vertical="center"/>
    </xf>
    <xf numFmtId="0" fontId="14" fillId="0" borderId="2" xfId="0" applyFont="1" applyBorder="1" applyAlignment="1">
      <alignment horizontal="center" vertical="center"/>
    </xf>
    <xf numFmtId="0" fontId="5" fillId="8" borderId="2" xfId="0" applyFont="1" applyFill="1" applyBorder="1" applyAlignment="1">
      <alignment horizontal="center" vertical="center" wrapText="1"/>
    </xf>
    <xf numFmtId="0" fontId="5" fillId="0" borderId="3" xfId="0" applyFont="1" applyBorder="1" applyAlignment="1">
      <alignment horizontal="center" vertical="center"/>
    </xf>
    <xf numFmtId="0" fontId="5" fillId="0" borderId="6" xfId="0" applyFont="1" applyBorder="1" applyAlignment="1">
      <alignment horizontal="center" vertical="center"/>
    </xf>
    <xf numFmtId="0" fontId="5" fillId="0" borderId="2" xfId="157" applyFont="1" applyBorder="1" applyAlignment="1">
      <alignment horizontal="center" vertical="center" wrapText="1"/>
    </xf>
    <xf numFmtId="0" fontId="14" fillId="0" borderId="2" xfId="157" applyFont="1" applyBorder="1" applyAlignment="1">
      <alignment horizontal="center" vertical="center" wrapText="1"/>
    </xf>
    <xf numFmtId="0" fontId="5" fillId="0" borderId="3" xfId="157" applyFont="1" applyBorder="1" applyAlignment="1">
      <alignment horizontal="center" vertical="center" wrapText="1"/>
    </xf>
    <xf numFmtId="0" fontId="5" fillId="0" borderId="6" xfId="157" applyFont="1" applyBorder="1" applyAlignment="1">
      <alignment horizontal="center" vertical="center" wrapText="1"/>
    </xf>
    <xf numFmtId="187" fontId="5" fillId="0" borderId="2" xfId="0" applyNumberFormat="1" applyFont="1" applyBorder="1" applyAlignment="1">
      <alignment horizontal="center" vertical="center"/>
    </xf>
    <xf numFmtId="0" fontId="5" fillId="8" borderId="2" xfId="0" applyFont="1" applyFill="1" applyBorder="1" applyAlignment="1">
      <alignment horizontal="center" vertical="center"/>
    </xf>
    <xf numFmtId="0" fontId="5" fillId="6" borderId="2" xfId="0" applyFont="1" applyFill="1" applyBorder="1" applyAlignment="1">
      <alignment horizontal="center" vertical="center"/>
    </xf>
    <xf numFmtId="0" fontId="19" fillId="0" borderId="2" xfId="0" applyFont="1" applyBorder="1" applyAlignment="1">
      <alignment horizontal="center" vertical="center"/>
    </xf>
    <xf numFmtId="58" fontId="5" fillId="0" borderId="2" xfId="0" applyNumberFormat="1" applyFont="1" applyBorder="1" applyAlignment="1">
      <alignment horizontal="center" vertical="center"/>
    </xf>
    <xf numFmtId="0" fontId="44" fillId="5" borderId="17" xfId="0" applyFont="1" applyFill="1" applyBorder="1" applyAlignment="1">
      <alignment horizontal="center" vertical="center"/>
    </xf>
    <xf numFmtId="0" fontId="44" fillId="5" borderId="7" xfId="0" applyFont="1" applyFill="1" applyBorder="1" applyAlignment="1">
      <alignment horizontal="center" vertical="center"/>
    </xf>
    <xf numFmtId="0" fontId="5" fillId="0" borderId="7" xfId="0" applyFont="1" applyBorder="1" applyAlignment="1">
      <alignment horizontal="center" vertical="center"/>
    </xf>
    <xf numFmtId="0" fontId="14" fillId="9" borderId="2" xfId="0" applyFont="1" applyFill="1" applyBorder="1" applyAlignment="1">
      <alignment horizontal="center" vertical="center"/>
    </xf>
    <xf numFmtId="0" fontId="14" fillId="0" borderId="2" xfId="0" applyFont="1" applyBorder="1" applyAlignment="1">
      <alignment horizontal="center" vertical="center" wrapText="1"/>
    </xf>
    <xf numFmtId="0" fontId="5" fillId="9" borderId="2" xfId="0" applyFont="1" applyFill="1" applyBorder="1" applyAlignment="1">
      <alignment horizontal="center" vertical="center"/>
    </xf>
    <xf numFmtId="0" fontId="5" fillId="0" borderId="2" xfId="0" applyFont="1" applyBorder="1" applyAlignment="1">
      <alignment horizontal="center" vertical="center" wrapText="1"/>
    </xf>
    <xf numFmtId="0" fontId="5" fillId="0" borderId="7" xfId="157" applyFont="1" applyBorder="1" applyAlignment="1">
      <alignment horizontal="center" vertical="center" wrapText="1"/>
    </xf>
    <xf numFmtId="0" fontId="5" fillId="0" borderId="3"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0" borderId="7" xfId="0" applyFont="1" applyFill="1" applyBorder="1" applyAlignment="1">
      <alignment horizontal="center" vertical="center" wrapText="1"/>
    </xf>
    <xf numFmtId="58" fontId="5" fillId="6" borderId="2" xfId="0" applyNumberFormat="1" applyFont="1" applyFill="1" applyBorder="1" applyAlignment="1">
      <alignment horizontal="center" vertical="center"/>
    </xf>
    <xf numFmtId="58" fontId="5" fillId="0" borderId="0" xfId="0" applyNumberFormat="1" applyFont="1" applyAlignment="1">
      <alignment horizontal="center" vertical="center"/>
    </xf>
    <xf numFmtId="14" fontId="5" fillId="0" borderId="2" xfId="0" applyNumberFormat="1" applyFont="1" applyBorder="1" applyAlignment="1">
      <alignment horizontal="center" vertical="center"/>
    </xf>
    <xf numFmtId="194" fontId="5" fillId="0" borderId="2" xfId="0" applyNumberFormat="1" applyFont="1" applyBorder="1" applyAlignment="1">
      <alignment horizontal="center" vertical="center"/>
    </xf>
    <xf numFmtId="0" fontId="44" fillId="4" borderId="0" xfId="0" applyFont="1" applyFill="1" applyAlignment="1">
      <alignment horizontal="center" vertical="center"/>
    </xf>
    <xf numFmtId="0" fontId="5" fillId="0" borderId="14" xfId="0" applyFont="1" applyBorder="1" applyAlignment="1">
      <alignment horizontal="center" vertical="center"/>
    </xf>
    <xf numFmtId="0" fontId="14" fillId="0" borderId="14" xfId="0" applyFont="1" applyBorder="1" applyAlignment="1">
      <alignment horizontal="center" vertical="center"/>
    </xf>
    <xf numFmtId="0" fontId="14" fillId="0" borderId="0" xfId="0" applyFont="1" applyAlignment="1">
      <alignment horizontal="center" vertical="center"/>
    </xf>
    <xf numFmtId="0" fontId="19" fillId="0" borderId="2" xfId="0" applyFont="1" applyBorder="1" applyAlignment="1">
      <alignment horizontal="left" vertical="center"/>
    </xf>
    <xf numFmtId="187" fontId="19" fillId="0" borderId="2" xfId="0" applyNumberFormat="1" applyFont="1" applyBorder="1" applyAlignment="1">
      <alignment horizontal="center" vertical="center"/>
    </xf>
    <xf numFmtId="0" fontId="14" fillId="0" borderId="0" xfId="0" applyFont="1" applyAlignment="1">
      <alignment horizontal="left" vertical="center"/>
    </xf>
    <xf numFmtId="0" fontId="5" fillId="0" borderId="0" xfId="0" applyFont="1" applyAlignment="1">
      <alignment horizontal="left" vertical="center"/>
    </xf>
    <xf numFmtId="58" fontId="14" fillId="0" borderId="2" xfId="0" applyNumberFormat="1" applyFont="1" applyBorder="1" applyAlignment="1">
      <alignment horizontal="center" vertical="center"/>
    </xf>
    <xf numFmtId="0" fontId="5" fillId="10" borderId="2" xfId="0" applyFont="1" applyFill="1" applyBorder="1" applyAlignment="1">
      <alignment horizontal="center" vertical="center"/>
    </xf>
    <xf numFmtId="0" fontId="19" fillId="0" borderId="0" xfId="0" applyFont="1" applyAlignment="1">
      <alignment horizontal="left" vertical="center"/>
    </xf>
    <xf numFmtId="0" fontId="45" fillId="0" borderId="0" xfId="0" applyFont="1" applyAlignment="1">
      <alignment horizontal="left" vertical="center"/>
    </xf>
    <xf numFmtId="187" fontId="5" fillId="0" borderId="2" xfId="0" applyNumberFormat="1" applyFont="1" applyFill="1" applyBorder="1" applyAlignment="1">
      <alignment horizontal="center" vertical="center"/>
    </xf>
    <xf numFmtId="0" fontId="19" fillId="0" borderId="2" xfId="0" applyFont="1" applyFill="1" applyBorder="1" applyAlignment="1">
      <alignment horizontal="center" vertical="center"/>
    </xf>
    <xf numFmtId="58" fontId="5" fillId="0" borderId="2" xfId="0" applyNumberFormat="1" applyFont="1" applyFill="1" applyBorder="1" applyAlignment="1">
      <alignment horizontal="center" vertical="center"/>
    </xf>
    <xf numFmtId="195" fontId="46" fillId="0" borderId="2" xfId="0" applyNumberFormat="1" applyFont="1" applyFill="1" applyBorder="1" applyAlignment="1">
      <alignment horizontal="center" vertical="center"/>
    </xf>
    <xf numFmtId="14" fontId="5" fillId="0" borderId="2" xfId="0" applyNumberFormat="1" applyFont="1" applyFill="1" applyBorder="1" applyAlignment="1">
      <alignment horizontal="center" vertical="center"/>
    </xf>
    <xf numFmtId="195" fontId="47" fillId="0" borderId="2" xfId="155" applyNumberFormat="1" applyFont="1" applyFill="1" applyBorder="1" applyAlignment="1">
      <alignment vertical="center"/>
    </xf>
    <xf numFmtId="0" fontId="48" fillId="0" borderId="2" xfId="0" applyFont="1" applyFill="1" applyBorder="1" applyAlignment="1">
      <alignment horizontal="center" vertical="center"/>
    </xf>
    <xf numFmtId="3" fontId="5" fillId="0" borderId="2" xfId="0" applyNumberFormat="1" applyFont="1" applyFill="1" applyBorder="1" applyAlignment="1">
      <alignment horizontal="center" vertical="center"/>
    </xf>
    <xf numFmtId="187" fontId="48" fillId="0" borderId="2" xfId="0" applyNumberFormat="1" applyFont="1" applyFill="1" applyBorder="1" applyAlignment="1">
      <alignment horizontal="center" vertical="center"/>
    </xf>
    <xf numFmtId="0" fontId="5" fillId="7" borderId="2" xfId="0" applyFont="1" applyFill="1" applyBorder="1" applyAlignment="1">
      <alignment horizontal="center" vertical="center"/>
    </xf>
    <xf numFmtId="187" fontId="5" fillId="7" borderId="2" xfId="0" applyNumberFormat="1" applyFont="1" applyFill="1" applyBorder="1" applyAlignment="1">
      <alignment horizontal="center" vertical="center"/>
    </xf>
    <xf numFmtId="0" fontId="48" fillId="7" borderId="2" xfId="0" applyFont="1" applyFill="1" applyBorder="1" applyAlignment="1">
      <alignment horizontal="center" vertical="center"/>
    </xf>
    <xf numFmtId="0" fontId="49" fillId="0" borderId="2" xfId="0" applyFont="1" applyFill="1" applyBorder="1" applyAlignment="1">
      <alignment horizontal="center" vertical="center"/>
    </xf>
    <xf numFmtId="0" fontId="5" fillId="4" borderId="2" xfId="0" applyFont="1" applyFill="1" applyBorder="1" applyAlignment="1">
      <alignment horizontal="center" vertical="center"/>
    </xf>
    <xf numFmtId="0" fontId="49"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6" xfId="0" applyFont="1" applyFill="1" applyBorder="1" applyAlignment="1">
      <alignment horizontal="center" vertical="center"/>
    </xf>
    <xf numFmtId="0" fontId="5" fillId="4" borderId="7" xfId="0" applyFont="1" applyFill="1" applyBorder="1" applyAlignment="1">
      <alignment horizontal="center" vertical="center"/>
    </xf>
    <xf numFmtId="0" fontId="5" fillId="0" borderId="6" xfId="0" applyFont="1" applyFill="1" applyBorder="1" applyAlignment="1">
      <alignment horizontal="center" vertical="center"/>
    </xf>
    <xf numFmtId="0" fontId="5" fillId="0" borderId="7" xfId="0" applyFont="1" applyFill="1" applyBorder="1" applyAlignment="1">
      <alignment horizontal="center" vertical="center"/>
    </xf>
    <xf numFmtId="58" fontId="14" fillId="0" borderId="0" xfId="0" applyNumberFormat="1" applyFont="1" applyAlignment="1">
      <alignment horizontal="center" vertical="center"/>
    </xf>
    <xf numFmtId="0" fontId="45" fillId="0" borderId="0" xfId="0" applyFont="1" applyAlignment="1">
      <alignment horizontal="center" vertical="center"/>
    </xf>
    <xf numFmtId="14" fontId="14" fillId="0" borderId="0" xfId="0" applyNumberFormat="1" applyFont="1" applyFill="1" applyAlignment="1">
      <alignment horizontal="center" vertical="center"/>
    </xf>
    <xf numFmtId="0" fontId="14" fillId="0" borderId="0" xfId="0" applyFont="1" applyFill="1" applyAlignment="1">
      <alignment horizontal="center" vertical="center"/>
    </xf>
    <xf numFmtId="14" fontId="49" fillId="0" borderId="0" xfId="0" applyNumberFormat="1" applyFont="1" applyAlignment="1">
      <alignment horizontal="center" vertical="center"/>
    </xf>
    <xf numFmtId="0" fontId="49" fillId="0" borderId="0" xfId="0" applyFont="1" applyAlignment="1">
      <alignment horizontal="center" vertical="center"/>
    </xf>
    <xf numFmtId="14" fontId="49" fillId="0" borderId="0" xfId="0" applyNumberFormat="1" applyFont="1" applyFill="1" applyAlignment="1">
      <alignment horizontal="center" vertical="center"/>
    </xf>
    <xf numFmtId="0" fontId="50" fillId="0" borderId="0" xfId="0" applyFont="1" applyAlignment="1">
      <alignment horizontal="center" vertical="center"/>
    </xf>
    <xf numFmtId="0" fontId="50" fillId="0" borderId="0" xfId="0" applyFont="1" applyFill="1" applyAlignment="1">
      <alignment horizontal="center" vertical="center"/>
    </xf>
    <xf numFmtId="187" fontId="5" fillId="0" borderId="0" xfId="0" applyNumberFormat="1" applyFont="1" applyFill="1" applyAlignment="1">
      <alignment horizontal="center" vertical="center"/>
    </xf>
    <xf numFmtId="187" fontId="50" fillId="0" borderId="0" xfId="0" applyNumberFormat="1" applyFont="1" applyFill="1" applyAlignment="1">
      <alignment horizontal="center" vertical="center"/>
    </xf>
    <xf numFmtId="0" fontId="19" fillId="7" borderId="2" xfId="0" applyFont="1" applyFill="1" applyBorder="1" applyAlignment="1">
      <alignment horizontal="center" vertical="center"/>
    </xf>
    <xf numFmtId="0" fontId="14" fillId="4" borderId="2" xfId="0" applyFont="1" applyFill="1" applyBorder="1" applyAlignment="1">
      <alignment horizontal="center" vertical="center"/>
    </xf>
    <xf numFmtId="187" fontId="5" fillId="4" borderId="2" xfId="0" applyNumberFormat="1" applyFont="1" applyFill="1" applyBorder="1" applyAlignment="1">
      <alignment horizontal="center" vertical="center"/>
    </xf>
    <xf numFmtId="0" fontId="19" fillId="4" borderId="2" xfId="0" applyFont="1" applyFill="1" applyBorder="1" applyAlignment="1">
      <alignment horizontal="center" vertical="center"/>
    </xf>
    <xf numFmtId="0" fontId="5" fillId="5" borderId="2" xfId="0" applyFont="1" applyFill="1" applyBorder="1" applyAlignment="1">
      <alignment horizontal="center" vertical="center"/>
    </xf>
    <xf numFmtId="0" fontId="48" fillId="5" borderId="2" xfId="0" applyFont="1" applyFill="1" applyBorder="1" applyAlignment="1">
      <alignment horizontal="center" vertical="center"/>
    </xf>
    <xf numFmtId="196" fontId="5" fillId="5" borderId="2" xfId="0" applyNumberFormat="1" applyFont="1" applyFill="1" applyBorder="1" applyAlignment="1">
      <alignment horizontal="center" vertical="center"/>
    </xf>
    <xf numFmtId="196" fontId="48" fillId="5" borderId="2" xfId="0" applyNumberFormat="1" applyFont="1" applyFill="1" applyBorder="1" applyAlignment="1">
      <alignment horizontal="center" vertical="center"/>
    </xf>
    <xf numFmtId="0" fontId="14" fillId="5" borderId="2" xfId="0" applyFont="1" applyFill="1" applyBorder="1" applyAlignment="1">
      <alignment horizontal="center" vertical="center"/>
    </xf>
    <xf numFmtId="0" fontId="5" fillId="5" borderId="2" xfId="0" applyFont="1" applyFill="1" applyBorder="1" applyAlignment="1">
      <alignment horizontal="center" vertical="center" wrapText="1"/>
    </xf>
    <xf numFmtId="0" fontId="5" fillId="5" borderId="2" xfId="0" applyFont="1" applyFill="1" applyBorder="1" applyAlignment="1">
      <alignment vertical="center"/>
    </xf>
    <xf numFmtId="196" fontId="5" fillId="0" borderId="2" xfId="0" applyNumberFormat="1" applyFont="1" applyFill="1" applyBorder="1" applyAlignment="1">
      <alignment horizontal="center" vertical="center"/>
    </xf>
    <xf numFmtId="197" fontId="5" fillId="5" borderId="2" xfId="0" applyNumberFormat="1" applyFont="1" applyFill="1" applyBorder="1" applyAlignment="1">
      <alignment horizontal="center" vertical="center"/>
    </xf>
    <xf numFmtId="0" fontId="5" fillId="5" borderId="3" xfId="0" applyFont="1" applyFill="1" applyBorder="1" applyAlignment="1">
      <alignment horizontal="center" vertical="center"/>
    </xf>
    <xf numFmtId="0" fontId="5" fillId="5" borderId="6" xfId="0" applyFont="1" applyFill="1" applyBorder="1" applyAlignment="1">
      <alignment horizontal="center" vertical="center"/>
    </xf>
    <xf numFmtId="0" fontId="5" fillId="5" borderId="7" xfId="0" applyFont="1" applyFill="1" applyBorder="1" applyAlignment="1">
      <alignment horizontal="center" vertical="center"/>
    </xf>
    <xf numFmtId="0" fontId="5" fillId="8" borderId="6" xfId="0" applyFont="1" applyFill="1" applyBorder="1" applyAlignment="1">
      <alignment horizontal="center" vertical="center"/>
    </xf>
    <xf numFmtId="198" fontId="5" fillId="0" borderId="0" xfId="0" applyNumberFormat="1" applyFont="1" applyAlignment="1">
      <alignment horizontal="center" vertical="center"/>
    </xf>
    <xf numFmtId="199" fontId="5" fillId="0" borderId="0" xfId="0" applyNumberFormat="1" applyFont="1" applyAlignment="1">
      <alignment horizontal="center" vertical="center"/>
    </xf>
    <xf numFmtId="0" fontId="47" fillId="6" borderId="12" xfId="0" applyFont="1" applyFill="1" applyBorder="1" applyAlignment="1">
      <alignment horizontal="center" vertical="center" wrapText="1"/>
    </xf>
    <xf numFmtId="0" fontId="47" fillId="6" borderId="16" xfId="0" applyFont="1" applyFill="1" applyBorder="1" applyAlignment="1">
      <alignment horizontal="center" vertical="center" wrapText="1"/>
    </xf>
    <xf numFmtId="0" fontId="47" fillId="6" borderId="14" xfId="0" applyFont="1" applyFill="1" applyBorder="1" applyAlignment="1">
      <alignment horizontal="center" vertical="center" wrapText="1"/>
    </xf>
    <xf numFmtId="14" fontId="5" fillId="7" borderId="2" xfId="0" applyNumberFormat="1" applyFont="1" applyFill="1" applyBorder="1" applyAlignment="1">
      <alignment horizontal="center" vertical="center"/>
    </xf>
    <xf numFmtId="0" fontId="14" fillId="7" borderId="0" xfId="0" applyFont="1" applyFill="1" applyAlignment="1">
      <alignment horizontal="center" vertical="center"/>
    </xf>
    <xf numFmtId="0" fontId="48" fillId="7" borderId="0" xfId="0" applyFont="1" applyFill="1" applyAlignment="1">
      <alignment horizontal="center" vertical="center"/>
    </xf>
    <xf numFmtId="200" fontId="5" fillId="0" borderId="0" xfId="0" applyNumberFormat="1" applyFont="1" applyAlignment="1">
      <alignment horizontal="center" vertical="center"/>
    </xf>
    <xf numFmtId="0" fontId="14" fillId="0" borderId="0" xfId="0" applyFont="1" applyFill="1" applyBorder="1" applyAlignment="1">
      <alignment horizontal="center" vertical="center"/>
    </xf>
    <xf numFmtId="200" fontId="5" fillId="0" borderId="0" xfId="0" applyNumberFormat="1" applyFont="1" applyBorder="1" applyAlignment="1">
      <alignment horizontal="center" vertical="center"/>
    </xf>
    <xf numFmtId="0" fontId="14" fillId="0" borderId="0" xfId="0" applyFont="1" applyBorder="1" applyAlignment="1">
      <alignment horizontal="center" vertical="center"/>
    </xf>
    <xf numFmtId="0" fontId="5" fillId="0" borderId="0" xfId="0" applyFont="1" applyBorder="1" applyAlignment="1">
      <alignment horizontal="center" vertical="center"/>
    </xf>
    <xf numFmtId="0" fontId="47" fillId="6" borderId="2" xfId="0" applyFont="1" applyFill="1" applyBorder="1" applyAlignment="1">
      <alignment vertical="center"/>
    </xf>
    <xf numFmtId="0" fontId="5" fillId="6" borderId="0" xfId="0" applyFont="1" applyFill="1" applyAlignment="1">
      <alignment horizontal="center" vertical="center"/>
    </xf>
    <xf numFmtId="0" fontId="47" fillId="6" borderId="12" xfId="0" applyFont="1" applyFill="1" applyBorder="1" applyAlignment="1">
      <alignment vertical="center"/>
    </xf>
    <xf numFmtId="0" fontId="47" fillId="6" borderId="2" xfId="0" applyFont="1" applyFill="1" applyBorder="1" applyAlignment="1">
      <alignment horizontal="center" vertical="center"/>
    </xf>
    <xf numFmtId="0" fontId="5" fillId="4" borderId="0" xfId="0" applyFont="1" applyFill="1" applyAlignment="1">
      <alignment horizontal="center" vertical="center"/>
    </xf>
    <xf numFmtId="182" fontId="49" fillId="0" borderId="0" xfId="0" applyNumberFormat="1" applyFont="1" applyAlignment="1">
      <alignment horizontal="center" vertical="center"/>
    </xf>
    <xf numFmtId="182" fontId="49" fillId="0" borderId="0" xfId="0" applyNumberFormat="1" applyFont="1" applyAlignment="1">
      <alignment vertical="center"/>
    </xf>
    <xf numFmtId="0" fontId="2" fillId="0" borderId="0" xfId="0" applyFont="1" applyFill="1" applyAlignment="1">
      <alignment horizontal="center" vertical="center"/>
    </xf>
    <xf numFmtId="0" fontId="2" fillId="6" borderId="0" xfId="0" applyFont="1" applyFill="1" applyAlignment="1">
      <alignment horizontal="center" vertical="center"/>
    </xf>
    <xf numFmtId="0" fontId="2" fillId="7" borderId="0" xfId="0" applyFont="1" applyFill="1" applyAlignment="1">
      <alignment horizontal="center" vertical="center"/>
    </xf>
    <xf numFmtId="0" fontId="51" fillId="0" borderId="0" xfId="0" applyFont="1" applyFill="1" applyAlignment="1">
      <alignment horizontal="center" vertical="center"/>
    </xf>
    <xf numFmtId="0" fontId="2" fillId="11" borderId="0" xfId="0" applyFont="1" applyFill="1" applyAlignment="1">
      <alignment horizontal="center" vertical="center"/>
    </xf>
    <xf numFmtId="0" fontId="2" fillId="0" borderId="0" xfId="0" applyFont="1" applyBorder="1" applyAlignment="1">
      <alignment horizontal="center" vertical="center"/>
    </xf>
    <xf numFmtId="0" fontId="2" fillId="0" borderId="0" xfId="0" applyFont="1" applyAlignment="1">
      <alignment horizontal="center" vertical="center"/>
    </xf>
    <xf numFmtId="182" fontId="2" fillId="0" borderId="0" xfId="0" applyNumberFormat="1" applyFont="1" applyAlignment="1">
      <alignment horizontal="center" vertical="center"/>
    </xf>
    <xf numFmtId="0" fontId="44" fillId="0" borderId="1" xfId="0" applyFont="1" applyBorder="1" applyAlignment="1">
      <alignment horizontal="center" vertical="center"/>
    </xf>
    <xf numFmtId="0" fontId="44" fillId="0" borderId="0" xfId="0" applyFont="1" applyAlignment="1">
      <alignment horizontal="center" vertical="center"/>
    </xf>
    <xf numFmtId="0" fontId="2" fillId="0" borderId="14" xfId="133" applyFont="1" applyFill="1" applyBorder="1" applyAlignment="1">
      <alignment horizontal="center" vertical="center"/>
    </xf>
    <xf numFmtId="182" fontId="52" fillId="0" borderId="14" xfId="133" applyNumberFormat="1" applyFont="1" applyFill="1" applyBorder="1" applyAlignment="1">
      <alignment horizontal="center" vertical="center"/>
    </xf>
    <xf numFmtId="0" fontId="2" fillId="0" borderId="14" xfId="157" applyFont="1" applyFill="1" applyBorder="1" applyAlignment="1">
      <alignment horizontal="center" vertical="center" wrapText="1"/>
    </xf>
    <xf numFmtId="0" fontId="5" fillId="0" borderId="2" xfId="133" applyFont="1" applyFill="1" applyBorder="1" applyAlignment="1">
      <alignment horizontal="center" vertical="center"/>
    </xf>
    <xf numFmtId="182" fontId="5" fillId="0" borderId="2" xfId="133" applyNumberFormat="1" applyFont="1" applyFill="1" applyBorder="1" applyAlignment="1">
      <alignment horizontal="center" vertical="center"/>
    </xf>
    <xf numFmtId="0" fontId="5" fillId="0" borderId="2" xfId="157" applyFont="1" applyFill="1" applyBorder="1" applyAlignment="1">
      <alignment horizontal="center" vertical="center" wrapText="1"/>
    </xf>
    <xf numFmtId="0" fontId="2" fillId="0" borderId="2" xfId="133" applyFont="1" applyFill="1" applyBorder="1" applyAlignment="1">
      <alignment horizontal="center" vertical="center"/>
    </xf>
    <xf numFmtId="182" fontId="2" fillId="0" borderId="2" xfId="133" applyNumberFormat="1" applyFont="1" applyFill="1" applyBorder="1" applyAlignment="1">
      <alignment horizontal="center" vertical="center"/>
    </xf>
    <xf numFmtId="0" fontId="2" fillId="0" borderId="2" xfId="157" applyFont="1" applyFill="1" applyBorder="1" applyAlignment="1">
      <alignment horizontal="center" vertical="center" wrapText="1"/>
    </xf>
    <xf numFmtId="182" fontId="2" fillId="0" borderId="2" xfId="133" applyNumberFormat="1" applyFont="1" applyFill="1" applyBorder="1" applyAlignment="1">
      <alignment horizontal="center" vertical="center" wrapText="1"/>
    </xf>
    <xf numFmtId="0" fontId="13" fillId="0" borderId="2" xfId="157" applyFont="1" applyFill="1" applyBorder="1" applyAlignment="1">
      <alignment horizontal="center" vertical="center" wrapText="1"/>
    </xf>
    <xf numFmtId="58" fontId="2" fillId="0" borderId="2" xfId="133" applyNumberFormat="1" applyFont="1" applyFill="1" applyBorder="1" applyAlignment="1">
      <alignment horizontal="center" vertical="center"/>
    </xf>
    <xf numFmtId="58" fontId="2" fillId="0" borderId="2" xfId="157" applyNumberFormat="1" applyFont="1" applyFill="1" applyBorder="1" applyAlignment="1">
      <alignment horizontal="center" vertical="center" wrapText="1"/>
    </xf>
    <xf numFmtId="0" fontId="2" fillId="0" borderId="2" xfId="0" applyFont="1" applyFill="1" applyBorder="1" applyAlignment="1">
      <alignment horizontal="center" vertical="center"/>
    </xf>
    <xf numFmtId="0" fontId="53" fillId="0" borderId="2" xfId="0" applyFont="1" applyFill="1" applyBorder="1" applyAlignment="1">
      <alignment horizontal="center" vertical="center"/>
    </xf>
    <xf numFmtId="0" fontId="53" fillId="0" borderId="3" xfId="0" applyFont="1" applyFill="1" applyBorder="1" applyAlignment="1">
      <alignment horizontal="center" vertical="center"/>
    </xf>
    <xf numFmtId="0" fontId="2" fillId="7" borderId="3" xfId="157" applyFont="1" applyFill="1" applyBorder="1" applyAlignment="1">
      <alignment horizontal="center" vertical="center" wrapText="1"/>
    </xf>
    <xf numFmtId="0" fontId="2" fillId="7" borderId="6" xfId="157" applyFont="1" applyFill="1" applyBorder="1" applyAlignment="1">
      <alignment horizontal="center" vertical="center" wrapText="1"/>
    </xf>
    <xf numFmtId="0" fontId="52" fillId="0" borderId="14" xfId="157" applyFont="1" applyFill="1" applyBorder="1" applyAlignment="1">
      <alignment horizontal="center" vertical="center" wrapText="1"/>
    </xf>
    <xf numFmtId="0" fontId="52" fillId="0" borderId="15" xfId="157" applyFont="1" applyFill="1" applyBorder="1" applyAlignment="1">
      <alignment horizontal="center" vertical="center" wrapText="1"/>
    </xf>
    <xf numFmtId="0" fontId="14" fillId="0" borderId="2" xfId="157" applyFont="1" applyFill="1" applyBorder="1" applyAlignment="1">
      <alignment horizontal="center" vertical="center" wrapText="1"/>
    </xf>
    <xf numFmtId="0" fontId="54" fillId="7" borderId="2" xfId="157" applyFont="1" applyFill="1" applyBorder="1" applyAlignment="1">
      <alignment horizontal="center" vertical="center" wrapText="1"/>
    </xf>
    <xf numFmtId="0" fontId="55" fillId="0" borderId="3" xfId="157" applyFont="1" applyFill="1" applyBorder="1" applyAlignment="1">
      <alignment horizontal="center" vertical="center" wrapText="1"/>
    </xf>
    <xf numFmtId="0" fontId="56" fillId="0" borderId="6" xfId="157" applyFont="1" applyFill="1" applyBorder="1" applyAlignment="1">
      <alignment horizontal="center" vertical="center" wrapText="1"/>
    </xf>
    <xf numFmtId="0" fontId="56" fillId="0" borderId="7" xfId="157" applyFont="1" applyFill="1" applyBorder="1" applyAlignment="1">
      <alignment horizontal="center" vertical="center" wrapText="1"/>
    </xf>
    <xf numFmtId="0" fontId="2" fillId="0" borderId="3" xfId="157" applyFont="1" applyFill="1" applyBorder="1" applyAlignment="1">
      <alignment horizontal="center" vertical="center" wrapText="1"/>
    </xf>
    <xf numFmtId="0" fontId="57" fillId="0" borderId="2" xfId="157" applyFont="1" applyFill="1" applyBorder="1" applyAlignment="1">
      <alignment horizontal="center" vertical="center" wrapText="1"/>
    </xf>
    <xf numFmtId="0" fontId="58" fillId="0" borderId="2" xfId="157" applyFont="1" applyFill="1" applyBorder="1" applyAlignment="1">
      <alignment horizontal="center" vertical="center" wrapText="1"/>
    </xf>
    <xf numFmtId="0" fontId="2" fillId="7" borderId="7" xfId="157" applyFont="1" applyFill="1" applyBorder="1" applyAlignment="1">
      <alignment horizontal="center" vertical="center" wrapText="1"/>
    </xf>
    <xf numFmtId="0" fontId="52" fillId="0" borderId="2" xfId="157" applyFont="1" applyFill="1" applyBorder="1" applyAlignment="1">
      <alignment horizontal="center" vertical="center" wrapText="1"/>
    </xf>
    <xf numFmtId="0" fontId="59" fillId="0" borderId="2" xfId="157" applyFont="1" applyFill="1" applyBorder="1" applyAlignment="1">
      <alignment horizontal="center" vertical="center" wrapText="1"/>
    </xf>
    <xf numFmtId="0" fontId="2" fillId="0" borderId="0" xfId="157" applyFont="1" applyFill="1" applyAlignment="1">
      <alignment horizontal="center" vertical="center" wrapText="1"/>
    </xf>
    <xf numFmtId="0" fontId="59" fillId="0" borderId="0" xfId="157" applyFont="1" applyFill="1" applyAlignment="1">
      <alignment horizontal="center" vertical="center" wrapText="1"/>
    </xf>
    <xf numFmtId="0" fontId="60" fillId="0" borderId="18" xfId="157" applyFont="1" applyFill="1" applyBorder="1" applyAlignment="1">
      <alignment horizontal="center" vertical="center" wrapText="1"/>
    </xf>
    <xf numFmtId="0" fontId="60" fillId="0" borderId="19" xfId="157" applyFont="1" applyFill="1" applyBorder="1" applyAlignment="1">
      <alignment horizontal="center" vertical="center" wrapText="1"/>
    </xf>
    <xf numFmtId="0" fontId="55" fillId="0" borderId="2" xfId="157" applyFont="1" applyFill="1" applyBorder="1" applyAlignment="1">
      <alignment horizontal="center" vertical="center" wrapText="1"/>
    </xf>
    <xf numFmtId="0" fontId="56" fillId="0" borderId="0" xfId="157" applyFont="1" applyFill="1" applyBorder="1" applyAlignment="1">
      <alignment horizontal="center" vertical="center" wrapText="1"/>
    </xf>
    <xf numFmtId="0" fontId="11" fillId="0" borderId="20" xfId="157" applyFont="1" applyFill="1" applyBorder="1" applyAlignment="1">
      <alignment horizontal="center" vertical="center" wrapText="1"/>
    </xf>
    <xf numFmtId="0" fontId="11" fillId="0" borderId="21" xfId="157" applyFont="1" applyFill="1" applyBorder="1" applyAlignment="1">
      <alignment horizontal="center" vertical="center" wrapText="1"/>
    </xf>
    <xf numFmtId="0" fontId="58" fillId="0" borderId="0" xfId="157" applyFont="1" applyFill="1" applyBorder="1" applyAlignment="1">
      <alignment horizontal="center" vertical="center" wrapText="1"/>
    </xf>
    <xf numFmtId="0" fontId="52" fillId="0" borderId="4" xfId="157" applyFont="1" applyFill="1" applyBorder="1" applyAlignment="1">
      <alignment horizontal="center" vertical="center" wrapText="1"/>
    </xf>
    <xf numFmtId="0" fontId="52" fillId="0" borderId="0" xfId="157" applyFont="1" applyFill="1" applyBorder="1" applyAlignment="1">
      <alignment horizontal="center" vertical="center" wrapText="1"/>
    </xf>
    <xf numFmtId="0" fontId="26" fillId="0" borderId="2" xfId="157" applyFont="1" applyFill="1" applyBorder="1" applyAlignment="1">
      <alignment horizontal="center" vertical="center" wrapText="1"/>
    </xf>
    <xf numFmtId="0" fontId="52" fillId="6" borderId="2" xfId="157" applyFont="1" applyFill="1" applyBorder="1" applyAlignment="1">
      <alignment horizontal="center" vertical="center" wrapText="1"/>
    </xf>
    <xf numFmtId="0" fontId="2" fillId="0" borderId="0" xfId="157" applyFont="1" applyFill="1" applyBorder="1" applyAlignment="1">
      <alignment horizontal="center" vertical="center" wrapText="1"/>
    </xf>
    <xf numFmtId="0" fontId="2" fillId="0" borderId="4" xfId="157" applyFont="1" applyFill="1" applyBorder="1" applyAlignment="1">
      <alignment horizontal="center" vertical="center" wrapText="1"/>
    </xf>
    <xf numFmtId="0" fontId="61" fillId="0" borderId="21" xfId="157" applyFont="1" applyFill="1" applyBorder="1" applyAlignment="1">
      <alignment horizontal="center" vertical="center" wrapText="1"/>
    </xf>
    <xf numFmtId="0" fontId="52" fillId="7" borderId="2" xfId="157" applyFont="1" applyFill="1" applyBorder="1" applyAlignment="1">
      <alignment horizontal="center" vertical="center" wrapText="1"/>
    </xf>
    <xf numFmtId="0" fontId="11" fillId="6" borderId="21" xfId="157" applyFont="1" applyFill="1" applyBorder="1" applyAlignment="1">
      <alignment horizontal="center" vertical="center" wrapText="1"/>
    </xf>
    <xf numFmtId="0" fontId="14" fillId="0" borderId="21" xfId="157" applyFont="1" applyFill="1" applyBorder="1" applyAlignment="1">
      <alignment horizontal="center" vertical="center" wrapText="1"/>
    </xf>
    <xf numFmtId="0" fontId="60" fillId="0" borderId="22" xfId="157" applyFont="1" applyFill="1" applyBorder="1" applyAlignment="1">
      <alignment horizontal="center" vertical="center" wrapText="1"/>
    </xf>
    <xf numFmtId="0" fontId="60" fillId="0" borderId="10" xfId="157" applyFont="1" applyFill="1" applyBorder="1" applyAlignment="1">
      <alignment horizontal="center" vertical="center" wrapText="1"/>
    </xf>
    <xf numFmtId="0" fontId="60" fillId="0" borderId="14" xfId="157" applyFont="1" applyFill="1" applyBorder="1" applyAlignment="1">
      <alignment horizontal="center" vertical="center" wrapText="1"/>
    </xf>
    <xf numFmtId="0" fontId="14" fillId="0" borderId="23" xfId="157" applyFont="1" applyFill="1" applyBorder="1" applyAlignment="1">
      <alignment horizontal="center" vertical="center" wrapText="1"/>
    </xf>
    <xf numFmtId="0" fontId="14" fillId="0" borderId="7" xfId="157" applyFont="1" applyFill="1" applyBorder="1" applyAlignment="1">
      <alignment horizontal="center" vertical="center" wrapText="1"/>
    </xf>
    <xf numFmtId="0" fontId="52" fillId="0" borderId="5" xfId="157" applyFont="1" applyFill="1" applyBorder="1" applyAlignment="1">
      <alignment horizontal="center" vertical="center" wrapText="1"/>
    </xf>
    <xf numFmtId="0" fontId="52" fillId="0" borderId="7" xfId="157" applyFont="1" applyFill="1" applyBorder="1" applyAlignment="1">
      <alignment horizontal="center" vertical="center" wrapText="1"/>
    </xf>
    <xf numFmtId="0" fontId="2" fillId="0" borderId="5" xfId="157" applyFont="1" applyFill="1" applyBorder="1" applyAlignment="1">
      <alignment horizontal="center" vertical="center" wrapText="1"/>
    </xf>
    <xf numFmtId="0" fontId="2" fillId="0" borderId="7" xfId="157" applyFont="1" applyFill="1" applyBorder="1" applyAlignment="1">
      <alignment horizontal="center" vertical="center" wrapText="1"/>
    </xf>
    <xf numFmtId="0" fontId="60" fillId="0" borderId="15" xfId="157" applyFont="1" applyFill="1" applyBorder="1" applyAlignment="1">
      <alignment horizontal="center" vertical="center" wrapText="1"/>
    </xf>
    <xf numFmtId="0" fontId="60" fillId="0" borderId="24" xfId="157" applyFont="1" applyFill="1" applyBorder="1" applyAlignment="1">
      <alignment horizontal="center" vertical="center" wrapText="1"/>
    </xf>
    <xf numFmtId="0" fontId="60" fillId="0" borderId="25" xfId="157" applyFont="1" applyFill="1" applyBorder="1" applyAlignment="1">
      <alignment horizontal="center" vertical="center" wrapText="1"/>
    </xf>
    <xf numFmtId="0" fontId="14" fillId="0" borderId="3" xfId="157" applyFont="1" applyFill="1" applyBorder="1" applyAlignment="1">
      <alignment horizontal="center" vertical="center" wrapText="1"/>
    </xf>
    <xf numFmtId="0" fontId="14" fillId="7" borderId="14" xfId="157" applyFont="1" applyFill="1" applyBorder="1" applyAlignment="1">
      <alignment horizontal="center" vertical="center" wrapText="1"/>
    </xf>
    <xf numFmtId="0" fontId="54" fillId="7" borderId="14" xfId="157" applyFont="1" applyFill="1" applyBorder="1" applyAlignment="1">
      <alignment horizontal="center" vertical="center" wrapText="1"/>
    </xf>
    <xf numFmtId="0" fontId="14" fillId="0" borderId="14" xfId="157" applyFont="1" applyFill="1" applyBorder="1" applyAlignment="1">
      <alignment horizontal="center" vertical="center" wrapText="1"/>
    </xf>
    <xf numFmtId="0" fontId="52" fillId="0" borderId="6" xfId="157" applyFont="1" applyFill="1" applyBorder="1" applyAlignment="1">
      <alignment horizontal="center" vertical="center" wrapText="1"/>
    </xf>
    <xf numFmtId="0" fontId="52" fillId="0" borderId="3" xfId="157" applyFont="1" applyFill="1" applyBorder="1" applyAlignment="1">
      <alignment horizontal="center" vertical="center" wrapText="1"/>
    </xf>
    <xf numFmtId="0" fontId="60" fillId="0" borderId="26" xfId="157" applyFont="1" applyFill="1" applyBorder="1" applyAlignment="1">
      <alignment horizontal="center" vertical="center" wrapText="1"/>
    </xf>
    <xf numFmtId="0" fontId="60" fillId="0" borderId="27" xfId="157" applyFont="1" applyFill="1" applyBorder="1" applyAlignment="1">
      <alignment horizontal="center" vertical="center" wrapText="1"/>
    </xf>
    <xf numFmtId="0" fontId="60" fillId="0" borderId="28" xfId="157" applyFont="1" applyFill="1" applyBorder="1" applyAlignment="1">
      <alignment horizontal="center" vertical="center" wrapText="1"/>
    </xf>
    <xf numFmtId="0" fontId="60" fillId="0" borderId="29" xfId="157" applyFont="1" applyFill="1" applyBorder="1" applyAlignment="1">
      <alignment horizontal="center" vertical="center" wrapText="1"/>
    </xf>
    <xf numFmtId="0" fontId="2" fillId="0" borderId="11" xfId="0" applyFont="1" applyFill="1" applyBorder="1" applyAlignment="1">
      <alignment horizontal="center" vertical="center"/>
    </xf>
    <xf numFmtId="0" fontId="2" fillId="0" borderId="10" xfId="0" applyFont="1" applyFill="1" applyBorder="1" applyAlignment="1">
      <alignment horizontal="center" vertical="center"/>
    </xf>
    <xf numFmtId="0" fontId="14" fillId="0" borderId="30" xfId="157" applyFont="1" applyFill="1" applyBorder="1" applyAlignment="1">
      <alignment horizontal="center" vertical="center" wrapText="1"/>
    </xf>
    <xf numFmtId="0" fontId="14" fillId="0" borderId="31" xfId="157" applyFont="1" applyFill="1" applyBorder="1" applyAlignment="1">
      <alignment horizontal="center" vertical="center" wrapText="1"/>
    </xf>
    <xf numFmtId="0" fontId="14" fillId="0" borderId="15" xfId="157" applyFont="1" applyFill="1" applyBorder="1" applyAlignment="1">
      <alignment horizontal="center" vertical="center" wrapText="1"/>
    </xf>
    <xf numFmtId="0" fontId="14" fillId="0" borderId="7" xfId="0" applyFont="1" applyFill="1" applyBorder="1" applyAlignment="1">
      <alignment horizontal="center" vertical="center"/>
    </xf>
    <xf numFmtId="0" fontId="52" fillId="0" borderId="8" xfId="157" applyFont="1" applyFill="1" applyBorder="1" applyAlignment="1">
      <alignment horizontal="center" vertical="center" wrapText="1"/>
    </xf>
    <xf numFmtId="0" fontId="2" fillId="0" borderId="7" xfId="0" applyFont="1" applyFill="1" applyBorder="1" applyAlignment="1">
      <alignment horizontal="center" vertical="center"/>
    </xf>
    <xf numFmtId="0" fontId="62" fillId="0" borderId="3" xfId="0" applyFont="1" applyFill="1" applyBorder="1" applyAlignment="1">
      <alignment horizontal="center" vertical="center"/>
    </xf>
    <xf numFmtId="0" fontId="53" fillId="0" borderId="2" xfId="0" applyFont="1" applyFill="1" applyBorder="1" applyAlignment="1">
      <alignment horizontal="center" vertical="center" wrapText="1"/>
    </xf>
    <xf numFmtId="0" fontId="63" fillId="0" borderId="2" xfId="157" applyFont="1" applyFill="1" applyBorder="1" applyAlignment="1">
      <alignment horizontal="center" vertical="center" wrapText="1"/>
    </xf>
    <xf numFmtId="3" fontId="64" fillId="0" borderId="2" xfId="157" applyNumberFormat="1" applyFont="1" applyFill="1" applyBorder="1" applyAlignment="1">
      <alignment horizontal="center" vertical="center" wrapText="1"/>
    </xf>
    <xf numFmtId="0" fontId="64" fillId="0" borderId="2" xfId="157" applyFont="1" applyFill="1" applyBorder="1" applyAlignment="1">
      <alignment horizontal="center" vertical="center" wrapText="1"/>
    </xf>
    <xf numFmtId="0" fontId="52" fillId="0" borderId="2" xfId="0" applyFont="1" applyFill="1" applyBorder="1" applyAlignment="1">
      <alignment horizontal="center" vertical="center"/>
    </xf>
    <xf numFmtId="0" fontId="65" fillId="0" borderId="3" xfId="0" applyFont="1" applyFill="1" applyBorder="1" applyAlignment="1">
      <alignment horizontal="center" vertical="center"/>
    </xf>
    <xf numFmtId="3" fontId="2" fillId="0" borderId="2" xfId="157" applyNumberFormat="1" applyFont="1" applyFill="1" applyBorder="1" applyAlignment="1">
      <alignment horizontal="center" vertical="center" wrapText="1"/>
    </xf>
    <xf numFmtId="194" fontId="2" fillId="0" borderId="2" xfId="133" applyNumberFormat="1" applyFont="1" applyFill="1" applyBorder="1" applyAlignment="1">
      <alignment horizontal="center" vertical="center"/>
    </xf>
    <xf numFmtId="0" fontId="65" fillId="0" borderId="2" xfId="0" applyNumberFormat="1" applyFont="1" applyFill="1" applyBorder="1" applyAlignment="1">
      <alignment horizontal="center" vertical="center"/>
    </xf>
    <xf numFmtId="0" fontId="53" fillId="0" borderId="15" xfId="0" applyFont="1" applyFill="1" applyBorder="1" applyAlignment="1">
      <alignment horizontal="center" vertical="center"/>
    </xf>
    <xf numFmtId="0" fontId="65" fillId="0" borderId="14" xfId="0" applyNumberFormat="1" applyFont="1" applyFill="1" applyBorder="1" applyAlignment="1">
      <alignment horizontal="center" vertical="center"/>
    </xf>
    <xf numFmtId="0" fontId="53" fillId="0" borderId="14" xfId="0" applyFont="1" applyFill="1" applyBorder="1" applyAlignment="1">
      <alignment horizontal="center" vertical="center"/>
    </xf>
    <xf numFmtId="200" fontId="2" fillId="0" borderId="2" xfId="157" applyNumberFormat="1" applyFont="1" applyFill="1" applyBorder="1" applyAlignment="1">
      <alignment horizontal="center" vertical="center" wrapText="1"/>
    </xf>
    <xf numFmtId="0" fontId="2" fillId="0" borderId="2" xfId="157" applyNumberFormat="1" applyFont="1" applyFill="1" applyBorder="1" applyAlignment="1">
      <alignment horizontal="center" vertical="center" wrapText="1"/>
    </xf>
    <xf numFmtId="0" fontId="2" fillId="0" borderId="0" xfId="157" applyNumberFormat="1" applyFont="1" applyFill="1" applyBorder="1" applyAlignment="1">
      <alignment horizontal="center" vertical="center" wrapText="1"/>
    </xf>
    <xf numFmtId="3" fontId="2" fillId="0" borderId="5" xfId="157" applyNumberFormat="1" applyFont="1" applyFill="1" applyBorder="1" applyAlignment="1">
      <alignment horizontal="center" vertical="center" wrapText="1"/>
    </xf>
    <xf numFmtId="0" fontId="66" fillId="0" borderId="12" xfId="0" applyFont="1" applyFill="1" applyBorder="1" applyAlignment="1">
      <alignment horizontal="left"/>
    </xf>
    <xf numFmtId="14" fontId="53" fillId="0" borderId="2" xfId="0" applyNumberFormat="1" applyFont="1" applyFill="1" applyBorder="1" applyAlignment="1">
      <alignment horizontal="center" vertical="center"/>
    </xf>
    <xf numFmtId="0" fontId="67" fillId="0" borderId="14" xfId="159" applyFont="1" applyFill="1" applyBorder="1" applyAlignment="1">
      <alignment horizontal="center" vertical="center"/>
    </xf>
    <xf numFmtId="0" fontId="2" fillId="6" borderId="2" xfId="133" applyFont="1" applyFill="1" applyBorder="1" applyAlignment="1">
      <alignment horizontal="center" vertical="center"/>
    </xf>
    <xf numFmtId="58" fontId="2" fillId="6" borderId="2" xfId="133" applyNumberFormat="1" applyFont="1" applyFill="1" applyBorder="1" applyAlignment="1">
      <alignment horizontal="center" vertical="center"/>
    </xf>
    <xf numFmtId="0" fontId="53" fillId="6" borderId="2" xfId="0" applyNumberFormat="1" applyFont="1" applyFill="1" applyBorder="1" applyAlignment="1">
      <alignment horizontal="center" vertical="center"/>
    </xf>
    <xf numFmtId="58" fontId="2" fillId="6" borderId="2" xfId="157" applyNumberFormat="1" applyFont="1" applyFill="1" applyBorder="1" applyAlignment="1">
      <alignment horizontal="center" vertical="center" wrapText="1"/>
    </xf>
    <xf numFmtId="0" fontId="2" fillId="6" borderId="2" xfId="157" applyFont="1" applyFill="1" applyBorder="1" applyAlignment="1">
      <alignment horizontal="center" vertical="center" wrapText="1"/>
    </xf>
    <xf numFmtId="200" fontId="53" fillId="0" borderId="2" xfId="0" applyNumberFormat="1" applyFont="1" applyFill="1" applyBorder="1" applyAlignment="1">
      <alignment horizontal="center" vertical="center" wrapText="1"/>
    </xf>
    <xf numFmtId="200" fontId="53" fillId="6" borderId="2" xfId="0" applyNumberFormat="1" applyFont="1" applyFill="1" applyBorder="1" applyAlignment="1">
      <alignment horizontal="center" vertical="center" wrapText="1"/>
    </xf>
    <xf numFmtId="0" fontId="2" fillId="6" borderId="0" xfId="157" applyFont="1" applyFill="1" applyBorder="1" applyAlignment="1">
      <alignment horizontal="center" vertical="center" wrapText="1"/>
    </xf>
    <xf numFmtId="0" fontId="2" fillId="6" borderId="4" xfId="157" applyFont="1" applyFill="1" applyBorder="1" applyAlignment="1">
      <alignment horizontal="center" vertical="center" wrapText="1"/>
    </xf>
    <xf numFmtId="3" fontId="2" fillId="6" borderId="2" xfId="157" applyNumberFormat="1" applyFont="1" applyFill="1" applyBorder="1" applyAlignment="1">
      <alignment horizontal="center" vertical="center" wrapText="1"/>
    </xf>
    <xf numFmtId="0" fontId="2" fillId="6" borderId="5" xfId="157" applyFont="1" applyFill="1" applyBorder="1" applyAlignment="1">
      <alignment horizontal="center" vertical="center" wrapText="1"/>
    </xf>
    <xf numFmtId="0" fontId="2" fillId="6" borderId="7" xfId="157" applyFont="1" applyFill="1" applyBorder="1" applyAlignment="1">
      <alignment horizontal="center" vertical="center" wrapText="1"/>
    </xf>
    <xf numFmtId="3" fontId="63" fillId="0" borderId="2" xfId="157" applyNumberFormat="1" applyFont="1" applyFill="1" applyBorder="1" applyAlignment="1">
      <alignment horizontal="center" vertical="center" wrapText="1"/>
    </xf>
    <xf numFmtId="0" fontId="63" fillId="0" borderId="5" xfId="157" applyFont="1" applyFill="1" applyBorder="1" applyAlignment="1">
      <alignment horizontal="center" vertical="center" wrapText="1"/>
    </xf>
    <xf numFmtId="0" fontId="53" fillId="0" borderId="5" xfId="0" applyFont="1" applyFill="1" applyBorder="1" applyAlignment="1">
      <alignment horizontal="center" vertical="center" wrapText="1"/>
    </xf>
    <xf numFmtId="200" fontId="65" fillId="0" borderId="2" xfId="0" applyNumberFormat="1" applyFont="1" applyFill="1" applyBorder="1" applyAlignment="1">
      <alignment horizontal="center" vertical="center" wrapText="1"/>
    </xf>
    <xf numFmtId="200" fontId="53" fillId="0" borderId="14" xfId="0" applyNumberFormat="1" applyFont="1" applyFill="1" applyBorder="1" applyAlignment="1">
      <alignment horizontal="center" vertical="center" wrapText="1"/>
    </xf>
    <xf numFmtId="0" fontId="2" fillId="6" borderId="3" xfId="157" applyFont="1" applyFill="1" applyBorder="1" applyAlignment="1">
      <alignment horizontal="center" vertical="center" wrapText="1"/>
    </xf>
    <xf numFmtId="200" fontId="62" fillId="0" borderId="14" xfId="0" applyNumberFormat="1" applyFont="1" applyFill="1" applyBorder="1" applyAlignment="1">
      <alignment horizontal="center" vertical="center" wrapText="1"/>
    </xf>
    <xf numFmtId="0" fontId="65" fillId="0" borderId="3" xfId="0" applyNumberFormat="1" applyFont="1" applyFill="1" applyBorder="1" applyAlignment="1">
      <alignment horizontal="center" vertical="center"/>
    </xf>
    <xf numFmtId="0" fontId="65" fillId="0" borderId="4" xfId="0" applyNumberFormat="1" applyFont="1" applyFill="1" applyBorder="1" applyAlignment="1">
      <alignment horizontal="center" vertical="center"/>
    </xf>
    <xf numFmtId="0" fontId="65" fillId="0" borderId="5" xfId="0" applyNumberFormat="1" applyFont="1" applyFill="1" applyBorder="1" applyAlignment="1">
      <alignment horizontal="center" vertical="center"/>
    </xf>
    <xf numFmtId="0" fontId="53" fillId="0" borderId="31" xfId="0" applyFont="1" applyFill="1" applyBorder="1" applyAlignment="1">
      <alignment horizontal="center" vertical="center" wrapText="1"/>
    </xf>
    <xf numFmtId="0" fontId="53" fillId="0" borderId="14" xfId="0" applyFont="1" applyFill="1" applyBorder="1" applyAlignment="1">
      <alignment horizontal="center" vertical="center" wrapText="1"/>
    </xf>
    <xf numFmtId="0" fontId="53" fillId="0" borderId="15" xfId="0" applyFont="1" applyFill="1" applyBorder="1" applyAlignment="1">
      <alignment horizontal="center" vertical="center" wrapText="1"/>
    </xf>
    <xf numFmtId="0" fontId="53" fillId="0" borderId="30" xfId="0" applyFont="1" applyFill="1" applyBorder="1" applyAlignment="1">
      <alignment horizontal="center" vertical="center" wrapText="1"/>
    </xf>
    <xf numFmtId="0" fontId="14" fillId="0" borderId="14" xfId="0" applyFont="1" applyFill="1" applyBorder="1" applyAlignment="1">
      <alignment horizontal="center" vertical="center" wrapText="1"/>
    </xf>
    <xf numFmtId="0" fontId="2" fillId="6" borderId="7" xfId="0" applyFont="1" applyFill="1" applyBorder="1" applyAlignment="1">
      <alignment horizontal="center" vertical="center"/>
    </xf>
    <xf numFmtId="0" fontId="53" fillId="6" borderId="14" xfId="0" applyFont="1" applyFill="1" applyBorder="1" applyAlignment="1">
      <alignment horizontal="center" vertical="center" wrapText="1"/>
    </xf>
    <xf numFmtId="0" fontId="2" fillId="0" borderId="4" xfId="0" applyFont="1" applyFill="1" applyBorder="1" applyAlignment="1">
      <alignment horizontal="center" vertical="center"/>
    </xf>
    <xf numFmtId="0" fontId="65" fillId="0" borderId="2" xfId="139" applyFont="1" applyFill="1" applyBorder="1" applyAlignment="1">
      <alignment horizontal="center" vertical="center" wrapText="1"/>
    </xf>
    <xf numFmtId="0" fontId="2" fillId="0" borderId="3" xfId="0" applyFont="1" applyFill="1" applyBorder="1" applyAlignment="1">
      <alignment horizontal="center" vertical="center"/>
    </xf>
    <xf numFmtId="0" fontId="2" fillId="0" borderId="5" xfId="0" applyFont="1" applyFill="1" applyBorder="1" applyAlignment="1">
      <alignment horizontal="center" vertical="center"/>
    </xf>
    <xf numFmtId="0" fontId="65" fillId="0" borderId="2" xfId="139" applyFont="1" applyFill="1" applyBorder="1" applyAlignment="1">
      <alignment vertical="center" wrapText="1"/>
    </xf>
    <xf numFmtId="0" fontId="63" fillId="0" borderId="4" xfId="157" applyFont="1" applyFill="1" applyBorder="1" applyAlignment="1">
      <alignment horizontal="center" vertical="center" wrapText="1"/>
    </xf>
    <xf numFmtId="0" fontId="63" fillId="0" borderId="3" xfId="157" applyFont="1" applyFill="1" applyBorder="1" applyAlignment="1">
      <alignment horizontal="center" vertical="center" wrapText="1"/>
    </xf>
    <xf numFmtId="0" fontId="68" fillId="0" borderId="2" xfId="0" applyNumberFormat="1" applyFont="1" applyFill="1" applyBorder="1" applyAlignment="1">
      <alignment horizontal="center" vertical="center"/>
    </xf>
    <xf numFmtId="200" fontId="62" fillId="0" borderId="2" xfId="0" applyNumberFormat="1" applyFont="1" applyFill="1" applyBorder="1" applyAlignment="1">
      <alignment horizontal="center" vertical="center" wrapText="1"/>
    </xf>
    <xf numFmtId="200" fontId="53" fillId="0" borderId="0" xfId="0" applyNumberFormat="1" applyFont="1" applyFill="1" applyBorder="1" applyAlignment="1">
      <alignment horizontal="center" vertical="center" wrapText="1"/>
    </xf>
    <xf numFmtId="0" fontId="63" fillId="0" borderId="0" xfId="157" applyFont="1" applyFill="1" applyBorder="1" applyAlignment="1">
      <alignment horizontal="center" vertical="center" wrapText="1"/>
    </xf>
    <xf numFmtId="200" fontId="62" fillId="0" borderId="0" xfId="0" applyNumberFormat="1" applyFont="1" applyFill="1" applyBorder="1" applyAlignment="1">
      <alignment horizontal="center" vertical="center" wrapText="1"/>
    </xf>
    <xf numFmtId="0" fontId="53" fillId="0" borderId="2" xfId="139" applyFont="1" applyFill="1" applyBorder="1" applyAlignment="1">
      <alignment vertical="center" wrapText="1"/>
    </xf>
    <xf numFmtId="0" fontId="2" fillId="0" borderId="2" xfId="133" applyFont="1" applyFill="1" applyBorder="1" applyAlignment="1">
      <alignment horizontal="center" vertical="center" wrapText="1"/>
    </xf>
    <xf numFmtId="0" fontId="69" fillId="0" borderId="14" xfId="159" applyFont="1" applyFill="1" applyBorder="1" applyAlignment="1">
      <alignment horizontal="center" vertical="center"/>
    </xf>
    <xf numFmtId="0" fontId="53" fillId="0" borderId="2" xfId="139" applyFont="1" applyFill="1" applyBorder="1" applyAlignment="1">
      <alignment horizontal="center" vertical="center" wrapText="1"/>
    </xf>
    <xf numFmtId="0" fontId="14" fillId="0" borderId="2" xfId="139" applyFont="1" applyFill="1" applyBorder="1" applyAlignment="1">
      <alignment vertical="center" wrapText="1"/>
    </xf>
    <xf numFmtId="0" fontId="49" fillId="0" borderId="2" xfId="139" applyFont="1" applyFill="1" applyBorder="1" applyAlignment="1">
      <alignment horizontal="center" vertical="center" wrapText="1"/>
    </xf>
    <xf numFmtId="0" fontId="70" fillId="0" borderId="2" xfId="0" applyNumberFormat="1" applyFont="1" applyFill="1" applyBorder="1" applyAlignment="1">
      <alignment horizontal="center" vertical="center"/>
    </xf>
    <xf numFmtId="0" fontId="53" fillId="0" borderId="2" xfId="0" applyNumberFormat="1" applyFont="1" applyFill="1" applyBorder="1" applyAlignment="1">
      <alignment horizontal="center" vertical="center"/>
    </xf>
    <xf numFmtId="0" fontId="49" fillId="0" borderId="2" xfId="0" applyNumberFormat="1" applyFont="1" applyFill="1" applyBorder="1" applyAlignment="1">
      <alignment horizontal="center" vertical="center"/>
    </xf>
    <xf numFmtId="0" fontId="57" fillId="0" borderId="2" xfId="133" applyFont="1" applyFill="1" applyBorder="1" applyAlignment="1">
      <alignment horizontal="center" vertical="center"/>
    </xf>
    <xf numFmtId="0" fontId="2" fillId="0" borderId="0" xfId="157" applyFont="1" applyFill="1" applyBorder="1" applyAlignment="1">
      <alignment horizontal="center" vertical="center"/>
    </xf>
    <xf numFmtId="0" fontId="14" fillId="0" borderId="0" xfId="139" applyFont="1" applyFill="1" applyBorder="1" applyAlignment="1">
      <alignment vertical="center" wrapText="1"/>
    </xf>
    <xf numFmtId="0" fontId="2" fillId="7" borderId="2" xfId="0" applyFont="1" applyFill="1" applyBorder="1" applyAlignment="1">
      <alignment horizontal="center" vertical="center"/>
    </xf>
    <xf numFmtId="14" fontId="53" fillId="7" borderId="2" xfId="0" applyNumberFormat="1" applyFont="1" applyFill="1" applyBorder="1" applyAlignment="1">
      <alignment horizontal="center" vertical="center"/>
    </xf>
    <xf numFmtId="0" fontId="68" fillId="7" borderId="2" xfId="0" applyNumberFormat="1" applyFont="1" applyFill="1" applyBorder="1" applyAlignment="1">
      <alignment horizontal="center" vertical="center"/>
    </xf>
    <xf numFmtId="0" fontId="2" fillId="7" borderId="2" xfId="133" applyFont="1" applyFill="1" applyBorder="1" applyAlignment="1">
      <alignment horizontal="center" vertical="center"/>
    </xf>
    <xf numFmtId="58" fontId="2" fillId="7" borderId="2" xfId="157" applyNumberFormat="1" applyFont="1" applyFill="1" applyBorder="1" applyAlignment="1">
      <alignment horizontal="center" vertical="center" wrapText="1"/>
    </xf>
    <xf numFmtId="0" fontId="2" fillId="7" borderId="2" xfId="157" applyFont="1" applyFill="1" applyBorder="1" applyAlignment="1">
      <alignment horizontal="center" vertical="center" wrapText="1"/>
    </xf>
    <xf numFmtId="0" fontId="51" fillId="0" borderId="2" xfId="157" applyFont="1" applyFill="1" applyBorder="1" applyAlignment="1">
      <alignment horizontal="center" vertical="center" wrapText="1"/>
    </xf>
    <xf numFmtId="200" fontId="53" fillId="7" borderId="2" xfId="0" applyNumberFormat="1" applyFont="1" applyFill="1" applyBorder="1" applyAlignment="1">
      <alignment horizontal="center" vertical="center" wrapText="1"/>
    </xf>
    <xf numFmtId="200" fontId="71" fillId="0" borderId="2" xfId="0" applyNumberFormat="1" applyFont="1" applyFill="1" applyBorder="1" applyAlignment="1">
      <alignment horizontal="center" vertical="center" wrapText="1"/>
    </xf>
    <xf numFmtId="0" fontId="2" fillId="7" borderId="0" xfId="157" applyFont="1" applyFill="1" applyBorder="1" applyAlignment="1">
      <alignment horizontal="center" vertical="center" wrapText="1"/>
    </xf>
    <xf numFmtId="0" fontId="2" fillId="7" borderId="4" xfId="157" applyFont="1" applyFill="1" applyBorder="1" applyAlignment="1">
      <alignment horizontal="center" vertical="center" wrapText="1"/>
    </xf>
    <xf numFmtId="3" fontId="2" fillId="7" borderId="2" xfId="157" applyNumberFormat="1" applyFont="1" applyFill="1" applyBorder="1" applyAlignment="1">
      <alignment horizontal="center" vertical="center" wrapText="1"/>
    </xf>
    <xf numFmtId="0" fontId="2" fillId="7" borderId="5" xfId="157" applyFont="1" applyFill="1" applyBorder="1" applyAlignment="1">
      <alignment horizontal="center" vertical="center" wrapText="1"/>
    </xf>
    <xf numFmtId="0" fontId="2" fillId="7" borderId="4" xfId="0" applyFont="1" applyFill="1" applyBorder="1" applyAlignment="1">
      <alignment horizontal="center" vertical="center"/>
    </xf>
    <xf numFmtId="0" fontId="2" fillId="7" borderId="5" xfId="0" applyFont="1" applyFill="1" applyBorder="1" applyAlignment="1">
      <alignment horizontal="center" vertical="center"/>
    </xf>
    <xf numFmtId="0" fontId="2" fillId="7" borderId="6" xfId="0" applyFont="1" applyFill="1" applyBorder="1" applyAlignment="1">
      <alignment horizontal="center" vertical="center"/>
    </xf>
    <xf numFmtId="0" fontId="53" fillId="7" borderId="2" xfId="139" applyFont="1" applyFill="1" applyBorder="1" applyAlignment="1">
      <alignment vertical="center" wrapText="1"/>
    </xf>
    <xf numFmtId="0" fontId="2" fillId="0" borderId="6" xfId="0" applyFont="1" applyFill="1" applyBorder="1" applyAlignment="1">
      <alignment horizontal="center" vertical="center"/>
    </xf>
    <xf numFmtId="0" fontId="57" fillId="7" borderId="2" xfId="133" applyFont="1" applyFill="1" applyBorder="1" applyAlignment="1">
      <alignment horizontal="center" vertical="center"/>
    </xf>
    <xf numFmtId="0" fontId="2" fillId="5" borderId="2" xfId="133" applyFont="1" applyFill="1" applyBorder="1" applyAlignment="1">
      <alignment horizontal="center" vertical="center" wrapText="1"/>
    </xf>
    <xf numFmtId="182" fontId="2" fillId="5" borderId="2" xfId="133" applyNumberFormat="1" applyFont="1" applyFill="1" applyBorder="1" applyAlignment="1">
      <alignment horizontal="center" vertical="center" wrapText="1"/>
    </xf>
    <xf numFmtId="0" fontId="2" fillId="5" borderId="2" xfId="157" applyFont="1" applyFill="1" applyBorder="1" applyAlignment="1">
      <alignment horizontal="center" vertical="center" wrapText="1" shrinkToFit="1"/>
    </xf>
    <xf numFmtId="0" fontId="51" fillId="0" borderId="2" xfId="133" applyFont="1" applyFill="1" applyBorder="1" applyAlignment="1">
      <alignment horizontal="center" vertical="center" wrapText="1"/>
    </xf>
    <xf numFmtId="182" fontId="51" fillId="0" borderId="2" xfId="133" applyNumberFormat="1" applyFont="1" applyFill="1" applyBorder="1" applyAlignment="1">
      <alignment horizontal="center" vertical="center" wrapText="1"/>
    </xf>
    <xf numFmtId="0" fontId="51" fillId="0" borderId="2" xfId="157" applyFont="1" applyFill="1" applyBorder="1" applyAlignment="1">
      <alignment horizontal="center" vertical="center" wrapText="1" shrinkToFit="1"/>
    </xf>
    <xf numFmtId="0" fontId="2" fillId="11" borderId="2" xfId="133" applyFont="1" applyFill="1" applyBorder="1" applyAlignment="1">
      <alignment horizontal="center" vertical="center"/>
    </xf>
    <xf numFmtId="182" fontId="2" fillId="11" borderId="2" xfId="133" applyNumberFormat="1" applyFont="1" applyFill="1" applyBorder="1" applyAlignment="1">
      <alignment horizontal="center" vertical="center" wrapText="1"/>
    </xf>
    <xf numFmtId="0" fontId="2" fillId="11" borderId="2" xfId="133" applyFont="1" applyFill="1" applyBorder="1" applyAlignment="1">
      <alignment horizontal="center" vertical="center" wrapText="1"/>
    </xf>
    <xf numFmtId="0" fontId="52" fillId="11" borderId="2" xfId="133" applyFont="1" applyFill="1" applyBorder="1" applyAlignment="1">
      <alignment horizontal="center" vertical="center"/>
    </xf>
    <xf numFmtId="197" fontId="2" fillId="11" borderId="2" xfId="133" applyNumberFormat="1" applyFont="1" applyFill="1" applyBorder="1" applyAlignment="1">
      <alignment horizontal="center" vertical="center"/>
    </xf>
    <xf numFmtId="197" fontId="2" fillId="11" borderId="2" xfId="133" applyNumberFormat="1" applyFont="1" applyFill="1" applyBorder="1" applyAlignment="1">
      <alignment horizontal="center" vertical="center" wrapText="1"/>
    </xf>
    <xf numFmtId="0" fontId="2" fillId="0" borderId="12" xfId="157" applyFont="1" applyBorder="1" applyAlignment="1">
      <alignment horizontal="center" vertical="center"/>
    </xf>
    <xf numFmtId="58" fontId="2" fillId="0" borderId="12" xfId="157" applyNumberFormat="1" applyFont="1" applyBorder="1" applyAlignment="1">
      <alignment horizontal="center" vertical="center"/>
    </xf>
    <xf numFmtId="182" fontId="2" fillId="0" borderId="12" xfId="157" applyNumberFormat="1" applyFont="1" applyBorder="1" applyAlignment="1">
      <alignment horizontal="center" vertical="center" wrapText="1"/>
    </xf>
    <xf numFmtId="0" fontId="2" fillId="0" borderId="13" xfId="157" applyFont="1" applyBorder="1" applyAlignment="1">
      <alignment horizontal="center" vertical="center"/>
    </xf>
    <xf numFmtId="0" fontId="2" fillId="0" borderId="9" xfId="157" applyFont="1" applyBorder="1" applyAlignment="1">
      <alignment horizontal="center" vertical="center"/>
    </xf>
    <xf numFmtId="0" fontId="2" fillId="0" borderId="0" xfId="157" applyFont="1" applyBorder="1" applyAlignment="1">
      <alignment horizontal="center" vertical="center"/>
    </xf>
    <xf numFmtId="58" fontId="2" fillId="0" borderId="0" xfId="157" applyNumberFormat="1" applyFont="1" applyBorder="1" applyAlignment="1">
      <alignment horizontal="center" vertical="center"/>
    </xf>
    <xf numFmtId="182" fontId="2" fillId="0" borderId="0" xfId="157" applyNumberFormat="1" applyFont="1" applyBorder="1" applyAlignment="1">
      <alignment horizontal="center" vertical="center" wrapText="1"/>
    </xf>
    <xf numFmtId="0" fontId="45" fillId="10" borderId="2" xfId="0" applyFont="1" applyFill="1" applyBorder="1" applyAlignment="1">
      <alignment horizontal="center" vertical="center"/>
    </xf>
    <xf numFmtId="0" fontId="27" fillId="0" borderId="2" xfId="0" applyFont="1" applyFill="1" applyBorder="1" applyAlignment="1">
      <alignment horizontal="center" vertical="center"/>
    </xf>
    <xf numFmtId="0" fontId="27" fillId="12" borderId="2" xfId="0" applyFont="1" applyFill="1" applyBorder="1" applyAlignment="1">
      <alignment horizontal="center" vertical="center"/>
    </xf>
    <xf numFmtId="0" fontId="51" fillId="0" borderId="3" xfId="157" applyFont="1" applyFill="1" applyBorder="1" applyAlignment="1">
      <alignment horizontal="center" vertical="center" wrapText="1" shrinkToFit="1"/>
    </xf>
    <xf numFmtId="0" fontId="51" fillId="0" borderId="0" xfId="133" applyFont="1" applyFill="1" applyAlignment="1">
      <alignment horizontal="center" vertical="center" wrapText="1"/>
    </xf>
    <xf numFmtId="0" fontId="51" fillId="0" borderId="0" xfId="157" applyFont="1" applyFill="1" applyAlignment="1">
      <alignment horizontal="center" vertical="center" wrapText="1" shrinkToFit="1"/>
    </xf>
    <xf numFmtId="0" fontId="2" fillId="11" borderId="3" xfId="133" applyFont="1" applyFill="1" applyBorder="1" applyAlignment="1">
      <alignment horizontal="center" vertical="center" wrapText="1"/>
    </xf>
    <xf numFmtId="197" fontId="2" fillId="11" borderId="3" xfId="133" applyNumberFormat="1" applyFont="1" applyFill="1" applyBorder="1" applyAlignment="1">
      <alignment horizontal="center" vertical="center" wrapText="1"/>
    </xf>
    <xf numFmtId="0" fontId="2" fillId="0" borderId="32" xfId="157" applyFont="1" applyBorder="1" applyAlignment="1">
      <alignment horizontal="center" vertical="center"/>
    </xf>
    <xf numFmtId="0" fontId="14" fillId="7" borderId="0" xfId="139" applyFont="1" applyFill="1" applyBorder="1" applyAlignment="1">
      <alignment vertical="center" wrapText="1"/>
    </xf>
    <xf numFmtId="0" fontId="2" fillId="5" borderId="0" xfId="157" applyFont="1" applyFill="1" applyBorder="1" applyAlignment="1">
      <alignment horizontal="center" vertical="center" wrapText="1" shrinkToFit="1"/>
    </xf>
    <xf numFmtId="0" fontId="2" fillId="5" borderId="4" xfId="157" applyFont="1" applyFill="1" applyBorder="1" applyAlignment="1">
      <alignment horizontal="center" vertical="center" wrapText="1" shrinkToFit="1"/>
    </xf>
    <xf numFmtId="0" fontId="51" fillId="0" borderId="0" xfId="157" applyFont="1" applyFill="1" applyBorder="1" applyAlignment="1">
      <alignment horizontal="center" vertical="center" wrapText="1" shrinkToFit="1"/>
    </xf>
    <xf numFmtId="0" fontId="51" fillId="0" borderId="4" xfId="157" applyFont="1" applyFill="1" applyBorder="1" applyAlignment="1">
      <alignment horizontal="center" vertical="center" wrapText="1" shrinkToFit="1"/>
    </xf>
    <xf numFmtId="0" fontId="2" fillId="11" borderId="0" xfId="133" applyFont="1" applyFill="1" applyBorder="1" applyAlignment="1">
      <alignment horizontal="center" vertical="center" wrapText="1"/>
    </xf>
    <xf numFmtId="0" fontId="2" fillId="11" borderId="4" xfId="133" applyFont="1" applyFill="1" applyBorder="1" applyAlignment="1">
      <alignment horizontal="center" vertical="center" wrapText="1"/>
    </xf>
    <xf numFmtId="197" fontId="2" fillId="11" borderId="0" xfId="133" applyNumberFormat="1" applyFont="1" applyFill="1" applyBorder="1" applyAlignment="1">
      <alignment horizontal="center" vertical="center" wrapText="1"/>
    </xf>
    <xf numFmtId="197" fontId="2" fillId="11" borderId="33" xfId="133" applyNumberFormat="1" applyFont="1" applyFill="1" applyBorder="1" applyAlignment="1">
      <alignment horizontal="center" vertical="center" wrapText="1"/>
    </xf>
    <xf numFmtId="0" fontId="2" fillId="11" borderId="34" xfId="157" applyFont="1" applyFill="1" applyBorder="1" applyAlignment="1">
      <alignment horizontal="center" vertical="center" wrapText="1"/>
    </xf>
    <xf numFmtId="197" fontId="2" fillId="11" borderId="34" xfId="133" applyNumberFormat="1" applyFont="1" applyFill="1" applyBorder="1" applyAlignment="1">
      <alignment horizontal="center" vertical="center" wrapText="1"/>
    </xf>
    <xf numFmtId="0" fontId="2" fillId="11" borderId="34" xfId="157" applyFont="1" applyFill="1" applyBorder="1" applyAlignment="1">
      <alignment horizontal="center" vertical="center" wrapText="1" shrinkToFit="1"/>
    </xf>
    <xf numFmtId="0" fontId="2" fillId="13" borderId="7" xfId="157" applyFont="1" applyFill="1" applyBorder="1" applyAlignment="1">
      <alignment horizontal="center" vertical="center" wrapText="1" shrinkToFit="1"/>
    </xf>
    <xf numFmtId="0" fontId="2" fillId="13" borderId="2" xfId="157" applyFont="1" applyFill="1" applyBorder="1" applyAlignment="1">
      <alignment horizontal="center" vertical="center" wrapText="1" shrinkToFit="1"/>
    </xf>
    <xf numFmtId="0" fontId="51" fillId="0" borderId="5" xfId="157" applyFont="1" applyFill="1" applyBorder="1" applyAlignment="1">
      <alignment horizontal="center" vertical="center" wrapText="1" shrinkToFit="1"/>
    </xf>
    <xf numFmtId="0" fontId="51" fillId="0" borderId="7" xfId="157" applyFont="1" applyFill="1" applyBorder="1" applyAlignment="1">
      <alignment horizontal="center" vertical="center" wrapText="1" shrinkToFit="1"/>
    </xf>
    <xf numFmtId="0" fontId="2" fillId="11" borderId="5" xfId="133" applyFont="1" applyFill="1" applyBorder="1" applyAlignment="1">
      <alignment horizontal="center" vertical="center" wrapText="1"/>
    </xf>
    <xf numFmtId="0" fontId="2" fillId="11" borderId="7" xfId="133" applyFont="1" applyFill="1" applyBorder="1" applyAlignment="1">
      <alignment horizontal="center" vertical="center" wrapText="1"/>
    </xf>
    <xf numFmtId="197" fontId="2" fillId="11" borderId="35" xfId="133" applyNumberFormat="1" applyFont="1" applyFill="1" applyBorder="1" applyAlignment="1">
      <alignment horizontal="center" vertical="center" wrapText="1"/>
    </xf>
    <xf numFmtId="197" fontId="2" fillId="11" borderId="7" xfId="133" applyNumberFormat="1" applyFont="1" applyFill="1" applyBorder="1" applyAlignment="1">
      <alignment horizontal="center" vertical="center" wrapText="1"/>
    </xf>
    <xf numFmtId="0" fontId="2" fillId="0" borderId="0" xfId="157" applyFont="1" applyAlignment="1">
      <alignment horizontal="center" vertical="center"/>
    </xf>
    <xf numFmtId="0" fontId="2" fillId="13" borderId="3" xfId="157" applyFont="1" applyFill="1" applyBorder="1" applyAlignment="1">
      <alignment horizontal="center" vertical="center" wrapText="1" shrinkToFit="1"/>
    </xf>
    <xf numFmtId="0" fontId="2" fillId="13" borderId="2" xfId="133" applyFont="1" applyFill="1" applyBorder="1" applyAlignment="1">
      <alignment horizontal="center" vertical="center" wrapText="1"/>
    </xf>
    <xf numFmtId="197" fontId="2" fillId="7" borderId="34" xfId="133" applyNumberFormat="1" applyFont="1" applyFill="1" applyBorder="1" applyAlignment="1">
      <alignment horizontal="center" vertical="center" wrapText="1"/>
    </xf>
    <xf numFmtId="0" fontId="72" fillId="0" borderId="0" xfId="157" applyFont="1" applyBorder="1" applyAlignment="1">
      <alignment horizontal="center" vertical="center"/>
    </xf>
    <xf numFmtId="0" fontId="60" fillId="0" borderId="2" xfId="157" applyFont="1" applyFill="1" applyBorder="1" applyAlignment="1">
      <alignment vertical="center" wrapText="1"/>
    </xf>
    <xf numFmtId="0" fontId="2" fillId="13" borderId="5" xfId="133" applyFont="1" applyFill="1" applyBorder="1" applyAlignment="1">
      <alignment horizontal="center" vertical="center" wrapText="1"/>
    </xf>
    <xf numFmtId="0" fontId="2" fillId="13" borderId="7" xfId="157" applyFont="1" applyFill="1" applyBorder="1" applyAlignment="1">
      <alignment horizontal="center" vertical="center" wrapText="1"/>
    </xf>
    <xf numFmtId="0" fontId="2" fillId="13" borderId="3" xfId="157" applyFont="1" applyFill="1" applyBorder="1" applyAlignment="1">
      <alignment horizontal="center" vertical="center" wrapText="1"/>
    </xf>
    <xf numFmtId="0" fontId="2" fillId="13" borderId="4" xfId="0" applyFont="1" applyFill="1" applyBorder="1" applyAlignment="1">
      <alignment horizontal="center" vertical="center"/>
    </xf>
    <xf numFmtId="0" fontId="2" fillId="13" borderId="2" xfId="0" applyFont="1" applyFill="1" applyBorder="1" applyAlignment="1">
      <alignment horizontal="center" vertical="center"/>
    </xf>
    <xf numFmtId="0" fontId="2" fillId="13" borderId="5" xfId="0" applyFont="1" applyFill="1" applyBorder="1" applyAlignment="1">
      <alignment horizontal="center" vertical="center"/>
    </xf>
    <xf numFmtId="0" fontId="51" fillId="0" borderId="5" xfId="133" applyFont="1" applyFill="1" applyBorder="1" applyAlignment="1">
      <alignment horizontal="center" vertical="center" wrapText="1"/>
    </xf>
    <xf numFmtId="0" fontId="2" fillId="0" borderId="2" xfId="0" applyFont="1" applyBorder="1" applyAlignment="1">
      <alignment horizontal="center" vertical="center"/>
    </xf>
    <xf numFmtId="197" fontId="2" fillId="7" borderId="35" xfId="133" applyNumberFormat="1" applyFont="1" applyFill="1" applyBorder="1" applyAlignment="1">
      <alignment horizontal="center" vertical="center" wrapText="1"/>
    </xf>
    <xf numFmtId="197" fontId="2" fillId="11" borderId="36" xfId="133" applyNumberFormat="1" applyFont="1" applyFill="1" applyBorder="1" applyAlignment="1">
      <alignment horizontal="center" vertical="center" wrapText="1"/>
    </xf>
    <xf numFmtId="0" fontId="48" fillId="11" borderId="33" xfId="133" applyFont="1" applyFill="1" applyBorder="1" applyAlignment="1">
      <alignment horizontal="center" vertical="center" wrapText="1"/>
    </xf>
    <xf numFmtId="0" fontId="51" fillId="11" borderId="34" xfId="133" applyFont="1" applyFill="1" applyBorder="1" applyAlignment="1">
      <alignment horizontal="center" vertical="center" wrapText="1"/>
    </xf>
    <xf numFmtId="0" fontId="2" fillId="11" borderId="35" xfId="133" applyFont="1" applyFill="1" applyBorder="1" applyAlignment="1">
      <alignment horizontal="center" vertical="center" wrapText="1"/>
    </xf>
    <xf numFmtId="0" fontId="2" fillId="11" borderId="7" xfId="0" applyFont="1" applyFill="1" applyBorder="1" applyAlignment="1">
      <alignment horizontal="center" vertical="center"/>
    </xf>
    <xf numFmtId="0" fontId="2" fillId="11" borderId="2" xfId="0" applyFont="1" applyFill="1" applyBorder="1" applyAlignment="1">
      <alignment horizontal="center" vertical="center"/>
    </xf>
    <xf numFmtId="0" fontId="60" fillId="0" borderId="2" xfId="157" applyFont="1" applyFill="1" applyBorder="1" applyAlignment="1">
      <alignment horizontal="center" vertical="center" wrapText="1"/>
    </xf>
    <xf numFmtId="0" fontId="60" fillId="0" borderId="0" xfId="157" applyFont="1" applyFill="1" applyAlignment="1">
      <alignment horizontal="center" vertical="center" wrapText="1"/>
    </xf>
    <xf numFmtId="0" fontId="45" fillId="10" borderId="0" xfId="0" applyFont="1" applyFill="1" applyAlignment="1">
      <alignment horizontal="center" vertical="center"/>
    </xf>
    <xf numFmtId="0" fontId="27" fillId="0" borderId="0" xfId="0" applyFont="1" applyFill="1" applyAlignment="1">
      <alignment horizontal="center" vertical="center"/>
    </xf>
    <xf numFmtId="0" fontId="27" fillId="12" borderId="0" xfId="0" applyFont="1" applyFill="1" applyAlignment="1">
      <alignment horizontal="center" vertical="center"/>
    </xf>
    <xf numFmtId="0" fontId="57" fillId="0" borderId="0" xfId="0" applyFont="1" applyFill="1" applyAlignment="1">
      <alignment horizontal="center" vertical="center"/>
    </xf>
    <xf numFmtId="0" fontId="57" fillId="0" borderId="0" xfId="0" applyFont="1" applyFill="1" applyAlignment="1">
      <alignment horizontal="center" vertical="center" wrapText="1"/>
    </xf>
    <xf numFmtId="0" fontId="57" fillId="0" borderId="2" xfId="0" applyFont="1" applyFill="1" applyBorder="1" applyAlignment="1">
      <alignment horizontal="center" vertical="center" wrapText="1"/>
    </xf>
    <xf numFmtId="0" fontId="57" fillId="0" borderId="12" xfId="0" applyFont="1" applyFill="1" applyBorder="1" applyAlignment="1">
      <alignment horizontal="center" vertical="center" wrapText="1"/>
    </xf>
    <xf numFmtId="0" fontId="57" fillId="0" borderId="14" xfId="0" applyFont="1" applyFill="1" applyBorder="1" applyAlignment="1">
      <alignment horizontal="center" vertical="center" wrapText="1"/>
    </xf>
    <xf numFmtId="0" fontId="52" fillId="0" borderId="0" xfId="0" applyFont="1" applyFill="1">
      <alignment vertical="center"/>
    </xf>
    <xf numFmtId="0" fontId="57" fillId="0" borderId="2" xfId="0" applyFont="1" applyFill="1" applyBorder="1" applyAlignment="1">
      <alignment horizontal="center" vertical="center"/>
    </xf>
    <xf numFmtId="0" fontId="57" fillId="0" borderId="0" xfId="0" applyFont="1" applyFill="1">
      <alignment vertical="center"/>
    </xf>
    <xf numFmtId="0" fontId="73" fillId="0" borderId="0" xfId="0" applyFont="1" applyFill="1">
      <alignment vertical="center"/>
    </xf>
    <xf numFmtId="0" fontId="48" fillId="0" borderId="0" xfId="0" applyFont="1" applyFill="1" applyAlignment="1" applyProtection="1">
      <alignment horizontal="center" vertical="center" wrapText="1"/>
      <protection locked="0"/>
    </xf>
    <xf numFmtId="0" fontId="74" fillId="0" borderId="2" xfId="0" applyFont="1" applyFill="1" applyBorder="1" applyAlignment="1">
      <alignment horizontal="center" vertical="center" wrapText="1" shrinkToFit="1"/>
    </xf>
    <xf numFmtId="183" fontId="57" fillId="0" borderId="2" xfId="0" applyNumberFormat="1" applyFont="1" applyFill="1" applyBorder="1" applyAlignment="1">
      <alignment horizontal="center" vertical="center" wrapText="1"/>
    </xf>
    <xf numFmtId="49" fontId="57" fillId="0" borderId="2" xfId="0" applyNumberFormat="1" applyFont="1" applyFill="1" applyBorder="1" applyAlignment="1">
      <alignment horizontal="center" vertical="center" wrapText="1"/>
    </xf>
    <xf numFmtId="0" fontId="52" fillId="0" borderId="2" xfId="0" applyFont="1" applyFill="1" applyBorder="1" applyAlignment="1">
      <alignment horizontal="center" vertical="center" wrapText="1"/>
    </xf>
    <xf numFmtId="0" fontId="57" fillId="0" borderId="3" xfId="0" applyFont="1" applyFill="1" applyBorder="1" applyAlignment="1">
      <alignment horizontal="center" vertical="center"/>
    </xf>
    <xf numFmtId="183" fontId="57" fillId="0" borderId="2" xfId="0" applyNumberFormat="1" applyFont="1" applyFill="1" applyBorder="1" applyAlignment="1">
      <alignment horizontal="center" vertical="center"/>
    </xf>
    <xf numFmtId="49" fontId="57" fillId="0" borderId="2" xfId="0" applyNumberFormat="1" applyFont="1" applyFill="1" applyBorder="1" applyAlignment="1">
      <alignment horizontal="center" vertical="center"/>
    </xf>
    <xf numFmtId="190" fontId="52" fillId="0" borderId="11" xfId="0" applyNumberFormat="1" applyFont="1" applyFill="1" applyBorder="1" applyAlignment="1">
      <alignment horizontal="center" vertical="center"/>
    </xf>
    <xf numFmtId="0" fontId="57" fillId="0" borderId="2" xfId="0" applyFont="1" applyFill="1" applyBorder="1" applyAlignment="1">
      <alignment horizontal="center" vertical="center" shrinkToFit="1"/>
    </xf>
    <xf numFmtId="0" fontId="57" fillId="0" borderId="2" xfId="0" applyFont="1" applyFill="1" applyBorder="1" applyAlignment="1">
      <alignment horizontal="center" vertical="center" wrapText="1" shrinkToFit="1"/>
    </xf>
    <xf numFmtId="0" fontId="52" fillId="0" borderId="2" xfId="0" applyFont="1" applyFill="1" applyBorder="1" applyAlignment="1">
      <alignment horizontal="center" vertical="center" wrapText="1" shrinkToFit="1"/>
    </xf>
    <xf numFmtId="0" fontId="57" fillId="0" borderId="3" xfId="0" applyFont="1" applyFill="1" applyBorder="1" applyAlignment="1">
      <alignment horizontal="center" vertical="center" wrapText="1" shrinkToFit="1"/>
    </xf>
    <xf numFmtId="186" fontId="52" fillId="0" borderId="11" xfId="0" applyNumberFormat="1" applyFont="1" applyFill="1" applyBorder="1" applyAlignment="1">
      <alignment horizontal="center" vertical="center" shrinkToFit="1"/>
    </xf>
    <xf numFmtId="0" fontId="52" fillId="0" borderId="2" xfId="0" applyNumberFormat="1" applyFont="1" applyFill="1" applyBorder="1" applyAlignment="1">
      <alignment horizontal="center" vertical="center"/>
    </xf>
    <xf numFmtId="0" fontId="52" fillId="0" borderId="2" xfId="0" applyNumberFormat="1" applyFont="1" applyFill="1" applyBorder="1" applyAlignment="1">
      <alignment horizontal="center" vertical="center" wrapText="1"/>
    </xf>
    <xf numFmtId="0" fontId="52" fillId="0" borderId="3" xfId="0" applyFont="1" applyFill="1" applyBorder="1" applyAlignment="1">
      <alignment horizontal="center" vertical="center" wrapText="1" shrinkToFit="1"/>
    </xf>
    <xf numFmtId="190" fontId="57" fillId="0" borderId="11" xfId="0" applyNumberFormat="1" applyFont="1" applyFill="1" applyBorder="1" applyAlignment="1">
      <alignment horizontal="center" vertical="center"/>
    </xf>
    <xf numFmtId="190" fontId="57" fillId="0" borderId="0" xfId="0" applyNumberFormat="1" applyFont="1" applyFill="1" applyBorder="1" applyAlignment="1">
      <alignment horizontal="center" vertical="center"/>
    </xf>
    <xf numFmtId="0" fontId="57" fillId="0" borderId="12" xfId="0" applyFont="1" applyFill="1" applyBorder="1" applyAlignment="1">
      <alignment horizontal="center" vertical="center" wrapText="1" shrinkToFit="1"/>
    </xf>
    <xf numFmtId="0" fontId="52" fillId="0" borderId="12" xfId="0" applyFont="1" applyFill="1" applyBorder="1" applyAlignment="1">
      <alignment horizontal="center" vertical="center" wrapText="1" shrinkToFit="1"/>
    </xf>
    <xf numFmtId="0" fontId="57" fillId="0" borderId="13" xfId="0" applyFont="1" applyFill="1" applyBorder="1" applyAlignment="1">
      <alignment horizontal="center" vertical="center" wrapText="1" shrinkToFit="1"/>
    </xf>
    <xf numFmtId="190" fontId="52" fillId="0" borderId="0" xfId="0" applyNumberFormat="1" applyFont="1" applyFill="1" applyBorder="1" applyAlignment="1">
      <alignment horizontal="center" vertical="center"/>
    </xf>
    <xf numFmtId="184" fontId="57" fillId="0" borderId="2" xfId="0" applyNumberFormat="1" applyFont="1" applyFill="1" applyBorder="1" applyAlignment="1">
      <alignment horizontal="center" vertical="center"/>
    </xf>
    <xf numFmtId="181" fontId="57" fillId="0" borderId="2" xfId="0" applyNumberFormat="1" applyFont="1" applyFill="1" applyBorder="1" applyAlignment="1">
      <alignment horizontal="center" vertical="center"/>
    </xf>
    <xf numFmtId="183" fontId="52" fillId="0" borderId="2" xfId="0" applyNumberFormat="1" applyFont="1" applyFill="1" applyBorder="1" applyAlignment="1">
      <alignment horizontal="center" vertical="center" wrapText="1"/>
    </xf>
    <xf numFmtId="186" fontId="52" fillId="0" borderId="2" xfId="0" applyNumberFormat="1" applyFont="1" applyFill="1" applyBorder="1" applyAlignment="1">
      <alignment horizontal="center" vertical="center" wrapText="1" shrinkToFit="1"/>
    </xf>
    <xf numFmtId="189" fontId="52" fillId="0" borderId="2" xfId="0" applyNumberFormat="1" applyFont="1" applyFill="1" applyBorder="1" applyAlignment="1">
      <alignment horizontal="center" vertical="center" wrapText="1" shrinkToFit="1"/>
    </xf>
    <xf numFmtId="0" fontId="52" fillId="0" borderId="7" xfId="0" applyFont="1" applyFill="1" applyBorder="1" applyAlignment="1">
      <alignment horizontal="center" vertical="center" wrapText="1" shrinkToFit="1"/>
    </xf>
    <xf numFmtId="0" fontId="52" fillId="0" borderId="13" xfId="0" applyFont="1" applyFill="1" applyBorder="1" applyAlignment="1">
      <alignment horizontal="center" vertical="center" wrapText="1" shrinkToFit="1"/>
    </xf>
    <xf numFmtId="0" fontId="52" fillId="0" borderId="9" xfId="0" applyFont="1" applyFill="1" applyBorder="1" applyAlignment="1">
      <alignment horizontal="center" vertical="center" wrapText="1" shrinkToFit="1"/>
    </xf>
    <xf numFmtId="0" fontId="52" fillId="0" borderId="1" xfId="0" applyFont="1" applyFill="1" applyBorder="1" applyAlignment="1">
      <alignment horizontal="center" vertical="center" wrapText="1" shrinkToFit="1"/>
    </xf>
    <xf numFmtId="0" fontId="52" fillId="0" borderId="32" xfId="0" applyFont="1" applyFill="1" applyBorder="1" applyAlignment="1">
      <alignment horizontal="center" vertical="center" wrapText="1" shrinkToFit="1"/>
    </xf>
    <xf numFmtId="0" fontId="52" fillId="0" borderId="15" xfId="0" applyFont="1" applyFill="1" applyBorder="1" applyAlignment="1">
      <alignment horizontal="center" vertical="center" wrapText="1" shrinkToFit="1"/>
    </xf>
    <xf numFmtId="0" fontId="52" fillId="0" borderId="10" xfId="0" applyFont="1" applyFill="1" applyBorder="1" applyAlignment="1">
      <alignment horizontal="center" vertical="center" wrapText="1" shrinkToFit="1"/>
    </xf>
    <xf numFmtId="58" fontId="52" fillId="0" borderId="2" xfId="0" applyNumberFormat="1" applyFont="1" applyFill="1" applyBorder="1" applyAlignment="1">
      <alignment horizontal="center" vertical="center"/>
    </xf>
    <xf numFmtId="188" fontId="57" fillId="0" borderId="2" xfId="0" applyNumberFormat="1" applyFont="1" applyFill="1" applyBorder="1" applyAlignment="1">
      <alignment horizontal="center" vertical="center"/>
    </xf>
    <xf numFmtId="189" fontId="52" fillId="0" borderId="14" xfId="0" applyNumberFormat="1" applyFont="1" applyFill="1" applyBorder="1" applyAlignment="1">
      <alignment horizontal="center" vertical="center" wrapText="1" shrinkToFit="1"/>
    </xf>
    <xf numFmtId="183" fontId="52" fillId="0" borderId="2" xfId="0" applyNumberFormat="1" applyFont="1" applyFill="1" applyBorder="1" applyAlignment="1">
      <alignment horizontal="left" vertical="center"/>
    </xf>
    <xf numFmtId="189" fontId="52" fillId="0" borderId="12" xfId="0" applyNumberFormat="1" applyFont="1" applyFill="1" applyBorder="1" applyAlignment="1">
      <alignment horizontal="center" vertical="center" wrapText="1" shrinkToFit="1"/>
    </xf>
    <xf numFmtId="192" fontId="52" fillId="0" borderId="2" xfId="0" applyNumberFormat="1" applyFont="1" applyFill="1" applyBorder="1" applyAlignment="1">
      <alignment horizontal="center" vertical="center" wrapText="1" shrinkToFit="1"/>
    </xf>
    <xf numFmtId="188" fontId="57" fillId="0" borderId="3" xfId="0" applyNumberFormat="1" applyFont="1" applyFill="1" applyBorder="1" applyAlignment="1">
      <alignment horizontal="center" vertical="center" wrapText="1"/>
    </xf>
    <xf numFmtId="187" fontId="52" fillId="0" borderId="2" xfId="0" applyNumberFormat="1" applyFont="1" applyFill="1" applyBorder="1" applyAlignment="1">
      <alignment horizontal="center" vertical="center" wrapText="1" shrinkToFit="1"/>
    </xf>
    <xf numFmtId="188" fontId="52" fillId="0" borderId="2" xfId="0" applyNumberFormat="1" applyFont="1" applyFill="1" applyBorder="1" applyAlignment="1">
      <alignment horizontal="center" vertical="center" wrapText="1" shrinkToFit="1"/>
    </xf>
    <xf numFmtId="181" fontId="57" fillId="0" borderId="14" xfId="0" applyNumberFormat="1" applyFont="1" applyFill="1" applyBorder="1" applyAlignment="1">
      <alignment horizontal="center" vertical="center"/>
    </xf>
    <xf numFmtId="0" fontId="57" fillId="0" borderId="14" xfId="0" applyFont="1" applyFill="1" applyBorder="1" applyAlignment="1">
      <alignment horizontal="center" vertical="center"/>
    </xf>
    <xf numFmtId="189" fontId="52" fillId="0" borderId="16" xfId="0" applyNumberFormat="1" applyFont="1" applyFill="1" applyBorder="1" applyAlignment="1">
      <alignment horizontal="center" vertical="center" wrapText="1" shrinkToFit="1"/>
    </xf>
    <xf numFmtId="188" fontId="52" fillId="0" borderId="2" xfId="0" applyNumberFormat="1" applyFont="1" applyFill="1" applyBorder="1" applyAlignment="1">
      <alignment horizontal="center" vertical="center" wrapText="1"/>
    </xf>
    <xf numFmtId="188" fontId="52" fillId="0" borderId="6" xfId="0" applyNumberFormat="1" applyFont="1" applyFill="1" applyBorder="1" applyAlignment="1">
      <alignment horizontal="center" vertical="center" wrapText="1" shrinkToFit="1"/>
    </xf>
    <xf numFmtId="188" fontId="52" fillId="0" borderId="2" xfId="0" applyNumberFormat="1" applyFont="1" applyFill="1" applyBorder="1" applyAlignment="1">
      <alignment horizontal="center" vertical="center"/>
    </xf>
    <xf numFmtId="189" fontId="57" fillId="0" borderId="14" xfId="0" applyNumberFormat="1" applyFont="1" applyFill="1" applyBorder="1" applyAlignment="1">
      <alignment horizontal="center" vertical="center" wrapText="1" shrinkToFit="1"/>
    </xf>
    <xf numFmtId="188" fontId="52" fillId="0" borderId="7" xfId="0" applyNumberFormat="1" applyFont="1" applyFill="1" applyBorder="1" applyAlignment="1">
      <alignment horizontal="center" vertical="center" wrapText="1" shrinkToFit="1"/>
    </xf>
    <xf numFmtId="181" fontId="57" fillId="0" borderId="16" xfId="0" applyNumberFormat="1" applyFont="1" applyFill="1" applyBorder="1" applyAlignment="1">
      <alignment horizontal="center" vertical="center"/>
    </xf>
    <xf numFmtId="192" fontId="52" fillId="0" borderId="12" xfId="0" applyNumberFormat="1" applyFont="1" applyFill="1" applyBorder="1" applyAlignment="1">
      <alignment horizontal="center" vertical="center" wrapText="1" shrinkToFit="1"/>
    </xf>
    <xf numFmtId="0" fontId="57" fillId="0" borderId="12" xfId="0" applyFont="1" applyFill="1" applyBorder="1" applyAlignment="1">
      <alignment horizontal="center" vertical="center"/>
    </xf>
    <xf numFmtId="189" fontId="57" fillId="0" borderId="16" xfId="0" applyNumberFormat="1" applyFont="1" applyFill="1" applyBorder="1" applyAlignment="1">
      <alignment horizontal="center" vertical="center" wrapText="1" shrinkToFit="1"/>
    </xf>
    <xf numFmtId="181" fontId="57" fillId="0" borderId="12" xfId="0" applyNumberFormat="1" applyFont="1" applyFill="1" applyBorder="1" applyAlignment="1">
      <alignment horizontal="center" vertical="center"/>
    </xf>
    <xf numFmtId="186" fontId="57" fillId="0" borderId="12" xfId="0" applyNumberFormat="1" applyFont="1" applyFill="1" applyBorder="1" applyAlignment="1">
      <alignment horizontal="center" vertical="center" wrapText="1" shrinkToFit="1"/>
    </xf>
    <xf numFmtId="188" fontId="57" fillId="0" borderId="2" xfId="0" applyNumberFormat="1" applyFont="1" applyFill="1" applyBorder="1" applyAlignment="1">
      <alignment horizontal="center" vertical="center" wrapText="1"/>
    </xf>
    <xf numFmtId="186" fontId="52" fillId="0" borderId="12" xfId="0" applyNumberFormat="1" applyFont="1" applyFill="1" applyBorder="1" applyAlignment="1">
      <alignment horizontal="center" vertical="center" wrapText="1" shrinkToFit="1"/>
    </xf>
    <xf numFmtId="0" fontId="12" fillId="0" borderId="2" xfId="0" applyNumberFormat="1" applyFont="1" applyFill="1" applyBorder="1" applyAlignment="1">
      <alignment horizontal="center" vertical="center" wrapText="1" shrinkToFit="1"/>
    </xf>
    <xf numFmtId="181" fontId="12" fillId="0" borderId="2" xfId="0" applyNumberFormat="1" applyFont="1" applyFill="1" applyBorder="1" applyAlignment="1">
      <alignment horizontal="center" vertical="center" wrapText="1" shrinkToFit="1"/>
    </xf>
    <xf numFmtId="183" fontId="52" fillId="0" borderId="2" xfId="0" applyNumberFormat="1" applyFont="1" applyFill="1" applyBorder="1" applyAlignment="1">
      <alignment horizontal="center" vertical="center"/>
    </xf>
    <xf numFmtId="0" fontId="57" fillId="0" borderId="2" xfId="0" applyNumberFormat="1" applyFont="1" applyFill="1" applyBorder="1" applyAlignment="1">
      <alignment horizontal="center" vertical="center"/>
    </xf>
    <xf numFmtId="0" fontId="57" fillId="0" borderId="3" xfId="0" applyNumberFormat="1" applyFont="1" applyFill="1" applyBorder="1" applyAlignment="1">
      <alignment horizontal="center" vertical="center"/>
    </xf>
    <xf numFmtId="183" fontId="52" fillId="0" borderId="14" xfId="0" applyNumberFormat="1" applyFont="1" applyFill="1" applyBorder="1" applyAlignment="1">
      <alignment horizontal="center" vertical="center" wrapText="1"/>
    </xf>
    <xf numFmtId="0" fontId="57" fillId="0" borderId="10" xfId="0" applyFont="1" applyFill="1" applyBorder="1" applyAlignment="1">
      <alignment horizontal="center" vertical="center"/>
    </xf>
    <xf numFmtId="58" fontId="52" fillId="0" borderId="2" xfId="0" applyNumberFormat="1" applyFont="1" applyFill="1" applyBorder="1" applyAlignment="1">
      <alignment horizontal="center" vertical="center" wrapText="1" shrinkToFit="1"/>
    </xf>
    <xf numFmtId="0" fontId="52" fillId="0" borderId="2" xfId="0" applyNumberFormat="1" applyFont="1" applyFill="1" applyBorder="1" applyAlignment="1">
      <alignment horizontal="center" vertical="center" wrapText="1" shrinkToFit="1"/>
    </xf>
    <xf numFmtId="188" fontId="57" fillId="0" borderId="2" xfId="0" applyNumberFormat="1" applyFont="1" applyFill="1" applyBorder="1" applyAlignment="1">
      <alignment horizontal="center" vertical="center" wrapText="1" shrinkToFit="1"/>
    </xf>
    <xf numFmtId="188" fontId="57" fillId="0" borderId="7" xfId="0" applyNumberFormat="1" applyFont="1" applyFill="1" applyBorder="1" applyAlignment="1">
      <alignment horizontal="center" vertical="center" wrapText="1" shrinkToFit="1"/>
    </xf>
    <xf numFmtId="188" fontId="57" fillId="0" borderId="7" xfId="0" applyNumberFormat="1" applyFont="1" applyFill="1" applyBorder="1" applyAlignment="1">
      <alignment horizontal="center" vertical="center"/>
    </xf>
    <xf numFmtId="182" fontId="52" fillId="0" borderId="2" xfId="0" applyNumberFormat="1" applyFont="1" applyFill="1" applyBorder="1" applyAlignment="1">
      <alignment horizontal="center" vertical="center"/>
    </xf>
    <xf numFmtId="188" fontId="52" fillId="0" borderId="10" xfId="0" applyNumberFormat="1" applyFont="1" applyFill="1" applyBorder="1" applyAlignment="1">
      <alignment horizontal="center" vertical="center" wrapText="1" shrinkToFit="1"/>
    </xf>
    <xf numFmtId="188" fontId="52" fillId="0" borderId="14" xfId="0" applyNumberFormat="1" applyFont="1" applyFill="1" applyBorder="1" applyAlignment="1">
      <alignment horizontal="center" vertical="center" wrapText="1" shrinkToFit="1"/>
    </xf>
    <xf numFmtId="182" fontId="57" fillId="0" borderId="2" xfId="0" applyNumberFormat="1" applyFont="1" applyFill="1" applyBorder="1" applyAlignment="1">
      <alignment horizontal="center" vertical="center"/>
    </xf>
    <xf numFmtId="186" fontId="57" fillId="0" borderId="2" xfId="0" applyNumberFormat="1" applyFont="1" applyFill="1" applyBorder="1" applyAlignment="1">
      <alignment horizontal="center" vertical="center" wrapText="1" shrinkToFit="1"/>
    </xf>
    <xf numFmtId="0" fontId="57" fillId="0" borderId="2" xfId="0" applyNumberFormat="1" applyFont="1" applyFill="1" applyBorder="1" applyAlignment="1">
      <alignment horizontal="center" vertical="center" wrapText="1" shrinkToFit="1"/>
    </xf>
    <xf numFmtId="182" fontId="57" fillId="0" borderId="2" xfId="0" applyNumberFormat="1" applyFont="1" applyFill="1" applyBorder="1" applyAlignment="1">
      <alignment horizontal="center" vertical="center" wrapText="1"/>
    </xf>
    <xf numFmtId="0" fontId="7" fillId="0" borderId="0" xfId="0" applyNumberFormat="1" applyFont="1" applyFill="1" applyAlignment="1">
      <alignment horizontal="center" vertical="center" wrapText="1"/>
    </xf>
    <xf numFmtId="187" fontId="12" fillId="0" borderId="2" xfId="0" applyNumberFormat="1" applyFont="1" applyFill="1" applyBorder="1" applyAlignment="1">
      <alignment horizontal="center" vertical="center" wrapText="1" shrinkToFit="1"/>
    </xf>
    <xf numFmtId="182" fontId="74" fillId="0" borderId="2" xfId="0" applyNumberFormat="1" applyFont="1" applyFill="1" applyBorder="1" applyAlignment="1">
      <alignment horizontal="center" vertical="center" wrapText="1" shrinkToFit="1"/>
    </xf>
    <xf numFmtId="0" fontId="74" fillId="0" borderId="2" xfId="0" applyFont="1" applyFill="1" applyBorder="1" applyAlignment="1">
      <alignment horizontal="center" vertical="center"/>
    </xf>
    <xf numFmtId="0" fontId="57" fillId="0" borderId="2" xfId="0" applyNumberFormat="1" applyFont="1" applyFill="1" applyBorder="1" applyAlignment="1">
      <alignment horizontal="center" vertical="center" wrapText="1"/>
    </xf>
    <xf numFmtId="183" fontId="52" fillId="0" borderId="3" xfId="0" applyNumberFormat="1" applyFont="1" applyFill="1" applyBorder="1" applyAlignment="1">
      <alignment horizontal="center" vertical="center"/>
    </xf>
    <xf numFmtId="182" fontId="57" fillId="0" borderId="14" xfId="0" applyNumberFormat="1" applyFont="1" applyFill="1" applyBorder="1" applyAlignment="1">
      <alignment horizontal="center" vertical="center"/>
    </xf>
    <xf numFmtId="182" fontId="57" fillId="0" borderId="10" xfId="0" applyNumberFormat="1" applyFont="1" applyFill="1" applyBorder="1" applyAlignment="1">
      <alignment horizontal="center" vertical="center"/>
    </xf>
    <xf numFmtId="182" fontId="57" fillId="0" borderId="7" xfId="0" applyNumberFormat="1" applyFont="1" applyFill="1" applyBorder="1" applyAlignment="1">
      <alignment horizontal="center" vertical="center"/>
    </xf>
    <xf numFmtId="0" fontId="52" fillId="0" borderId="14" xfId="0" applyFont="1" applyFill="1" applyBorder="1" applyAlignment="1">
      <alignment horizontal="center" vertical="center" wrapText="1" shrinkToFit="1"/>
    </xf>
    <xf numFmtId="182" fontId="52" fillId="0" borderId="2" xfId="0" applyNumberFormat="1" applyFont="1" applyFill="1" applyBorder="1" applyAlignment="1">
      <alignment horizontal="center" vertical="center" wrapText="1" shrinkToFit="1"/>
    </xf>
    <xf numFmtId="0" fontId="57" fillId="0" borderId="14" xfId="0" applyFont="1" applyFill="1" applyBorder="1" applyAlignment="1">
      <alignment horizontal="center" vertical="center" wrapText="1" shrinkToFit="1"/>
    </xf>
    <xf numFmtId="182" fontId="12" fillId="0" borderId="2" xfId="0" applyNumberFormat="1" applyFont="1" applyFill="1" applyBorder="1" applyAlignment="1">
      <alignment horizontal="center" vertical="center" wrapText="1" shrinkToFit="1"/>
    </xf>
    <xf numFmtId="0" fontId="52" fillId="0" borderId="12" xfId="0" applyNumberFormat="1" applyFont="1" applyFill="1" applyBorder="1" applyAlignment="1">
      <alignment horizontal="center" vertical="center" wrapText="1"/>
    </xf>
    <xf numFmtId="0" fontId="52" fillId="0" borderId="16" xfId="0" applyNumberFormat="1" applyFont="1" applyFill="1" applyBorder="1" applyAlignment="1">
      <alignment horizontal="center" vertical="center" wrapText="1"/>
    </xf>
    <xf numFmtId="0" fontId="52" fillId="0" borderId="14" xfId="0" applyNumberFormat="1" applyFont="1" applyFill="1" applyBorder="1" applyAlignment="1">
      <alignment horizontal="center" vertical="center" wrapText="1"/>
    </xf>
    <xf numFmtId="182" fontId="52" fillId="0" borderId="14" xfId="0" applyNumberFormat="1" applyFont="1" applyFill="1" applyBorder="1" applyAlignment="1">
      <alignment horizontal="center" vertical="center" wrapText="1" shrinkToFit="1"/>
    </xf>
    <xf numFmtId="182" fontId="57" fillId="0" borderId="0" xfId="0" applyNumberFormat="1" applyFont="1" applyFill="1" applyAlignment="1">
      <alignment horizontal="center" vertical="center"/>
    </xf>
    <xf numFmtId="0" fontId="52" fillId="0" borderId="2" xfId="0" applyNumberFormat="1" applyFont="1" applyFill="1" applyBorder="1" applyAlignment="1">
      <alignment vertical="center" wrapText="1"/>
    </xf>
    <xf numFmtId="0" fontId="57" fillId="0" borderId="2" xfId="0" applyFont="1" applyFill="1" applyBorder="1">
      <alignment vertical="center"/>
    </xf>
    <xf numFmtId="182" fontId="57" fillId="0" borderId="2" xfId="0" applyNumberFormat="1" applyFont="1" applyFill="1" applyBorder="1" applyAlignment="1">
      <alignment horizontal="center" vertical="center" wrapText="1" shrinkToFit="1"/>
    </xf>
    <xf numFmtId="182" fontId="57" fillId="0" borderId="14" xfId="0" applyNumberFormat="1" applyFont="1" applyFill="1" applyBorder="1" applyAlignment="1">
      <alignment horizontal="center" vertical="center" wrapText="1" shrinkToFit="1"/>
    </xf>
    <xf numFmtId="0" fontId="52" fillId="0" borderId="0" xfId="0" applyFont="1" applyFill="1" applyAlignment="1">
      <alignment horizontal="center" vertical="center" wrapText="1"/>
    </xf>
    <xf numFmtId="0" fontId="57" fillId="0" borderId="0" xfId="0" applyFont="1" applyFill="1" applyAlignment="1">
      <alignment horizontal="center" vertical="center" wrapText="1" shrinkToFit="1"/>
    </xf>
    <xf numFmtId="0" fontId="52" fillId="0" borderId="0" xfId="0" applyFont="1" applyFill="1" applyAlignment="1">
      <alignment horizontal="center" vertical="center" wrapText="1" shrinkToFit="1"/>
    </xf>
    <xf numFmtId="190" fontId="57" fillId="0" borderId="2" xfId="0" applyNumberFormat="1" applyFont="1" applyFill="1" applyBorder="1" applyAlignment="1">
      <alignment horizontal="center" vertical="center"/>
    </xf>
    <xf numFmtId="0" fontId="57" fillId="0" borderId="14" xfId="0" applyFont="1" applyFill="1" applyBorder="1" applyAlignment="1">
      <alignment horizontal="center" vertical="center" shrinkToFit="1"/>
    </xf>
    <xf numFmtId="0" fontId="57" fillId="0" borderId="15" xfId="0" applyFont="1" applyFill="1" applyBorder="1" applyAlignment="1">
      <alignment horizontal="center" vertical="center" wrapText="1" shrinkToFit="1"/>
    </xf>
    <xf numFmtId="190" fontId="57" fillId="0" borderId="12" xfId="0" applyNumberFormat="1" applyFont="1" applyFill="1" applyBorder="1" applyAlignment="1">
      <alignment horizontal="center" vertical="center"/>
    </xf>
    <xf numFmtId="0" fontId="57" fillId="0" borderId="12" xfId="0" applyFont="1" applyFill="1" applyBorder="1" applyAlignment="1">
      <alignment horizontal="center" vertical="center" shrinkToFit="1"/>
    </xf>
    <xf numFmtId="190" fontId="57" fillId="0" borderId="14" xfId="0" applyNumberFormat="1" applyFont="1" applyFill="1" applyBorder="1" applyAlignment="1">
      <alignment horizontal="center" vertical="center"/>
    </xf>
    <xf numFmtId="186" fontId="57" fillId="0" borderId="14" xfId="150" applyNumberFormat="1" applyFont="1" applyFill="1" applyBorder="1" applyAlignment="1">
      <alignment horizontal="center" vertical="center"/>
    </xf>
    <xf numFmtId="0" fontId="57" fillId="0" borderId="14" xfId="150" applyNumberFormat="1" applyFont="1" applyFill="1" applyBorder="1" applyAlignment="1">
      <alignment horizontal="center" vertical="center" wrapText="1" shrinkToFit="1"/>
    </xf>
    <xf numFmtId="0" fontId="57" fillId="0" borderId="14" xfId="150" applyFont="1" applyFill="1" applyBorder="1" applyAlignment="1">
      <alignment horizontal="center" vertical="center" wrapText="1"/>
    </xf>
    <xf numFmtId="0" fontId="57" fillId="0" borderId="14" xfId="150" applyFont="1" applyFill="1" applyBorder="1" applyAlignment="1">
      <alignment horizontal="center" vertical="center"/>
    </xf>
    <xf numFmtId="0" fontId="52" fillId="0" borderId="14" xfId="0" applyFont="1" applyFill="1" applyBorder="1" applyAlignment="1">
      <alignment horizontal="center" vertical="center" wrapText="1"/>
    </xf>
    <xf numFmtId="49" fontId="57" fillId="0" borderId="14" xfId="0" applyNumberFormat="1" applyFont="1" applyFill="1" applyBorder="1" applyAlignment="1">
      <alignment horizontal="center" vertical="center" wrapText="1"/>
    </xf>
    <xf numFmtId="0" fontId="57" fillId="0" borderId="14" xfId="0" applyNumberFormat="1" applyFont="1" applyFill="1" applyBorder="1" applyAlignment="1">
      <alignment horizontal="center" vertical="center" shrinkToFit="1"/>
    </xf>
    <xf numFmtId="0" fontId="57" fillId="0" borderId="15" xfId="0" applyFont="1" applyFill="1" applyBorder="1" applyAlignment="1">
      <alignment horizontal="center" vertical="center"/>
    </xf>
    <xf numFmtId="189" fontId="57" fillId="0" borderId="2" xfId="0" applyNumberFormat="1" applyFont="1" applyFill="1" applyBorder="1" applyAlignment="1">
      <alignment horizontal="center" vertical="center" wrapText="1" shrinkToFit="1"/>
    </xf>
    <xf numFmtId="181" fontId="57" fillId="0" borderId="2" xfId="0" applyNumberFormat="1" applyFont="1" applyFill="1" applyBorder="1" applyAlignment="1">
      <alignment horizontal="center" vertical="center" wrapText="1" shrinkToFit="1"/>
    </xf>
    <xf numFmtId="188" fontId="57" fillId="0" borderId="3" xfId="0" applyNumberFormat="1" applyFont="1" applyFill="1" applyBorder="1" applyAlignment="1">
      <alignment horizontal="center" vertical="center" wrapText="1" shrinkToFit="1"/>
    </xf>
    <xf numFmtId="183" fontId="57" fillId="0" borderId="15" xfId="0" applyNumberFormat="1" applyFont="1" applyFill="1" applyBorder="1" applyAlignment="1">
      <alignment horizontal="center" vertical="center" wrapText="1"/>
    </xf>
    <xf numFmtId="183" fontId="57" fillId="0" borderId="10" xfId="0" applyNumberFormat="1" applyFont="1" applyFill="1" applyBorder="1" applyAlignment="1">
      <alignment horizontal="center" vertical="center" wrapText="1"/>
    </xf>
    <xf numFmtId="189" fontId="57" fillId="0" borderId="12" xfId="0" applyNumberFormat="1" applyFont="1" applyFill="1" applyBorder="1" applyAlignment="1">
      <alignment horizontal="center" vertical="center" wrapText="1" shrinkToFit="1"/>
    </xf>
    <xf numFmtId="188" fontId="57" fillId="0" borderId="12" xfId="0" applyNumberFormat="1" applyFont="1" applyFill="1" applyBorder="1" applyAlignment="1">
      <alignment horizontal="center" vertical="center" wrapText="1"/>
    </xf>
    <xf numFmtId="188" fontId="57" fillId="0" borderId="13" xfId="0" applyNumberFormat="1" applyFont="1" applyFill="1" applyBorder="1" applyAlignment="1">
      <alignment horizontal="center" vertical="center" wrapText="1"/>
    </xf>
    <xf numFmtId="188" fontId="57" fillId="0" borderId="12" xfId="0" applyNumberFormat="1" applyFont="1" applyFill="1" applyBorder="1" applyAlignment="1">
      <alignment horizontal="center" vertical="center"/>
    </xf>
    <xf numFmtId="183" fontId="57" fillId="0" borderId="14" xfId="0" applyNumberFormat="1" applyFont="1" applyFill="1" applyBorder="1" applyAlignment="1">
      <alignment horizontal="center" vertical="center" wrapText="1"/>
    </xf>
    <xf numFmtId="186" fontId="57" fillId="0" borderId="14" xfId="0" applyNumberFormat="1" applyFont="1" applyFill="1" applyBorder="1" applyAlignment="1">
      <alignment horizontal="center" vertical="center" wrapText="1" shrinkToFit="1"/>
    </xf>
    <xf numFmtId="181" fontId="57" fillId="0" borderId="12" xfId="0" applyNumberFormat="1" applyFont="1" applyFill="1" applyBorder="1" applyAlignment="1">
      <alignment horizontal="center" vertical="center" wrapText="1" shrinkToFit="1"/>
    </xf>
    <xf numFmtId="181" fontId="57" fillId="0" borderId="14" xfId="0" applyNumberFormat="1" applyFont="1" applyFill="1" applyBorder="1" applyAlignment="1">
      <alignment horizontal="center" vertical="center" wrapText="1" shrinkToFit="1"/>
    </xf>
    <xf numFmtId="0" fontId="57" fillId="0" borderId="14" xfId="0" applyNumberFormat="1" applyFont="1" applyFill="1" applyBorder="1" applyAlignment="1">
      <alignment horizontal="center" vertical="center" wrapText="1" shrinkToFit="1"/>
    </xf>
    <xf numFmtId="186" fontId="57" fillId="0" borderId="16" xfId="0" applyNumberFormat="1" applyFont="1" applyFill="1" applyBorder="1" applyAlignment="1">
      <alignment horizontal="center" vertical="center" wrapText="1" shrinkToFit="1"/>
    </xf>
    <xf numFmtId="0" fontId="57" fillId="0" borderId="16" xfId="0" applyFont="1" applyFill="1" applyBorder="1" applyAlignment="1">
      <alignment horizontal="center" vertical="center"/>
    </xf>
    <xf numFmtId="194" fontId="57" fillId="0" borderId="2" xfId="0" applyNumberFormat="1" applyFont="1" applyFill="1" applyBorder="1" applyAlignment="1">
      <alignment horizontal="center" vertical="center" wrapText="1" shrinkToFit="1"/>
    </xf>
    <xf numFmtId="186" fontId="52" fillId="0" borderId="14" xfId="0" applyNumberFormat="1" applyFont="1" applyFill="1" applyBorder="1" applyAlignment="1">
      <alignment horizontal="center" vertical="center" wrapText="1" shrinkToFit="1"/>
    </xf>
    <xf numFmtId="183" fontId="57" fillId="0" borderId="14" xfId="0" applyNumberFormat="1" applyFont="1" applyFill="1" applyBorder="1" applyAlignment="1">
      <alignment horizontal="center" vertical="center"/>
    </xf>
    <xf numFmtId="188" fontId="57" fillId="0" borderId="9" xfId="0" applyNumberFormat="1" applyFont="1" applyFill="1" applyBorder="1" applyAlignment="1">
      <alignment horizontal="center" vertical="center" wrapText="1" shrinkToFit="1"/>
    </xf>
    <xf numFmtId="188" fontId="52" fillId="0" borderId="12" xfId="0" applyNumberFormat="1" applyFont="1" applyFill="1" applyBorder="1" applyAlignment="1">
      <alignment horizontal="center" vertical="center" wrapText="1" shrinkToFit="1"/>
    </xf>
    <xf numFmtId="0" fontId="57" fillId="0" borderId="12" xfId="0" applyNumberFormat="1" applyFont="1" applyFill="1" applyBorder="1" applyAlignment="1">
      <alignment horizontal="center" vertical="center" wrapText="1" shrinkToFit="1"/>
    </xf>
    <xf numFmtId="194" fontId="57" fillId="0" borderId="9" xfId="0" applyNumberFormat="1" applyFont="1" applyFill="1" applyBorder="1" applyAlignment="1">
      <alignment horizontal="center" vertical="center" wrapText="1" shrinkToFit="1"/>
    </xf>
    <xf numFmtId="188" fontId="57" fillId="0" borderId="14" xfId="0" applyNumberFormat="1" applyFont="1" applyFill="1" applyBorder="1" applyAlignment="1">
      <alignment horizontal="center" vertical="center" wrapText="1" shrinkToFit="1"/>
    </xf>
    <xf numFmtId="188" fontId="57" fillId="0" borderId="15" xfId="0" applyNumberFormat="1" applyFont="1" applyFill="1" applyBorder="1" applyAlignment="1">
      <alignment horizontal="center" vertical="center" wrapText="1" shrinkToFit="1"/>
    </xf>
    <xf numFmtId="58" fontId="52" fillId="0" borderId="14" xfId="0" applyNumberFormat="1" applyFont="1" applyFill="1" applyBorder="1" applyAlignment="1">
      <alignment horizontal="center" vertical="center" wrapText="1"/>
    </xf>
    <xf numFmtId="58" fontId="52" fillId="0" borderId="2" xfId="0" applyNumberFormat="1" applyFont="1" applyFill="1" applyBorder="1" applyAlignment="1">
      <alignment horizontal="center" vertical="center" wrapText="1"/>
    </xf>
    <xf numFmtId="188" fontId="57" fillId="0" borderId="12" xfId="0" applyNumberFormat="1" applyFont="1" applyFill="1" applyBorder="1" applyAlignment="1">
      <alignment horizontal="center" vertical="center" wrapText="1" shrinkToFit="1"/>
    </xf>
    <xf numFmtId="0" fontId="52" fillId="0" borderId="12" xfId="0" applyFont="1" applyFill="1" applyBorder="1" applyAlignment="1">
      <alignment horizontal="center" vertical="center" wrapText="1"/>
    </xf>
    <xf numFmtId="194" fontId="52" fillId="0" borderId="2" xfId="0" applyNumberFormat="1" applyFont="1" applyFill="1" applyBorder="1" applyAlignment="1">
      <alignment horizontal="center" vertical="center" wrapText="1" shrinkToFit="1"/>
    </xf>
    <xf numFmtId="188" fontId="57" fillId="0" borderId="14" xfId="0" applyNumberFormat="1" applyFont="1" applyFill="1" applyBorder="1" applyAlignment="1">
      <alignment horizontal="center" vertical="center"/>
    </xf>
    <xf numFmtId="188" fontId="57" fillId="0" borderId="14" xfId="0" applyNumberFormat="1" applyFont="1" applyFill="1" applyBorder="1" applyAlignment="1">
      <alignment horizontal="center" vertical="center" wrapText="1"/>
    </xf>
    <xf numFmtId="194" fontId="57" fillId="0" borderId="14" xfId="0" applyNumberFormat="1" applyFont="1" applyFill="1" applyBorder="1" applyAlignment="1">
      <alignment horizontal="center" vertical="center" wrapText="1" shrinkToFit="1"/>
    </xf>
    <xf numFmtId="182" fontId="57" fillId="0" borderId="14" xfId="0" applyNumberFormat="1" applyFont="1" applyFill="1" applyBorder="1" applyAlignment="1">
      <alignment horizontal="center" vertical="center" wrapText="1"/>
    </xf>
    <xf numFmtId="0" fontId="57" fillId="0" borderId="16" xfId="0" applyFont="1" applyFill="1" applyBorder="1" applyAlignment="1">
      <alignment horizontal="center" vertical="center" wrapText="1" shrinkToFit="1"/>
    </xf>
    <xf numFmtId="182" fontId="57" fillId="0" borderId="12" xfId="0" applyNumberFormat="1" applyFont="1" applyFill="1" applyBorder="1" applyAlignment="1">
      <alignment horizontal="center" vertical="center"/>
    </xf>
    <xf numFmtId="182" fontId="57" fillId="0" borderId="12" xfId="0" applyNumberFormat="1" applyFont="1" applyFill="1" applyBorder="1" applyAlignment="1">
      <alignment horizontal="center" vertical="center" wrapText="1" shrinkToFit="1"/>
    </xf>
    <xf numFmtId="0" fontId="52" fillId="0" borderId="14" xfId="0" applyNumberFormat="1" applyFont="1" applyFill="1" applyBorder="1" applyAlignment="1">
      <alignment horizontal="center" vertical="center" wrapText="1" shrinkToFit="1"/>
    </xf>
    <xf numFmtId="182" fontId="57" fillId="0" borderId="16" xfId="0" applyNumberFormat="1" applyFont="1" applyFill="1" applyBorder="1" applyAlignment="1">
      <alignment horizontal="center" vertical="center" wrapText="1" shrinkToFit="1"/>
    </xf>
    <xf numFmtId="0" fontId="52" fillId="0" borderId="0" xfId="0" applyNumberFormat="1" applyFont="1" applyFill="1" applyAlignment="1">
      <alignment horizontal="center" vertical="center" wrapText="1" shrinkToFit="1"/>
    </xf>
    <xf numFmtId="0" fontId="52" fillId="0" borderId="12" xfId="0" applyNumberFormat="1" applyFont="1" applyFill="1" applyBorder="1" applyAlignment="1">
      <alignment horizontal="center" vertical="center" wrapText="1" shrinkToFit="1"/>
    </xf>
    <xf numFmtId="182" fontId="57" fillId="0" borderId="12" xfId="0" applyNumberFormat="1" applyFont="1" applyFill="1" applyBorder="1" applyAlignment="1">
      <alignment horizontal="center" vertical="center" wrapText="1"/>
    </xf>
    <xf numFmtId="0" fontId="52" fillId="0" borderId="16" xfId="0" applyNumberFormat="1" applyFont="1" applyFill="1" applyBorder="1" applyAlignment="1">
      <alignment horizontal="center" vertical="center" wrapText="1" shrinkToFit="1"/>
    </xf>
    <xf numFmtId="182" fontId="57" fillId="0" borderId="16" xfId="0" applyNumberFormat="1" applyFont="1" applyFill="1" applyBorder="1" applyAlignment="1">
      <alignment horizontal="center" vertical="center" wrapText="1"/>
    </xf>
    <xf numFmtId="0" fontId="57" fillId="0" borderId="14" xfId="0" applyNumberFormat="1" applyFont="1" applyFill="1" applyBorder="1" applyAlignment="1">
      <alignment horizontal="center" vertical="center" wrapText="1"/>
    </xf>
    <xf numFmtId="0" fontId="52" fillId="0" borderId="16" xfId="0" applyNumberFormat="1" applyFont="1" applyFill="1" applyBorder="1" applyAlignment="1">
      <alignment vertical="center" wrapText="1"/>
    </xf>
    <xf numFmtId="0" fontId="52" fillId="0" borderId="2" xfId="0" applyFont="1" applyFill="1" applyBorder="1" applyAlignment="1">
      <alignment vertical="center" wrapText="1"/>
    </xf>
    <xf numFmtId="0" fontId="52" fillId="0" borderId="14" xfId="0" applyFont="1" applyFill="1" applyBorder="1" applyAlignment="1">
      <alignment vertical="center" wrapText="1"/>
    </xf>
    <xf numFmtId="0" fontId="57" fillId="0" borderId="12" xfId="0" applyFont="1" applyFill="1" applyBorder="1">
      <alignment vertical="center"/>
    </xf>
    <xf numFmtId="188" fontId="52" fillId="0" borderId="14" xfId="0" applyNumberFormat="1" applyFont="1" applyFill="1" applyBorder="1" applyAlignment="1">
      <alignment horizontal="center" vertical="center" wrapText="1"/>
    </xf>
    <xf numFmtId="188" fontId="52" fillId="0" borderId="14" xfId="0" applyNumberFormat="1" applyFont="1" applyFill="1" applyBorder="1" applyAlignment="1">
      <alignment horizontal="center" vertical="center"/>
    </xf>
    <xf numFmtId="0" fontId="52" fillId="0" borderId="14" xfId="0" applyFont="1" applyFill="1" applyBorder="1" applyAlignment="1">
      <alignment horizontal="center" vertical="center"/>
    </xf>
    <xf numFmtId="201" fontId="57" fillId="0" borderId="2" xfId="0" applyNumberFormat="1" applyFont="1" applyFill="1" applyBorder="1" applyAlignment="1">
      <alignment horizontal="center" vertical="center" wrapText="1" shrinkToFit="1"/>
    </xf>
    <xf numFmtId="184" fontId="57" fillId="0" borderId="12" xfId="0" applyNumberFormat="1" applyFont="1" applyFill="1" applyBorder="1" applyAlignment="1">
      <alignment horizontal="center" vertical="center"/>
    </xf>
    <xf numFmtId="0" fontId="52" fillId="0" borderId="0" xfId="0" applyFont="1" applyFill="1" applyAlignment="1">
      <alignment horizontal="justify" vertical="center"/>
    </xf>
    <xf numFmtId="0" fontId="52" fillId="0" borderId="2" xfId="0" applyFont="1" applyFill="1" applyBorder="1" applyAlignment="1" applyProtection="1">
      <alignment horizontal="center" vertical="center" wrapText="1"/>
    </xf>
    <xf numFmtId="186" fontId="12" fillId="0" borderId="2" xfId="0" applyNumberFormat="1" applyFont="1" applyFill="1" applyBorder="1" applyAlignment="1">
      <alignment horizontal="center" vertical="center" wrapText="1" shrinkToFit="1"/>
    </xf>
    <xf numFmtId="0" fontId="52" fillId="0" borderId="0" xfId="0" applyFont="1" applyFill="1" applyBorder="1" applyAlignment="1">
      <alignment vertical="center" wrapText="1"/>
    </xf>
    <xf numFmtId="0" fontId="52" fillId="0" borderId="0" xfId="0" applyFont="1" applyFill="1" applyBorder="1" applyAlignment="1">
      <alignment horizontal="center" vertical="center" wrapText="1" shrinkToFit="1"/>
    </xf>
    <xf numFmtId="182" fontId="57" fillId="0" borderId="3" xfId="0" applyNumberFormat="1" applyFont="1" applyFill="1" applyBorder="1" applyAlignment="1">
      <alignment horizontal="center" vertical="center"/>
    </xf>
    <xf numFmtId="186" fontId="52" fillId="0" borderId="7" xfId="0" applyNumberFormat="1" applyFont="1" applyFill="1" applyBorder="1" applyAlignment="1">
      <alignment horizontal="center" vertical="center" wrapText="1" shrinkToFit="1"/>
    </xf>
    <xf numFmtId="186" fontId="52" fillId="0" borderId="6" xfId="0" applyNumberFormat="1" applyFont="1" applyFill="1" applyBorder="1" applyAlignment="1">
      <alignment horizontal="center" vertical="center" wrapText="1" shrinkToFit="1"/>
    </xf>
    <xf numFmtId="3" fontId="57" fillId="0" borderId="14" xfId="0" applyNumberFormat="1" applyFont="1" applyFill="1" applyBorder="1" applyAlignment="1">
      <alignment horizontal="center" vertical="center" wrapText="1" shrinkToFit="1"/>
    </xf>
    <xf numFmtId="186" fontId="52" fillId="0" borderId="14" xfId="0" applyNumberFormat="1" applyFont="1" applyFill="1" applyBorder="1" applyAlignment="1">
      <alignment horizontal="center" vertical="center" shrinkToFit="1"/>
    </xf>
    <xf numFmtId="176" fontId="52" fillId="0" borderId="14" xfId="0" applyNumberFormat="1" applyFont="1" applyFill="1" applyBorder="1" applyAlignment="1">
      <alignment horizontal="center" vertical="center" wrapText="1"/>
    </xf>
    <xf numFmtId="176" fontId="52" fillId="0" borderId="2" xfId="0" applyNumberFormat="1" applyFont="1" applyFill="1" applyBorder="1" applyAlignment="1">
      <alignment horizontal="center" vertical="center" wrapText="1"/>
    </xf>
    <xf numFmtId="0" fontId="57" fillId="0" borderId="2" xfId="0" applyNumberFormat="1" applyFont="1" applyFill="1" applyBorder="1" applyAlignment="1">
      <alignment horizontal="center" vertical="center" shrinkToFit="1"/>
    </xf>
    <xf numFmtId="186" fontId="52" fillId="0" borderId="2" xfId="0" applyNumberFormat="1" applyFont="1" applyFill="1" applyBorder="1" applyAlignment="1">
      <alignment horizontal="center" vertical="center" shrinkToFit="1"/>
    </xf>
    <xf numFmtId="182" fontId="52" fillId="0" borderId="14" xfId="0" applyNumberFormat="1" applyFont="1" applyFill="1" applyBorder="1" applyAlignment="1">
      <alignment horizontal="center" vertical="center" wrapText="1"/>
    </xf>
    <xf numFmtId="183" fontId="52" fillId="0" borderId="14" xfId="0" applyNumberFormat="1" applyFont="1" applyFill="1" applyBorder="1" applyAlignment="1">
      <alignment horizontal="center" vertical="center"/>
    </xf>
    <xf numFmtId="188" fontId="52" fillId="0" borderId="14" xfId="0" applyNumberFormat="1" applyFont="1" applyFill="1" applyBorder="1" applyAlignment="1">
      <alignment horizontal="left" vertical="center"/>
    </xf>
    <xf numFmtId="194" fontId="52" fillId="0" borderId="14" xfId="0" applyNumberFormat="1" applyFont="1" applyFill="1" applyBorder="1" applyAlignment="1">
      <alignment horizontal="center" vertical="center" wrapText="1" shrinkToFit="1"/>
    </xf>
    <xf numFmtId="196" fontId="57" fillId="0" borderId="2" xfId="0" applyNumberFormat="1" applyFont="1" applyFill="1" applyBorder="1" applyAlignment="1">
      <alignment horizontal="center" vertical="center"/>
    </xf>
    <xf numFmtId="3" fontId="57" fillId="0" borderId="2" xfId="0" applyNumberFormat="1" applyFont="1" applyFill="1" applyBorder="1" applyAlignment="1">
      <alignment horizontal="center" vertical="center" wrapText="1" shrinkToFit="1"/>
    </xf>
    <xf numFmtId="0" fontId="57" fillId="0" borderId="0" xfId="0" applyFont="1" applyFill="1" applyAlignment="1">
      <alignment horizontal="justify" vertical="center"/>
    </xf>
    <xf numFmtId="0" fontId="52" fillId="0" borderId="2" xfId="0" applyFont="1" applyFill="1" applyBorder="1" applyAlignment="1">
      <alignment horizontal="justify" vertical="center"/>
    </xf>
    <xf numFmtId="0" fontId="52" fillId="0" borderId="10" xfId="0" applyNumberFormat="1" applyFont="1" applyFill="1" applyBorder="1" applyAlignment="1">
      <alignment horizontal="center" vertical="center" wrapText="1"/>
    </xf>
    <xf numFmtId="194" fontId="52" fillId="0" borderId="16" xfId="0" applyNumberFormat="1" applyFont="1" applyFill="1" applyBorder="1" applyAlignment="1">
      <alignment horizontal="center" vertical="center" wrapText="1" shrinkToFit="1"/>
    </xf>
    <xf numFmtId="0" fontId="57" fillId="0" borderId="0" xfId="0" applyFont="1" applyFill="1" applyBorder="1" applyAlignment="1">
      <alignment horizontal="center" vertical="center"/>
    </xf>
    <xf numFmtId="182" fontId="57" fillId="0" borderId="15" xfId="0" applyNumberFormat="1" applyFont="1" applyFill="1" applyBorder="1" applyAlignment="1">
      <alignment horizontal="center" vertical="center"/>
    </xf>
    <xf numFmtId="186" fontId="52" fillId="0" borderId="0" xfId="0" applyNumberFormat="1" applyFont="1" applyFill="1" applyBorder="1" applyAlignment="1">
      <alignment horizontal="center" vertical="center" wrapText="1" shrinkToFit="1"/>
    </xf>
    <xf numFmtId="0" fontId="57" fillId="0" borderId="0" xfId="0" applyFont="1" applyFill="1" applyBorder="1">
      <alignment vertical="center"/>
    </xf>
    <xf numFmtId="49" fontId="52" fillId="0" borderId="14" xfId="0" applyNumberFormat="1" applyFont="1" applyFill="1" applyBorder="1" applyAlignment="1">
      <alignment horizontal="center" vertical="center" wrapText="1"/>
    </xf>
    <xf numFmtId="176" fontId="52" fillId="0" borderId="16" xfId="0" applyNumberFormat="1" applyFont="1" applyFill="1" applyBorder="1" applyAlignment="1">
      <alignment horizontal="center" vertical="center" wrapText="1"/>
    </xf>
    <xf numFmtId="188" fontId="52" fillId="0" borderId="16" xfId="0" applyNumberFormat="1" applyFont="1" applyFill="1" applyBorder="1" applyAlignment="1">
      <alignment horizontal="center" vertical="center"/>
    </xf>
    <xf numFmtId="188" fontId="52" fillId="0" borderId="16" xfId="0" applyNumberFormat="1" applyFont="1" applyFill="1" applyBorder="1" applyAlignment="1">
      <alignment horizontal="center" vertical="center" wrapText="1"/>
    </xf>
    <xf numFmtId="188" fontId="52" fillId="0" borderId="12" xfId="0" applyNumberFormat="1" applyFont="1" applyFill="1" applyBorder="1" applyAlignment="1">
      <alignment horizontal="center" vertical="center" wrapText="1"/>
    </xf>
    <xf numFmtId="188" fontId="52" fillId="0" borderId="16" xfId="0" applyNumberFormat="1" applyFont="1" applyFill="1" applyBorder="1" applyAlignment="1">
      <alignment horizontal="center" vertical="center" wrapText="1" shrinkToFit="1"/>
    </xf>
    <xf numFmtId="0" fontId="52" fillId="0" borderId="16" xfId="0" applyFont="1" applyFill="1" applyBorder="1" applyAlignment="1">
      <alignment horizontal="center" vertical="center" wrapText="1" shrinkToFit="1"/>
    </xf>
    <xf numFmtId="0" fontId="57" fillId="0" borderId="16" xfId="0" applyNumberFormat="1" applyFont="1" applyFill="1" applyBorder="1" applyAlignment="1">
      <alignment horizontal="center" vertical="center" wrapText="1" shrinkToFit="1"/>
    </xf>
    <xf numFmtId="186" fontId="52" fillId="0" borderId="16" xfId="0" applyNumberFormat="1" applyFont="1" applyFill="1" applyBorder="1" applyAlignment="1">
      <alignment horizontal="center" vertical="center" wrapText="1" shrinkToFit="1"/>
    </xf>
    <xf numFmtId="184" fontId="57" fillId="0" borderId="16" xfId="0" applyNumberFormat="1" applyFont="1" applyFill="1" applyBorder="1" applyAlignment="1">
      <alignment horizontal="center" vertical="center"/>
    </xf>
    <xf numFmtId="190" fontId="2" fillId="0" borderId="16" xfId="0" applyNumberFormat="1" applyFont="1" applyFill="1" applyBorder="1" applyAlignment="1">
      <alignment horizontal="center" vertical="center"/>
    </xf>
    <xf numFmtId="0" fontId="2" fillId="0" borderId="16" xfId="0" applyFont="1" applyFill="1" applyBorder="1" applyAlignment="1">
      <alignment horizontal="center" vertical="center" wrapText="1" shrinkToFit="1"/>
    </xf>
    <xf numFmtId="0" fontId="5" fillId="0" borderId="16" xfId="0" applyFont="1" applyFill="1" applyBorder="1" applyAlignment="1">
      <alignment horizontal="center" vertical="center" wrapText="1"/>
    </xf>
    <xf numFmtId="0" fontId="5" fillId="0" borderId="16" xfId="0" applyFont="1" applyFill="1" applyBorder="1" applyAlignment="1">
      <alignment horizontal="center" vertical="center" wrapText="1" shrinkToFit="1"/>
    </xf>
    <xf numFmtId="190" fontId="2" fillId="0" borderId="14" xfId="0" applyNumberFormat="1" applyFont="1" applyFill="1" applyBorder="1" applyAlignment="1">
      <alignment horizontal="center" vertical="center"/>
    </xf>
    <xf numFmtId="0" fontId="2" fillId="0" borderId="14" xfId="0" applyFont="1" applyFill="1" applyBorder="1" applyAlignment="1">
      <alignment horizontal="center" vertical="center" wrapText="1" shrinkToFit="1"/>
    </xf>
    <xf numFmtId="0" fontId="5" fillId="0" borderId="14" xfId="0" applyFont="1" applyFill="1" applyBorder="1" applyAlignment="1">
      <alignment horizontal="center" vertical="center" wrapText="1"/>
    </xf>
    <xf numFmtId="0" fontId="5" fillId="0" borderId="14" xfId="0" applyFont="1" applyFill="1" applyBorder="1" applyAlignment="1">
      <alignment horizontal="center" vertical="center" wrapText="1" shrinkToFit="1"/>
    </xf>
    <xf numFmtId="0" fontId="49" fillId="0" borderId="14" xfId="0" applyFont="1" applyFill="1" applyBorder="1" applyAlignment="1">
      <alignment horizontal="center" vertical="center" wrapText="1"/>
    </xf>
    <xf numFmtId="190" fontId="73" fillId="0" borderId="14" xfId="0" applyNumberFormat="1" applyFont="1" applyFill="1" applyBorder="1" applyAlignment="1">
      <alignment horizontal="center" vertical="center"/>
    </xf>
    <xf numFmtId="0" fontId="75" fillId="0" borderId="14" xfId="0" applyFont="1" applyFill="1" applyBorder="1" applyAlignment="1">
      <alignment horizontal="center" vertical="center" wrapText="1" shrinkToFit="1"/>
    </xf>
    <xf numFmtId="0" fontId="75" fillId="0" borderId="12" xfId="0" applyFont="1" applyFill="1" applyBorder="1" applyAlignment="1">
      <alignment horizontal="center" vertical="center" wrapText="1" shrinkToFit="1"/>
    </xf>
    <xf numFmtId="0" fontId="73" fillId="0" borderId="14" xfId="0" applyFont="1" applyFill="1" applyBorder="1" applyAlignment="1">
      <alignment horizontal="center" vertical="center" wrapText="1" shrinkToFit="1"/>
    </xf>
    <xf numFmtId="0" fontId="73" fillId="0" borderId="2" xfId="0" applyFont="1" applyFill="1" applyBorder="1" applyAlignment="1">
      <alignment horizontal="center" vertical="center" wrapText="1" shrinkToFit="1"/>
    </xf>
    <xf numFmtId="190" fontId="51" fillId="0" borderId="14" xfId="0" applyNumberFormat="1" applyFont="1" applyFill="1" applyBorder="1" applyAlignment="1" applyProtection="1">
      <alignment horizontal="center" vertical="center"/>
    </xf>
    <xf numFmtId="0" fontId="51" fillId="0" borderId="14" xfId="0" applyFont="1" applyFill="1" applyBorder="1" applyAlignment="1" applyProtection="1">
      <alignment horizontal="center" vertical="center" wrapText="1" shrinkToFit="1"/>
      <protection locked="0"/>
    </xf>
    <xf numFmtId="0" fontId="59" fillId="0" borderId="14" xfId="0" applyFont="1" applyFill="1" applyBorder="1" applyAlignment="1" applyProtection="1">
      <alignment horizontal="center" vertical="center" wrapText="1" shrinkToFit="1"/>
      <protection locked="0"/>
    </xf>
    <xf numFmtId="0" fontId="48" fillId="0" borderId="14" xfId="0" applyFont="1" applyFill="1" applyBorder="1" applyAlignment="1" applyProtection="1">
      <alignment horizontal="center" vertical="center" wrapText="1"/>
      <protection locked="0"/>
    </xf>
    <xf numFmtId="0" fontId="48" fillId="0" borderId="14" xfId="0" applyFont="1" applyFill="1" applyBorder="1" applyAlignment="1" applyProtection="1">
      <alignment horizontal="center" vertical="center" wrapText="1" shrinkToFit="1"/>
      <protection locked="0"/>
    </xf>
    <xf numFmtId="188" fontId="52" fillId="7" borderId="2" xfId="0" applyNumberFormat="1" applyFont="1" applyFill="1" applyBorder="1" applyAlignment="1">
      <alignment horizontal="center" vertical="center" wrapText="1" shrinkToFit="1"/>
    </xf>
    <xf numFmtId="0" fontId="14" fillId="0" borderId="12" xfId="0" applyFont="1" applyFill="1" applyBorder="1" applyAlignment="1">
      <alignment horizontal="center" vertical="center" wrapText="1" shrinkToFit="1"/>
    </xf>
    <xf numFmtId="3" fontId="5" fillId="0" borderId="16" xfId="0" applyNumberFormat="1" applyFont="1" applyFill="1" applyBorder="1" applyAlignment="1">
      <alignment horizontal="center" vertical="center" wrapText="1" shrinkToFit="1"/>
    </xf>
    <xf numFmtId="0" fontId="5" fillId="0" borderId="12" xfId="0" applyFont="1" applyFill="1" applyBorder="1" applyAlignment="1">
      <alignment horizontal="center" vertical="center" wrapText="1" shrinkToFit="1"/>
    </xf>
    <xf numFmtId="0" fontId="5" fillId="0" borderId="12" xfId="0" applyFont="1" applyFill="1" applyBorder="1" applyAlignment="1">
      <alignment horizontal="center" vertical="center"/>
    </xf>
    <xf numFmtId="186" fontId="5" fillId="0" borderId="16" xfId="0" applyNumberFormat="1" applyFont="1" applyFill="1" applyBorder="1" applyAlignment="1">
      <alignment horizontal="center" vertical="center" wrapText="1" shrinkToFit="1"/>
    </xf>
    <xf numFmtId="188" fontId="76" fillId="0" borderId="16" xfId="0" applyNumberFormat="1" applyFont="1" applyFill="1" applyBorder="1" applyAlignment="1">
      <alignment horizontal="center" vertical="center" wrapText="1"/>
    </xf>
    <xf numFmtId="0" fontId="14" fillId="0" borderId="14" xfId="0" applyFont="1" applyFill="1" applyBorder="1" applyAlignment="1">
      <alignment horizontal="center" vertical="center" wrapText="1" shrinkToFit="1"/>
    </xf>
    <xf numFmtId="3" fontId="5" fillId="0" borderId="14" xfId="0" applyNumberFormat="1" applyFont="1" applyFill="1" applyBorder="1" applyAlignment="1">
      <alignment horizontal="center" vertical="center" wrapText="1" shrinkToFit="1"/>
    </xf>
    <xf numFmtId="186" fontId="5" fillId="0" borderId="14" xfId="0" applyNumberFormat="1" applyFont="1" applyFill="1" applyBorder="1" applyAlignment="1">
      <alignment horizontal="center" vertical="center" wrapText="1" shrinkToFit="1"/>
    </xf>
    <xf numFmtId="188" fontId="76" fillId="0" borderId="14" xfId="0" applyNumberFormat="1" applyFont="1" applyFill="1" applyBorder="1" applyAlignment="1">
      <alignment horizontal="center" vertical="center" wrapText="1"/>
    </xf>
    <xf numFmtId="188" fontId="77" fillId="7" borderId="14" xfId="0" applyNumberFormat="1" applyFont="1" applyFill="1" applyBorder="1" applyAlignment="1">
      <alignment horizontal="center" vertical="center" wrapText="1"/>
    </xf>
    <xf numFmtId="0" fontId="75" fillId="0" borderId="2" xfId="0" applyFont="1" applyFill="1" applyBorder="1" applyAlignment="1">
      <alignment horizontal="center" vertical="center" wrapText="1" shrinkToFit="1"/>
    </xf>
    <xf numFmtId="0" fontId="73" fillId="0" borderId="2" xfId="0" applyFont="1" applyFill="1" applyBorder="1" applyAlignment="1">
      <alignment horizontal="center" vertical="center"/>
    </xf>
    <xf numFmtId="186" fontId="73" fillId="0" borderId="2" xfId="0" applyNumberFormat="1" applyFont="1" applyFill="1" applyBorder="1" applyAlignment="1">
      <alignment horizontal="center" vertical="center" wrapText="1" shrinkToFit="1"/>
    </xf>
    <xf numFmtId="186" fontId="75" fillId="0" borderId="2" xfId="0" applyNumberFormat="1" applyFont="1" applyFill="1" applyBorder="1" applyAlignment="1">
      <alignment horizontal="center" vertical="center" wrapText="1" shrinkToFit="1"/>
    </xf>
    <xf numFmtId="188" fontId="75" fillId="0" borderId="14" xfId="0" applyNumberFormat="1" applyFont="1" applyFill="1" applyBorder="1" applyAlignment="1">
      <alignment horizontal="center" vertical="center" wrapText="1" shrinkToFit="1"/>
    </xf>
    <xf numFmtId="3" fontId="50" fillId="0" borderId="14" xfId="0" applyNumberFormat="1" applyFont="1" applyFill="1" applyBorder="1" applyAlignment="1" applyProtection="1">
      <alignment horizontal="center" vertical="center" wrapText="1" shrinkToFit="1"/>
      <protection locked="0"/>
    </xf>
    <xf numFmtId="3" fontId="48" fillId="0" borderId="14" xfId="0" applyNumberFormat="1" applyFont="1" applyFill="1" applyBorder="1" applyAlignment="1" applyProtection="1">
      <alignment horizontal="center" vertical="center" wrapText="1" shrinkToFit="1"/>
      <protection locked="0"/>
    </xf>
    <xf numFmtId="0" fontId="48" fillId="0" borderId="2" xfId="0" applyFont="1" applyFill="1" applyBorder="1" applyAlignment="1" applyProtection="1">
      <alignment horizontal="center" vertical="center" wrapText="1" shrinkToFit="1"/>
      <protection locked="0"/>
    </xf>
    <xf numFmtId="0" fontId="48" fillId="0" borderId="2" xfId="0" applyFont="1" applyFill="1" applyBorder="1" applyAlignment="1" applyProtection="1">
      <alignment horizontal="center" vertical="center"/>
    </xf>
    <xf numFmtId="186" fontId="48" fillId="0" borderId="14" xfId="0" applyNumberFormat="1" applyFont="1" applyFill="1" applyBorder="1" applyAlignment="1" applyProtection="1">
      <alignment horizontal="center" vertical="center" wrapText="1" shrinkToFit="1"/>
    </xf>
    <xf numFmtId="188" fontId="77" fillId="0" borderId="14" xfId="0" applyNumberFormat="1" applyFont="1" applyFill="1" applyBorder="1" applyAlignment="1" applyProtection="1">
      <alignment horizontal="center" vertical="center" wrapText="1"/>
    </xf>
    <xf numFmtId="188" fontId="2" fillId="0" borderId="16" xfId="0" applyNumberFormat="1" applyFont="1" applyFill="1" applyBorder="1" applyAlignment="1">
      <alignment horizontal="center" vertical="center"/>
    </xf>
    <xf numFmtId="194" fontId="2" fillId="0" borderId="16" xfId="0" applyNumberFormat="1" applyFont="1" applyFill="1" applyBorder="1" applyAlignment="1">
      <alignment horizontal="center" vertical="center" wrapText="1" shrinkToFit="1"/>
    </xf>
    <xf numFmtId="188" fontId="14" fillId="0" borderId="16" xfId="0" applyNumberFormat="1" applyFont="1" applyFill="1" applyBorder="1" applyAlignment="1">
      <alignment horizontal="center" vertical="center" wrapText="1" shrinkToFit="1"/>
    </xf>
    <xf numFmtId="0" fontId="14" fillId="0" borderId="16" xfId="0" applyNumberFormat="1" applyFont="1" applyFill="1" applyBorder="1" applyAlignment="1">
      <alignment horizontal="center" vertical="center" wrapText="1"/>
    </xf>
    <xf numFmtId="0" fontId="78" fillId="0" borderId="12" xfId="0" applyNumberFormat="1" applyFont="1" applyFill="1" applyBorder="1" applyAlignment="1">
      <alignment horizontal="center" vertical="center" wrapText="1"/>
    </xf>
    <xf numFmtId="188" fontId="2" fillId="0" borderId="14" xfId="0" applyNumberFormat="1" applyFont="1" applyFill="1" applyBorder="1" applyAlignment="1">
      <alignment horizontal="center" vertical="center"/>
    </xf>
    <xf numFmtId="194" fontId="2" fillId="0" borderId="14" xfId="0" applyNumberFormat="1" applyFont="1" applyFill="1" applyBorder="1" applyAlignment="1">
      <alignment horizontal="center" vertical="center" wrapText="1" shrinkToFit="1"/>
    </xf>
    <xf numFmtId="188" fontId="14" fillId="0" borderId="14" xfId="0" applyNumberFormat="1" applyFont="1" applyFill="1" applyBorder="1" applyAlignment="1">
      <alignment horizontal="center" vertical="center" wrapText="1" shrinkToFit="1"/>
    </xf>
    <xf numFmtId="0" fontId="14" fillId="0" borderId="14" xfId="0" applyNumberFormat="1" applyFont="1" applyFill="1" applyBorder="1" applyAlignment="1">
      <alignment horizontal="center" vertical="center" wrapText="1"/>
    </xf>
    <xf numFmtId="0" fontId="78" fillId="0" borderId="14" xfId="0" applyNumberFormat="1" applyFont="1" applyFill="1" applyBorder="1" applyAlignment="1">
      <alignment horizontal="center" vertical="center" wrapText="1"/>
    </xf>
    <xf numFmtId="188" fontId="75" fillId="0" borderId="2" xfId="0" applyNumberFormat="1" applyFont="1" applyFill="1" applyBorder="1" applyAlignment="1">
      <alignment horizontal="center" vertical="center" wrapText="1" shrinkToFit="1"/>
    </xf>
    <xf numFmtId="58" fontId="75" fillId="0" borderId="14" xfId="0" applyNumberFormat="1" applyFont="1" applyFill="1" applyBorder="1" applyAlignment="1">
      <alignment horizontal="center" vertical="center" wrapText="1"/>
    </xf>
    <xf numFmtId="0" fontId="73" fillId="0" borderId="2" xfId="0" applyFont="1" applyFill="1" applyBorder="1" applyAlignment="1">
      <alignment horizontal="center" vertical="center" wrapText="1"/>
    </xf>
    <xf numFmtId="0" fontId="73" fillId="7" borderId="2" xfId="0" applyNumberFormat="1" applyFont="1" applyFill="1" applyBorder="1" applyAlignment="1">
      <alignment horizontal="center" vertical="center" wrapText="1"/>
    </xf>
    <xf numFmtId="188" fontId="51" fillId="0" borderId="14" xfId="0" applyNumberFormat="1" applyFont="1" applyFill="1" applyBorder="1" applyAlignment="1" applyProtection="1">
      <alignment horizontal="center" vertical="center"/>
    </xf>
    <xf numFmtId="194" fontId="51" fillId="0" borderId="14" xfId="0" applyNumberFormat="1" applyFont="1" applyFill="1" applyBorder="1" applyAlignment="1" applyProtection="1">
      <alignment horizontal="center" vertical="center" wrapText="1" shrinkToFit="1"/>
    </xf>
    <xf numFmtId="188" fontId="54" fillId="0" borderId="14" xfId="0" applyNumberFormat="1" applyFont="1" applyFill="1" applyBorder="1" applyAlignment="1" applyProtection="1">
      <alignment horizontal="center" vertical="center" wrapText="1" shrinkToFit="1"/>
    </xf>
    <xf numFmtId="188" fontId="59" fillId="0" borderId="14" xfId="0" applyNumberFormat="1" applyFont="1" applyFill="1" applyBorder="1" applyAlignment="1" applyProtection="1">
      <alignment horizontal="center" vertical="center" wrapText="1" shrinkToFit="1"/>
    </xf>
    <xf numFmtId="0" fontId="79" fillId="0" borderId="14" xfId="0" applyFont="1" applyFill="1" applyBorder="1" applyAlignment="1" applyProtection="1">
      <alignment horizontal="center" vertical="center" wrapText="1"/>
    </xf>
    <xf numFmtId="0" fontId="72" fillId="0" borderId="14" xfId="0" applyFont="1" applyFill="1" applyBorder="1" applyAlignment="1" applyProtection="1">
      <alignment horizontal="center" vertical="center" wrapText="1" shrinkToFit="1"/>
    </xf>
    <xf numFmtId="0" fontId="54" fillId="0" borderId="14" xfId="0" applyNumberFormat="1" applyFont="1" applyFill="1" applyBorder="1" applyAlignment="1" applyProtection="1">
      <alignment horizontal="center" vertical="center" wrapText="1"/>
    </xf>
    <xf numFmtId="0" fontId="80" fillId="0" borderId="2" xfId="0" applyNumberFormat="1" applyFont="1" applyFill="1" applyBorder="1" applyAlignment="1" applyProtection="1">
      <alignment horizontal="center" vertical="center" wrapText="1"/>
    </xf>
    <xf numFmtId="186" fontId="74" fillId="0" borderId="2" xfId="0" applyNumberFormat="1" applyFont="1" applyFill="1" applyBorder="1" applyAlignment="1">
      <alignment horizontal="center" vertical="center" wrapText="1" shrinkToFit="1"/>
    </xf>
    <xf numFmtId="189" fontId="2" fillId="0" borderId="16" xfId="0" applyNumberFormat="1" applyFont="1" applyFill="1" applyBorder="1" applyAlignment="1">
      <alignment horizontal="center" vertical="center" wrapText="1" shrinkToFit="1"/>
    </xf>
    <xf numFmtId="181" fontId="5" fillId="0" borderId="12" xfId="0" applyNumberFormat="1" applyFont="1" applyFill="1" applyBorder="1" applyAlignment="1">
      <alignment horizontal="center" vertical="center"/>
    </xf>
    <xf numFmtId="0" fontId="2" fillId="0" borderId="16" xfId="0" applyNumberFormat="1" applyFont="1" applyFill="1" applyBorder="1" applyAlignment="1">
      <alignment horizontal="center" vertical="center" wrapText="1" shrinkToFit="1"/>
    </xf>
    <xf numFmtId="0" fontId="2" fillId="0" borderId="12" xfId="0" applyNumberFormat="1" applyFont="1" applyFill="1" applyBorder="1" applyAlignment="1">
      <alignment horizontal="center" vertical="center" wrapText="1" shrinkToFit="1"/>
    </xf>
    <xf numFmtId="186" fontId="2" fillId="0" borderId="16" xfId="0" applyNumberFormat="1" applyFont="1" applyFill="1" applyBorder="1" applyAlignment="1">
      <alignment horizontal="center" vertical="center" wrapText="1" shrinkToFit="1"/>
    </xf>
    <xf numFmtId="189" fontId="2" fillId="0" borderId="14" xfId="0" applyNumberFormat="1" applyFont="1" applyFill="1" applyBorder="1" applyAlignment="1">
      <alignment horizontal="center" vertical="center" wrapText="1" shrinkToFit="1"/>
    </xf>
    <xf numFmtId="181" fontId="5" fillId="0" borderId="14" xfId="0" applyNumberFormat="1" applyFont="1" applyFill="1" applyBorder="1" applyAlignment="1">
      <alignment horizontal="center" vertical="center"/>
    </xf>
    <xf numFmtId="0" fontId="2" fillId="0" borderId="14" xfId="0" applyNumberFormat="1" applyFont="1" applyFill="1" applyBorder="1" applyAlignment="1">
      <alignment horizontal="center" vertical="center" wrapText="1" shrinkToFit="1"/>
    </xf>
    <xf numFmtId="186" fontId="2" fillId="0" borderId="14" xfId="0" applyNumberFormat="1" applyFont="1" applyFill="1" applyBorder="1" applyAlignment="1">
      <alignment horizontal="center" vertical="center" wrapText="1" shrinkToFit="1"/>
    </xf>
    <xf numFmtId="189" fontId="73" fillId="0" borderId="14" xfId="0" applyNumberFormat="1" applyFont="1" applyFill="1" applyBorder="1" applyAlignment="1">
      <alignment horizontal="center" vertical="center" wrapText="1" shrinkToFit="1"/>
    </xf>
    <xf numFmtId="181" fontId="73" fillId="0" borderId="14" xfId="0" applyNumberFormat="1" applyFont="1" applyFill="1" applyBorder="1" applyAlignment="1">
      <alignment horizontal="center" vertical="center" wrapText="1" shrinkToFit="1"/>
    </xf>
    <xf numFmtId="0" fontId="73" fillId="0" borderId="2" xfId="0" applyNumberFormat="1" applyFont="1" applyFill="1" applyBorder="1" applyAlignment="1">
      <alignment horizontal="center" vertical="center" wrapText="1" shrinkToFit="1"/>
    </xf>
    <xf numFmtId="0" fontId="73" fillId="14" borderId="2" xfId="0" applyNumberFormat="1" applyFont="1" applyFill="1" applyBorder="1" applyAlignment="1">
      <alignment horizontal="center" vertical="center" wrapText="1" shrinkToFit="1"/>
    </xf>
    <xf numFmtId="189" fontId="48" fillId="0" borderId="2" xfId="0" applyNumberFormat="1" applyFont="1" applyFill="1" applyBorder="1" applyAlignment="1" applyProtection="1">
      <alignment horizontal="center" vertical="center" wrapText="1" shrinkToFit="1"/>
    </xf>
    <xf numFmtId="181" fontId="48" fillId="0" borderId="2" xfId="0" applyNumberFormat="1" applyFont="1" applyFill="1" applyBorder="1" applyAlignment="1" applyProtection="1">
      <alignment horizontal="center" vertical="center"/>
    </xf>
    <xf numFmtId="0" fontId="51" fillId="0" borderId="14" xfId="0" applyNumberFormat="1" applyFont="1" applyFill="1" applyBorder="1" applyAlignment="1" applyProtection="1">
      <alignment horizontal="center" vertical="center" wrapText="1" shrinkToFit="1"/>
    </xf>
    <xf numFmtId="0" fontId="51" fillId="0" borderId="2" xfId="0" applyNumberFormat="1" applyFont="1" applyFill="1" applyBorder="1" applyAlignment="1" applyProtection="1">
      <alignment horizontal="center" vertical="center" wrapText="1" shrinkToFit="1"/>
    </xf>
    <xf numFmtId="0" fontId="48" fillId="0" borderId="14" xfId="0" applyNumberFormat="1" applyFont="1" applyFill="1" applyBorder="1" applyAlignment="1" applyProtection="1">
      <alignment horizontal="center" vertical="center" wrapText="1" shrinkToFit="1"/>
    </xf>
    <xf numFmtId="0" fontId="48" fillId="0" borderId="14" xfId="0" applyFont="1" applyFill="1" applyBorder="1" applyAlignment="1" applyProtection="1">
      <alignment horizontal="center" vertical="center" wrapText="1"/>
    </xf>
    <xf numFmtId="182" fontId="57" fillId="0" borderId="4" xfId="0" applyNumberFormat="1" applyFont="1" applyFill="1" applyBorder="1" applyAlignment="1">
      <alignment horizontal="center" vertical="center" wrapText="1" shrinkToFit="1"/>
    </xf>
    <xf numFmtId="182" fontId="5" fillId="0" borderId="12" xfId="0" applyNumberFormat="1" applyFont="1" applyFill="1" applyBorder="1" applyAlignment="1">
      <alignment horizontal="center" vertical="center"/>
    </xf>
    <xf numFmtId="182" fontId="2" fillId="7" borderId="1" xfId="0" applyNumberFormat="1" applyFont="1" applyFill="1" applyBorder="1" applyAlignment="1">
      <alignment horizontal="center" vertical="center"/>
    </xf>
    <xf numFmtId="182" fontId="2" fillId="7" borderId="0" xfId="0" applyNumberFormat="1" applyFont="1" applyFill="1" applyAlignment="1">
      <alignment horizontal="center" vertical="center"/>
    </xf>
    <xf numFmtId="182" fontId="2" fillId="7" borderId="0" xfId="0" applyNumberFormat="1" applyFont="1" applyFill="1" applyAlignment="1">
      <alignment horizontal="center" vertical="center" wrapText="1" shrinkToFit="1"/>
    </xf>
    <xf numFmtId="182" fontId="5" fillId="0" borderId="14" xfId="0" applyNumberFormat="1" applyFont="1" applyFill="1" applyBorder="1" applyAlignment="1">
      <alignment horizontal="center" vertical="center"/>
    </xf>
    <xf numFmtId="182" fontId="2" fillId="7" borderId="15" xfId="0" applyNumberFormat="1" applyFont="1" applyFill="1" applyBorder="1" applyAlignment="1">
      <alignment horizontal="center" vertical="center"/>
    </xf>
    <xf numFmtId="0" fontId="73" fillId="0" borderId="3" xfId="0" applyFont="1" applyFill="1" applyBorder="1" applyAlignment="1">
      <alignment horizontal="center" vertical="center" wrapText="1" shrinkToFit="1"/>
    </xf>
    <xf numFmtId="182" fontId="73" fillId="0" borderId="4" xfId="0" applyNumberFormat="1" applyFont="1" applyFill="1" applyBorder="1" applyAlignment="1">
      <alignment horizontal="center" vertical="center" wrapText="1" shrinkToFit="1"/>
    </xf>
    <xf numFmtId="182" fontId="73" fillId="0" borderId="2" xfId="0" applyNumberFormat="1" applyFont="1" applyFill="1" applyBorder="1" applyAlignment="1">
      <alignment horizontal="center" vertical="center" wrapText="1" shrinkToFit="1"/>
    </xf>
    <xf numFmtId="182" fontId="73" fillId="0" borderId="2" xfId="0" applyNumberFormat="1" applyFont="1" applyFill="1" applyBorder="1" applyAlignment="1">
      <alignment horizontal="center" vertical="center" wrapText="1"/>
    </xf>
    <xf numFmtId="186" fontId="51" fillId="0" borderId="14" xfId="0" applyNumberFormat="1" applyFont="1" applyFill="1" applyBorder="1" applyAlignment="1" applyProtection="1">
      <alignment horizontal="center" vertical="center" wrapText="1" shrinkToFit="1"/>
    </xf>
    <xf numFmtId="182" fontId="48" fillId="0" borderId="2" xfId="0" applyNumberFormat="1" applyFont="1" applyFill="1" applyBorder="1" applyAlignment="1" applyProtection="1">
      <alignment horizontal="center" vertical="center"/>
    </xf>
    <xf numFmtId="182" fontId="2" fillId="7" borderId="15" xfId="0" applyNumberFormat="1" applyFont="1" applyFill="1" applyBorder="1" applyAlignment="1" applyProtection="1">
      <alignment horizontal="center" vertical="center"/>
    </xf>
    <xf numFmtId="182" fontId="2" fillId="7" borderId="0" xfId="0" applyNumberFormat="1" applyFont="1" applyFill="1" applyAlignment="1" applyProtection="1">
      <alignment horizontal="center" vertical="center"/>
    </xf>
    <xf numFmtId="182" fontId="2" fillId="7" borderId="0" xfId="0" applyNumberFormat="1" applyFont="1" applyFill="1" applyAlignment="1" applyProtection="1">
      <alignment horizontal="center" vertical="center" wrapText="1" shrinkToFit="1"/>
    </xf>
    <xf numFmtId="182" fontId="57" fillId="0" borderId="0" xfId="0" applyNumberFormat="1" applyFont="1" applyFill="1" applyBorder="1" applyAlignment="1">
      <alignment horizontal="center" vertical="center" wrapText="1" shrinkToFit="1"/>
    </xf>
    <xf numFmtId="182" fontId="57" fillId="0" borderId="0" xfId="0" applyNumberFormat="1" applyFont="1" applyFill="1" applyAlignment="1">
      <alignment horizontal="center" vertical="center" wrapText="1" shrinkToFit="1"/>
    </xf>
    <xf numFmtId="182" fontId="57" fillId="0" borderId="5" xfId="0" applyNumberFormat="1" applyFont="1" applyFill="1" applyBorder="1" applyAlignment="1">
      <alignment horizontal="center" vertical="center" wrapText="1"/>
    </xf>
    <xf numFmtId="0" fontId="57" fillId="0" borderId="4" xfId="0" applyFont="1" applyFill="1" applyBorder="1" applyAlignment="1">
      <alignment horizontal="center" vertical="center"/>
    </xf>
    <xf numFmtId="0" fontId="57" fillId="0" borderId="6" xfId="0" applyFont="1" applyFill="1" applyBorder="1" applyAlignment="1">
      <alignment horizontal="center" vertical="center"/>
    </xf>
    <xf numFmtId="0" fontId="57" fillId="0" borderId="5" xfId="0" applyFont="1" applyFill="1" applyBorder="1" applyAlignment="1">
      <alignment horizontal="center" vertical="center"/>
    </xf>
    <xf numFmtId="182" fontId="2" fillId="0" borderId="16" xfId="0" applyNumberFormat="1" applyFont="1" applyFill="1" applyBorder="1" applyAlignment="1">
      <alignment horizontal="center" vertical="center" wrapText="1" shrinkToFit="1"/>
    </xf>
    <xf numFmtId="182" fontId="2" fillId="7" borderId="16" xfId="0" applyNumberFormat="1" applyFont="1" applyFill="1" applyBorder="1" applyAlignment="1">
      <alignment horizontal="center" vertical="center" wrapText="1" shrinkToFit="1"/>
    </xf>
    <xf numFmtId="182" fontId="2" fillId="7" borderId="0" xfId="0" applyNumberFormat="1" applyFont="1" applyFill="1" applyBorder="1" applyAlignment="1">
      <alignment horizontal="center" vertical="center" wrapText="1" shrinkToFit="1"/>
    </xf>
    <xf numFmtId="182" fontId="5" fillId="7" borderId="0" xfId="0" applyNumberFormat="1" applyFont="1" applyFill="1" applyAlignment="1">
      <alignment horizontal="center" vertical="center" wrapText="1" shrinkToFit="1"/>
    </xf>
    <xf numFmtId="182" fontId="2" fillId="0" borderId="14" xfId="0" applyNumberFormat="1" applyFont="1" applyFill="1" applyBorder="1" applyAlignment="1">
      <alignment horizontal="center" vertical="center" wrapText="1" shrinkToFit="1"/>
    </xf>
    <xf numFmtId="182" fontId="2" fillId="7" borderId="14" xfId="0" applyNumberFormat="1" applyFont="1" applyFill="1" applyBorder="1" applyAlignment="1">
      <alignment horizontal="center" vertical="center" wrapText="1" shrinkToFit="1"/>
    </xf>
    <xf numFmtId="182" fontId="73" fillId="0" borderId="5" xfId="0" applyNumberFormat="1" applyFont="1" applyFill="1" applyBorder="1" applyAlignment="1">
      <alignment horizontal="center" vertical="center" wrapText="1"/>
    </xf>
    <xf numFmtId="0" fontId="73" fillId="0" borderId="4" xfId="0" applyFont="1" applyFill="1" applyBorder="1" applyAlignment="1">
      <alignment horizontal="center" vertical="center"/>
    </xf>
    <xf numFmtId="0" fontId="73" fillId="0" borderId="6" xfId="0" applyFont="1" applyFill="1" applyBorder="1" applyAlignment="1">
      <alignment horizontal="center" vertical="center"/>
    </xf>
    <xf numFmtId="0" fontId="73" fillId="0" borderId="5" xfId="0" applyFont="1" applyFill="1" applyBorder="1" applyAlignment="1">
      <alignment horizontal="center" vertical="center"/>
    </xf>
    <xf numFmtId="0" fontId="73" fillId="0" borderId="0" xfId="0" applyFont="1" applyFill="1" applyBorder="1" applyAlignment="1">
      <alignment horizontal="center" vertical="center"/>
    </xf>
    <xf numFmtId="182" fontId="51" fillId="0" borderId="14" xfId="0" applyNumberFormat="1" applyFont="1" applyFill="1" applyBorder="1" applyAlignment="1" applyProtection="1">
      <alignment horizontal="center" vertical="center" wrapText="1" shrinkToFit="1"/>
    </xf>
    <xf numFmtId="182" fontId="2" fillId="7" borderId="14" xfId="0" applyNumberFormat="1" applyFont="1" applyFill="1" applyBorder="1" applyAlignment="1" applyProtection="1">
      <alignment horizontal="center" vertical="center" wrapText="1" shrinkToFit="1"/>
    </xf>
    <xf numFmtId="182" fontId="2" fillId="7" borderId="0" xfId="0" applyNumberFormat="1" applyFont="1" applyFill="1" applyBorder="1" applyAlignment="1" applyProtection="1">
      <alignment horizontal="center" vertical="center" wrapText="1" shrinkToFit="1"/>
    </xf>
    <xf numFmtId="182" fontId="5" fillId="7" borderId="0" xfId="0" applyNumberFormat="1" applyFont="1" applyFill="1" applyAlignment="1" applyProtection="1">
      <alignment horizontal="center" vertical="center" wrapText="1" shrinkToFit="1"/>
    </xf>
    <xf numFmtId="182" fontId="5" fillId="0" borderId="16" xfId="0" applyNumberFormat="1" applyFont="1" applyFill="1" applyBorder="1" applyAlignment="1">
      <alignment horizontal="center" vertical="center" wrapText="1" shrinkToFit="1"/>
    </xf>
    <xf numFmtId="182" fontId="2" fillId="0" borderId="16" xfId="0" applyNumberFormat="1" applyFont="1" applyFill="1" applyBorder="1" applyAlignment="1">
      <alignment horizontal="center" vertical="center"/>
    </xf>
    <xf numFmtId="182" fontId="5" fillId="0" borderId="14" xfId="0" applyNumberFormat="1" applyFont="1" applyFill="1" applyBorder="1" applyAlignment="1">
      <alignment horizontal="center" vertical="center" wrapText="1" shrinkToFit="1"/>
    </xf>
    <xf numFmtId="182" fontId="2" fillId="0" borderId="14" xfId="0" applyNumberFormat="1" applyFont="1" applyFill="1" applyBorder="1" applyAlignment="1">
      <alignment horizontal="center" vertical="center"/>
    </xf>
    <xf numFmtId="182" fontId="48" fillId="0" borderId="14" xfId="0" applyNumberFormat="1" applyFont="1" applyFill="1" applyBorder="1" applyAlignment="1" applyProtection="1">
      <alignment horizontal="center" vertical="center" wrapText="1" shrinkToFit="1"/>
    </xf>
    <xf numFmtId="182" fontId="51" fillId="0" borderId="14" xfId="0" applyNumberFormat="1" applyFont="1" applyFill="1" applyBorder="1" applyAlignment="1" applyProtection="1">
      <alignment horizontal="center" vertical="center"/>
    </xf>
    <xf numFmtId="182" fontId="2" fillId="0" borderId="1" xfId="0" applyNumberFormat="1" applyFont="1" applyFill="1" applyBorder="1" applyAlignment="1">
      <alignment horizontal="center" vertical="center"/>
    </xf>
    <xf numFmtId="182" fontId="2" fillId="0" borderId="12" xfId="0" applyNumberFormat="1" applyFont="1" applyFill="1" applyBorder="1" applyAlignment="1">
      <alignment horizontal="center" vertical="center"/>
    </xf>
    <xf numFmtId="0" fontId="52" fillId="0" borderId="0" xfId="0" applyFont="1" applyFill="1" applyAlignment="1">
      <alignment vertical="center" wrapText="1"/>
    </xf>
    <xf numFmtId="0" fontId="52" fillId="7" borderId="0" xfId="0" applyFont="1" applyFill="1" applyAlignment="1">
      <alignment horizontal="center" vertical="center" wrapText="1" shrinkToFit="1"/>
    </xf>
    <xf numFmtId="0" fontId="5" fillId="7" borderId="0" xfId="0" applyFont="1" applyFill="1" applyAlignment="1">
      <alignment horizontal="center" vertical="center" wrapText="1"/>
    </xf>
    <xf numFmtId="182" fontId="2" fillId="0" borderId="15" xfId="0" applyNumberFormat="1" applyFont="1" applyFill="1" applyBorder="1" applyAlignment="1">
      <alignment horizontal="center" vertical="center"/>
    </xf>
    <xf numFmtId="182" fontId="51" fillId="0" borderId="15" xfId="0" applyNumberFormat="1" applyFont="1" applyFill="1" applyBorder="1" applyAlignment="1" applyProtection="1">
      <alignment horizontal="center" vertical="center"/>
    </xf>
    <xf numFmtId="182" fontId="51" fillId="0" borderId="2" xfId="0" applyNumberFormat="1" applyFont="1" applyFill="1" applyBorder="1" applyAlignment="1" applyProtection="1">
      <alignment horizontal="center" vertical="center"/>
    </xf>
    <xf numFmtId="0" fontId="59" fillId="0" borderId="0" xfId="0" applyFont="1" applyFill="1" applyAlignment="1" applyProtection="1">
      <alignment vertical="center" wrapText="1"/>
      <protection locked="0"/>
    </xf>
    <xf numFmtId="0" fontId="52" fillId="7" borderId="0" xfId="0" applyFont="1" applyFill="1" applyAlignment="1" applyProtection="1">
      <alignment horizontal="center" vertical="center" wrapText="1" shrinkToFit="1"/>
      <protection locked="0"/>
    </xf>
    <xf numFmtId="0" fontId="5" fillId="7" borderId="0" xfId="0" applyFont="1" applyFill="1" applyAlignment="1" applyProtection="1">
      <alignment horizontal="center" vertical="center" wrapText="1"/>
      <protection locked="0"/>
    </xf>
    <xf numFmtId="0" fontId="73" fillId="0" borderId="0" xfId="0" applyFont="1" applyFill="1" applyBorder="1">
      <alignment vertical="center"/>
    </xf>
    <xf numFmtId="0" fontId="5" fillId="0" borderId="0" xfId="0" applyFont="1" applyFill="1" applyAlignment="1" applyProtection="1">
      <alignment horizontal="center" vertical="center"/>
      <protection locked="0"/>
    </xf>
    <xf numFmtId="0" fontId="5" fillId="0" borderId="0" xfId="0" applyFont="1" applyFill="1" applyProtection="1">
      <alignment vertical="center"/>
      <protection locked="0"/>
    </xf>
    <xf numFmtId="0" fontId="5" fillId="0" borderId="0" xfId="0" applyFont="1" applyFill="1" applyAlignment="1" applyProtection="1">
      <alignment horizontal="center" vertical="center" wrapText="1"/>
      <protection locked="0"/>
    </xf>
    <xf numFmtId="0" fontId="81" fillId="0" borderId="0" xfId="0" applyFont="1" applyFill="1" applyAlignment="1" applyProtection="1">
      <alignment horizontal="center" vertical="center" wrapText="1"/>
      <protection locked="0"/>
    </xf>
    <xf numFmtId="0" fontId="82" fillId="0" borderId="0" xfId="0" applyFont="1" applyFill="1" applyAlignment="1" applyProtection="1">
      <alignment horizontal="center" vertical="center" wrapText="1"/>
      <protection locked="0"/>
    </xf>
    <xf numFmtId="0" fontId="81" fillId="7" borderId="0" xfId="0" applyFont="1" applyFill="1" applyAlignment="1" applyProtection="1">
      <alignment horizontal="center" vertical="center" wrapText="1"/>
      <protection locked="0"/>
    </xf>
    <xf numFmtId="0" fontId="0" fillId="0" borderId="0" xfId="0" applyFill="1" applyBorder="1" applyProtection="1">
      <alignment vertical="center"/>
      <protection locked="0"/>
    </xf>
    <xf numFmtId="0" fontId="0" fillId="0" borderId="0" xfId="0" applyFill="1" applyProtection="1">
      <alignment vertical="center"/>
      <protection locked="0"/>
    </xf>
    <xf numFmtId="0" fontId="5" fillId="0" borderId="0" xfId="0" applyFont="1" applyFill="1" applyBorder="1" applyAlignment="1" applyProtection="1">
      <alignment horizontal="center" vertical="center"/>
    </xf>
    <xf numFmtId="0" fontId="5" fillId="0" borderId="0" xfId="0" applyFont="1" applyFill="1" applyBorder="1" applyAlignment="1" applyProtection="1">
      <alignment horizontal="center" vertical="center" wrapText="1"/>
      <protection locked="0"/>
    </xf>
    <xf numFmtId="0" fontId="5" fillId="0" borderId="0" xfId="0" applyFont="1" applyFill="1" applyBorder="1" applyAlignment="1" applyProtection="1">
      <alignment horizontal="center" vertical="center"/>
      <protection locked="0"/>
    </xf>
    <xf numFmtId="186" fontId="14" fillId="0" borderId="0" xfId="0" applyNumberFormat="1" applyFont="1" applyFill="1" applyBorder="1" applyAlignment="1" applyProtection="1">
      <alignment horizontal="center" vertical="center" wrapText="1" shrinkToFit="1"/>
      <protection locked="0"/>
    </xf>
    <xf numFmtId="187" fontId="14" fillId="0" borderId="0" xfId="0" applyNumberFormat="1" applyFont="1" applyFill="1" applyBorder="1" applyAlignment="1" applyProtection="1">
      <alignment horizontal="center" vertical="center" wrapText="1" shrinkToFit="1"/>
      <protection locked="0"/>
    </xf>
    <xf numFmtId="188" fontId="5" fillId="0" borderId="0" xfId="0" applyNumberFormat="1" applyFont="1" applyFill="1" applyBorder="1" applyAlignment="1" applyProtection="1">
      <alignment horizontal="center" vertical="center" wrapText="1"/>
      <protection locked="0"/>
    </xf>
    <xf numFmtId="188" fontId="5" fillId="0" borderId="0" xfId="0" applyNumberFormat="1" applyFont="1" applyFill="1" applyBorder="1" applyAlignment="1" applyProtection="1">
      <alignment horizontal="center" vertical="center"/>
      <protection locked="0"/>
    </xf>
    <xf numFmtId="188" fontId="37" fillId="0" borderId="0" xfId="0" applyNumberFormat="1" applyFont="1" applyFill="1" applyBorder="1" applyAlignment="1" applyProtection="1">
      <alignment horizontal="center" vertical="center" wrapText="1"/>
      <protection locked="0"/>
    </xf>
    <xf numFmtId="0" fontId="5" fillId="0" borderId="0" xfId="0" applyNumberFormat="1" applyFont="1" applyFill="1" applyBorder="1" applyAlignment="1" applyProtection="1">
      <alignment horizontal="center" vertical="center" wrapText="1"/>
      <protection locked="0"/>
    </xf>
    <xf numFmtId="189" fontId="5" fillId="0" borderId="0" xfId="0" applyNumberFormat="1" applyFont="1" applyFill="1" applyBorder="1" applyAlignment="1" applyProtection="1">
      <alignment horizontal="center" vertical="center"/>
      <protection locked="0"/>
    </xf>
    <xf numFmtId="181" fontId="5" fillId="0" borderId="0" xfId="0" applyNumberFormat="1" applyFont="1" applyFill="1" applyBorder="1" applyAlignment="1" applyProtection="1">
      <alignment horizontal="center" vertical="center"/>
      <protection locked="0"/>
    </xf>
    <xf numFmtId="0" fontId="5" fillId="0" borderId="0" xfId="0" applyNumberFormat="1" applyFont="1" applyFill="1" applyBorder="1" applyAlignment="1" applyProtection="1">
      <alignment horizontal="center" vertical="center"/>
      <protection locked="0"/>
    </xf>
    <xf numFmtId="0" fontId="14" fillId="0" borderId="0" xfId="0" applyNumberFormat="1" applyFont="1" applyFill="1" applyBorder="1" applyAlignment="1" applyProtection="1">
      <alignment horizontal="center" vertical="center" wrapText="1" shrinkToFit="1"/>
      <protection locked="0"/>
    </xf>
    <xf numFmtId="187" fontId="83" fillId="0" borderId="0" xfId="0" applyNumberFormat="1" applyFont="1" applyFill="1" applyBorder="1" applyAlignment="1" applyProtection="1">
      <alignment horizontal="center" vertical="center" wrapText="1" shrinkToFit="1"/>
      <protection locked="0"/>
    </xf>
    <xf numFmtId="182" fontId="5" fillId="0" borderId="0" xfId="0" applyNumberFormat="1" applyFont="1" applyFill="1" applyBorder="1" applyAlignment="1" applyProtection="1">
      <alignment horizontal="center" vertical="center"/>
      <protection locked="0"/>
    </xf>
    <xf numFmtId="182" fontId="6" fillId="14" borderId="0" xfId="0" applyNumberFormat="1" applyFont="1" applyFill="1" applyAlignment="1" applyProtection="1">
      <alignment horizontal="center" vertical="center"/>
      <protection locked="0"/>
    </xf>
    <xf numFmtId="182" fontId="6" fillId="14" borderId="0" xfId="0" applyNumberFormat="1" applyFont="1" applyFill="1" applyBorder="1" applyAlignment="1" applyProtection="1">
      <alignment horizontal="center" vertical="center"/>
      <protection locked="0"/>
    </xf>
    <xf numFmtId="182" fontId="19" fillId="14" borderId="0" xfId="0" applyNumberFormat="1" applyFont="1" applyFill="1" applyAlignment="1" applyProtection="1">
      <alignment horizontal="center" vertical="center"/>
      <protection locked="0"/>
    </xf>
    <xf numFmtId="182" fontId="19" fillId="14" borderId="0" xfId="0" applyNumberFormat="1" applyFont="1" applyFill="1" applyBorder="1" applyAlignment="1" applyProtection="1">
      <alignment horizontal="center" vertical="center"/>
      <protection locked="0"/>
    </xf>
    <xf numFmtId="182" fontId="19" fillId="0" borderId="0" xfId="0" applyNumberFormat="1" applyFont="1" applyFill="1" applyAlignment="1" applyProtection="1">
      <alignment horizontal="center" vertical="center"/>
      <protection locked="0"/>
    </xf>
    <xf numFmtId="182" fontId="6" fillId="0" borderId="0" xfId="0" applyNumberFormat="1" applyFont="1" applyFill="1" applyAlignment="1" applyProtection="1">
      <alignment horizontal="center" vertical="center"/>
      <protection locked="0"/>
    </xf>
    <xf numFmtId="182" fontId="19" fillId="0" borderId="0" xfId="0" applyNumberFormat="1" applyFont="1" applyFill="1" applyBorder="1" applyAlignment="1" applyProtection="1">
      <alignment horizontal="center" vertical="center"/>
      <protection locked="0"/>
    </xf>
    <xf numFmtId="182" fontId="5" fillId="0" borderId="3" xfId="0" applyNumberFormat="1" applyFont="1" applyFill="1" applyBorder="1" applyAlignment="1" applyProtection="1">
      <alignment horizontal="center" vertical="center"/>
      <protection locked="0"/>
    </xf>
    <xf numFmtId="0" fontId="5" fillId="10" borderId="2" xfId="0" applyFont="1" applyFill="1" applyBorder="1" applyAlignment="1" applyProtection="1">
      <alignment horizontal="center" vertical="center"/>
      <protection locked="0"/>
    </xf>
    <xf numFmtId="0" fontId="0" fillId="10" borderId="2" xfId="0" applyFill="1" applyBorder="1" applyProtection="1">
      <alignment vertical="center"/>
      <protection locked="0"/>
    </xf>
    <xf numFmtId="0" fontId="0" fillId="10" borderId="0" xfId="0" applyFill="1" applyBorder="1" applyProtection="1">
      <alignment vertical="center"/>
      <protection locked="0"/>
    </xf>
    <xf numFmtId="0" fontId="7" fillId="0" borderId="2" xfId="0" applyFont="1" applyFill="1" applyBorder="1" applyAlignment="1" applyProtection="1">
      <alignment vertical="center"/>
    </xf>
    <xf numFmtId="0" fontId="7" fillId="0" borderId="2" xfId="0" applyFont="1" applyFill="1" applyBorder="1" applyAlignment="1" applyProtection="1">
      <alignment vertical="center"/>
      <protection locked="0"/>
    </xf>
    <xf numFmtId="0" fontId="7" fillId="0" borderId="2" xfId="0" applyFont="1" applyFill="1" applyBorder="1" applyAlignment="1" applyProtection="1">
      <alignment vertical="center" wrapText="1"/>
      <protection locked="0"/>
    </xf>
    <xf numFmtId="190" fontId="8" fillId="0" borderId="3" xfId="0" applyNumberFormat="1" applyFont="1" applyFill="1" applyBorder="1" applyAlignment="1" applyProtection="1">
      <alignment horizontal="left" vertical="center"/>
    </xf>
    <xf numFmtId="190" fontId="8" fillId="0" borderId="7" xfId="0" applyNumberFormat="1" applyFont="1" applyFill="1" applyBorder="1" applyAlignment="1" applyProtection="1">
      <alignment horizontal="left" vertical="center"/>
      <protection locked="0"/>
    </xf>
    <xf numFmtId="0" fontId="10" fillId="0" borderId="2" xfId="0" applyFont="1" applyFill="1" applyBorder="1" applyAlignment="1" applyProtection="1">
      <alignment horizontal="center" vertical="center"/>
      <protection locked="0"/>
    </xf>
    <xf numFmtId="190" fontId="8" fillId="0" borderId="2" xfId="0" applyNumberFormat="1" applyFont="1" applyFill="1" applyBorder="1" applyAlignment="1" applyProtection="1">
      <alignment vertical="center"/>
      <protection locked="0"/>
    </xf>
    <xf numFmtId="190" fontId="8" fillId="0" borderId="2" xfId="0" applyNumberFormat="1" applyFont="1" applyFill="1" applyBorder="1" applyAlignment="1" applyProtection="1">
      <alignment vertical="center" wrapText="1"/>
      <protection locked="0"/>
    </xf>
    <xf numFmtId="0" fontId="17" fillId="0" borderId="2" xfId="0" applyFont="1" applyFill="1" applyBorder="1" applyAlignment="1" applyProtection="1">
      <alignment vertical="center" wrapText="1"/>
      <protection locked="0"/>
    </xf>
    <xf numFmtId="0" fontId="12" fillId="0" borderId="2" xfId="0" applyFont="1" applyFill="1" applyBorder="1" applyAlignment="1" applyProtection="1">
      <alignment horizontal="center" vertical="center" wrapText="1" shrinkToFit="1"/>
    </xf>
    <xf numFmtId="0" fontId="12" fillId="0" borderId="2" xfId="0" applyFont="1" applyFill="1" applyBorder="1" applyAlignment="1" applyProtection="1">
      <alignment horizontal="center" vertical="center" wrapText="1" shrinkToFit="1"/>
      <protection locked="0"/>
    </xf>
    <xf numFmtId="0" fontId="13" fillId="0" borderId="2" xfId="0" applyFont="1" applyFill="1" applyBorder="1" applyAlignment="1" applyProtection="1">
      <alignment horizontal="center" vertical="center" wrapText="1" shrinkToFit="1"/>
      <protection locked="0"/>
    </xf>
    <xf numFmtId="190" fontId="81" fillId="0" borderId="2" xfId="0" applyNumberFormat="1" applyFont="1" applyFill="1" applyBorder="1" applyAlignment="1" applyProtection="1">
      <alignment horizontal="center" vertical="center"/>
    </xf>
    <xf numFmtId="0" fontId="81" fillId="0" borderId="2" xfId="0" applyFont="1" applyFill="1" applyBorder="1" applyAlignment="1" applyProtection="1">
      <alignment horizontal="center" vertical="center" wrapText="1" shrinkToFit="1"/>
      <protection locked="0"/>
    </xf>
    <xf numFmtId="0" fontId="84" fillId="0" borderId="2" xfId="0" applyFont="1" applyFill="1" applyBorder="1" applyAlignment="1" applyProtection="1">
      <alignment horizontal="center" vertical="center" wrapText="1" shrinkToFit="1"/>
      <protection locked="0"/>
    </xf>
    <xf numFmtId="0" fontId="85" fillId="0" borderId="2" xfId="0" applyFont="1" applyFill="1" applyBorder="1" applyAlignment="1" applyProtection="1">
      <alignment horizontal="center" vertical="center" wrapText="1"/>
      <protection locked="0"/>
    </xf>
    <xf numFmtId="190" fontId="81" fillId="0" borderId="14" xfId="0" applyNumberFormat="1" applyFont="1" applyFill="1" applyBorder="1" applyAlignment="1" applyProtection="1">
      <alignment horizontal="center" vertical="center"/>
    </xf>
    <xf numFmtId="0" fontId="81" fillId="0" borderId="14" xfId="0" applyFont="1" applyFill="1" applyBorder="1" applyAlignment="1" applyProtection="1">
      <alignment horizontal="center" vertical="center" wrapText="1" shrinkToFit="1"/>
      <protection locked="0"/>
    </xf>
    <xf numFmtId="0" fontId="84" fillId="0" borderId="14" xfId="0" applyFont="1" applyFill="1" applyBorder="1" applyAlignment="1" applyProtection="1">
      <alignment horizontal="center" vertical="center" wrapText="1" shrinkToFit="1"/>
      <protection locked="0"/>
    </xf>
    <xf numFmtId="0" fontId="85" fillId="0" borderId="14" xfId="0" applyFont="1" applyFill="1" applyBorder="1" applyAlignment="1" applyProtection="1">
      <alignment horizontal="center" vertical="center" wrapText="1"/>
      <protection locked="0"/>
    </xf>
    <xf numFmtId="0" fontId="81" fillId="0" borderId="16" xfId="0" applyFont="1" applyFill="1" applyBorder="1" applyAlignment="1" applyProtection="1">
      <alignment horizontal="center" vertical="center" wrapText="1" shrinkToFit="1"/>
      <protection locked="0"/>
    </xf>
    <xf numFmtId="186" fontId="14" fillId="0" borderId="2" xfId="0" applyNumberFormat="1" applyFont="1" applyFill="1" applyBorder="1" applyAlignment="1" applyProtection="1">
      <alignment horizontal="center" vertical="center" wrapText="1" shrinkToFit="1"/>
      <protection locked="0"/>
    </xf>
    <xf numFmtId="187" fontId="14" fillId="0" borderId="2" xfId="0" applyNumberFormat="1" applyFont="1" applyFill="1" applyBorder="1" applyAlignment="1" applyProtection="1">
      <alignment horizontal="center" vertical="center" wrapText="1" shrinkToFit="1"/>
      <protection locked="0"/>
    </xf>
    <xf numFmtId="188" fontId="7" fillId="0" borderId="2" xfId="0" applyNumberFormat="1" applyFont="1" applyFill="1" applyBorder="1" applyAlignment="1" applyProtection="1">
      <alignment vertical="center" wrapText="1"/>
      <protection locked="0"/>
    </xf>
    <xf numFmtId="0" fontId="5" fillId="0" borderId="2" xfId="0" applyFont="1" applyFill="1" applyBorder="1" applyAlignment="1" applyProtection="1">
      <alignment vertical="center"/>
      <protection locked="0"/>
    </xf>
    <xf numFmtId="0" fontId="10" fillId="0" borderId="2" xfId="0" applyFont="1" applyFill="1" applyBorder="1" applyAlignment="1" applyProtection="1">
      <alignment vertical="center"/>
      <protection locked="0"/>
    </xf>
    <xf numFmtId="188" fontId="10" fillId="0" borderId="2" xfId="0" applyNumberFormat="1" applyFont="1" applyFill="1" applyBorder="1" applyAlignment="1" applyProtection="1">
      <alignment horizontal="center" vertical="center" wrapText="1"/>
      <protection locked="0"/>
    </xf>
    <xf numFmtId="186" fontId="28" fillId="0" borderId="2" xfId="0" applyNumberFormat="1" applyFont="1" applyFill="1" applyBorder="1" applyAlignment="1" applyProtection="1">
      <alignment horizontal="center" vertical="center" wrapText="1" shrinkToFit="1"/>
      <protection locked="0"/>
    </xf>
    <xf numFmtId="188" fontId="12" fillId="0" borderId="2" xfId="0" applyNumberFormat="1" applyFont="1" applyFill="1" applyBorder="1" applyAlignment="1" applyProtection="1">
      <alignment horizontal="center" vertical="center" wrapText="1" shrinkToFit="1"/>
      <protection locked="0"/>
    </xf>
    <xf numFmtId="3" fontId="81" fillId="0" borderId="2" xfId="0" applyNumberFormat="1" applyFont="1" applyFill="1" applyBorder="1" applyAlignment="1" applyProtection="1">
      <alignment horizontal="center" vertical="center" wrapText="1" shrinkToFit="1"/>
      <protection locked="0"/>
    </xf>
    <xf numFmtId="0" fontId="81" fillId="0" borderId="2" xfId="0" applyFont="1" applyFill="1" applyBorder="1" applyAlignment="1" applyProtection="1">
      <alignment horizontal="center" vertical="center"/>
    </xf>
    <xf numFmtId="186" fontId="81" fillId="0" borderId="2" xfId="0" applyNumberFormat="1" applyFont="1" applyFill="1" applyBorder="1" applyAlignment="1" applyProtection="1">
      <alignment horizontal="center" vertical="center" wrapText="1" shrinkToFit="1"/>
    </xf>
    <xf numFmtId="188" fontId="84" fillId="0" borderId="2" xfId="0" applyNumberFormat="1" applyFont="1" applyFill="1" applyBorder="1" applyAlignment="1" applyProtection="1">
      <alignment horizontal="center" vertical="center" wrapText="1"/>
    </xf>
    <xf numFmtId="186" fontId="81" fillId="0" borderId="14" xfId="0" applyNumberFormat="1" applyFont="1" applyFill="1" applyBorder="1" applyAlignment="1" applyProtection="1">
      <alignment horizontal="center" vertical="center" wrapText="1" shrinkToFit="1"/>
    </xf>
    <xf numFmtId="188" fontId="84" fillId="0" borderId="16" xfId="0" applyNumberFormat="1" applyFont="1" applyFill="1" applyBorder="1" applyAlignment="1" applyProtection="1">
      <alignment horizontal="center" vertical="center" wrapText="1"/>
    </xf>
    <xf numFmtId="188" fontId="84" fillId="0" borderId="14" xfId="0" applyNumberFormat="1" applyFont="1" applyFill="1" applyBorder="1" applyAlignment="1" applyProtection="1">
      <alignment horizontal="center" vertical="center" wrapText="1"/>
    </xf>
    <xf numFmtId="3" fontId="81" fillId="0" borderId="14" xfId="0" applyNumberFormat="1" applyFont="1" applyFill="1" applyBorder="1" applyAlignment="1" applyProtection="1">
      <alignment horizontal="center" vertical="center" wrapText="1" shrinkToFit="1"/>
      <protection locked="0"/>
    </xf>
    <xf numFmtId="188" fontId="84" fillId="0" borderId="12" xfId="0" applyNumberFormat="1" applyFont="1" applyFill="1" applyBorder="1" applyAlignment="1" applyProtection="1">
      <alignment horizontal="center" vertical="center" wrapText="1"/>
    </xf>
    <xf numFmtId="188" fontId="84" fillId="0" borderId="2" xfId="0" applyNumberFormat="1" applyFont="1" applyFill="1" applyBorder="1" applyAlignment="1" applyProtection="1">
      <alignment vertical="center" wrapText="1"/>
    </xf>
    <xf numFmtId="188" fontId="7" fillId="0" borderId="2" xfId="0" applyNumberFormat="1" applyFont="1" applyFill="1" applyBorder="1" applyAlignment="1" applyProtection="1">
      <alignment horizontal="center" vertical="center"/>
      <protection locked="0"/>
    </xf>
    <xf numFmtId="188" fontId="7" fillId="0" borderId="2" xfId="0" applyNumberFormat="1" applyFont="1" applyFill="1" applyBorder="1" applyAlignment="1" applyProtection="1">
      <alignment vertical="center"/>
      <protection locked="0"/>
    </xf>
    <xf numFmtId="188" fontId="86" fillId="0" borderId="2" xfId="0" applyNumberFormat="1" applyFont="1" applyFill="1" applyBorder="1" applyAlignment="1" applyProtection="1">
      <alignment vertical="center" wrapText="1"/>
      <protection locked="0"/>
    </xf>
    <xf numFmtId="0" fontId="7" fillId="0" borderId="2" xfId="0" applyNumberFormat="1" applyFont="1" applyFill="1" applyBorder="1" applyAlignment="1" applyProtection="1">
      <alignment horizontal="center" vertical="center" wrapText="1"/>
      <protection locked="0"/>
    </xf>
    <xf numFmtId="188" fontId="10" fillId="0" borderId="2" xfId="0" applyNumberFormat="1" applyFont="1" applyFill="1" applyBorder="1" applyAlignment="1" applyProtection="1">
      <alignment horizontal="center" vertical="center"/>
      <protection locked="0"/>
    </xf>
    <xf numFmtId="188" fontId="86" fillId="0" borderId="2" xfId="0" applyNumberFormat="1" applyFont="1" applyFill="1" applyBorder="1" applyAlignment="1" applyProtection="1">
      <alignment horizontal="center" vertical="center" wrapText="1"/>
      <protection locked="0"/>
    </xf>
    <xf numFmtId="0" fontId="10" fillId="0" borderId="2" xfId="0" applyFont="1" applyFill="1" applyBorder="1" applyAlignment="1" applyProtection="1">
      <alignment horizontal="center" vertical="center" wrapText="1"/>
      <protection locked="0"/>
    </xf>
    <xf numFmtId="0" fontId="10" fillId="0" borderId="2" xfId="0" applyNumberFormat="1" applyFont="1" applyFill="1" applyBorder="1" applyAlignment="1" applyProtection="1">
      <alignment horizontal="center" vertical="center" wrapText="1"/>
      <protection locked="0"/>
    </xf>
    <xf numFmtId="188" fontId="13" fillId="0" borderId="2" xfId="0" applyNumberFormat="1" applyFont="1" applyFill="1" applyBorder="1" applyAlignment="1" applyProtection="1">
      <alignment horizontal="center" vertical="center" wrapText="1" shrinkToFit="1"/>
      <protection locked="0"/>
    </xf>
    <xf numFmtId="188" fontId="87" fillId="0" borderId="2" xfId="0" applyNumberFormat="1" applyFont="1" applyFill="1" applyBorder="1" applyAlignment="1" applyProtection="1">
      <alignment horizontal="center" vertical="center" wrapText="1" shrinkToFit="1"/>
      <protection locked="0"/>
    </xf>
    <xf numFmtId="0" fontId="88" fillId="0" borderId="2" xfId="0" applyNumberFormat="1" applyFont="1" applyFill="1" applyBorder="1" applyAlignment="1" applyProtection="1">
      <alignment horizontal="center" vertical="center" wrapText="1" shrinkToFit="1"/>
      <protection locked="0"/>
    </xf>
    <xf numFmtId="0" fontId="89" fillId="14" borderId="2" xfId="0" applyNumberFormat="1" applyFont="1" applyFill="1" applyBorder="1" applyAlignment="1" applyProtection="1">
      <alignment horizontal="center" vertical="center" wrapText="1" shrinkToFit="1"/>
    </xf>
    <xf numFmtId="194" fontId="84" fillId="0" borderId="16" xfId="0" applyNumberFormat="1" applyFont="1" applyFill="1" applyBorder="1" applyAlignment="1" applyProtection="1">
      <alignment horizontal="center" vertical="center" wrapText="1" shrinkToFit="1"/>
    </xf>
    <xf numFmtId="188" fontId="90" fillId="0" borderId="2" xfId="0" applyNumberFormat="1" applyFont="1" applyFill="1" applyBorder="1" applyAlignment="1" applyProtection="1">
      <alignment horizontal="center" vertical="center" wrapText="1" shrinkToFit="1"/>
    </xf>
    <xf numFmtId="188" fontId="84" fillId="0" borderId="14" xfId="0" applyNumberFormat="1" applyFont="1" applyFill="1" applyBorder="1" applyAlignment="1" applyProtection="1">
      <alignment horizontal="center" vertical="center" wrapText="1" shrinkToFit="1"/>
    </xf>
    <xf numFmtId="188" fontId="84" fillId="0" borderId="16" xfId="0" applyNumberFormat="1" applyFont="1" applyFill="1" applyBorder="1" applyAlignment="1" applyProtection="1">
      <alignment horizontal="center" vertical="center" wrapText="1" shrinkToFit="1"/>
    </xf>
    <xf numFmtId="0" fontId="84" fillId="0" borderId="16" xfId="0" applyFont="1" applyFill="1" applyBorder="1" applyAlignment="1" applyProtection="1">
      <alignment horizontal="center" vertical="center" wrapText="1" shrinkToFit="1"/>
    </xf>
    <xf numFmtId="0" fontId="84" fillId="0" borderId="2" xfId="0" applyNumberFormat="1" applyFont="1" applyFill="1" applyBorder="1" applyAlignment="1" applyProtection="1">
      <alignment horizontal="center" vertical="center" wrapText="1"/>
    </xf>
    <xf numFmtId="0" fontId="91" fillId="0" borderId="2" xfId="0" applyFont="1" applyFill="1" applyBorder="1" applyAlignment="1" applyProtection="1">
      <alignment horizontal="center" vertical="center" wrapText="1" shrinkToFit="1"/>
    </xf>
    <xf numFmtId="194" fontId="84" fillId="0" borderId="14" xfId="0" applyNumberFormat="1" applyFont="1" applyFill="1" applyBorder="1" applyAlignment="1" applyProtection="1">
      <alignment horizontal="center" vertical="center" wrapText="1" shrinkToFit="1"/>
    </xf>
    <xf numFmtId="0" fontId="84" fillId="0" borderId="14" xfId="0" applyFont="1" applyFill="1" applyBorder="1" applyAlignment="1" applyProtection="1">
      <alignment horizontal="center" vertical="center" wrapText="1" shrinkToFit="1"/>
    </xf>
    <xf numFmtId="188" fontId="90" fillId="0" borderId="16" xfId="0" applyNumberFormat="1" applyFont="1" applyFill="1" applyBorder="1" applyAlignment="1" applyProtection="1">
      <alignment horizontal="center" vertical="center" wrapText="1" shrinkToFit="1"/>
    </xf>
    <xf numFmtId="0" fontId="84" fillId="0" borderId="16" xfId="0" applyNumberFormat="1" applyFont="1" applyFill="1" applyBorder="1" applyAlignment="1" applyProtection="1">
      <alignment horizontal="center" vertical="center" wrapText="1"/>
    </xf>
    <xf numFmtId="0" fontId="91" fillId="0" borderId="14" xfId="0" applyFont="1" applyFill="1" applyBorder="1" applyAlignment="1" applyProtection="1">
      <alignment horizontal="center" vertical="center" wrapText="1" shrinkToFit="1"/>
    </xf>
    <xf numFmtId="188" fontId="90" fillId="0" borderId="14" xfId="0" applyNumberFormat="1" applyFont="1" applyFill="1" applyBorder="1" applyAlignment="1" applyProtection="1">
      <alignment horizontal="center" vertical="center" wrapText="1" shrinkToFit="1"/>
    </xf>
    <xf numFmtId="0" fontId="84" fillId="0" borderId="14" xfId="0" applyNumberFormat="1" applyFont="1" applyFill="1" applyBorder="1" applyAlignment="1" applyProtection="1">
      <alignment horizontal="center" vertical="center" wrapText="1"/>
    </xf>
    <xf numFmtId="0" fontId="92" fillId="0" borderId="14" xfId="0" applyNumberFormat="1" applyFont="1" applyFill="1" applyBorder="1" applyAlignment="1" applyProtection="1">
      <alignment horizontal="center" vertical="center" wrapText="1"/>
    </xf>
    <xf numFmtId="0" fontId="92" fillId="0" borderId="2" xfId="0" applyNumberFormat="1" applyFont="1" applyFill="1" applyBorder="1" applyAlignment="1" applyProtection="1">
      <alignment horizontal="center" vertical="center" wrapText="1"/>
    </xf>
    <xf numFmtId="188" fontId="84" fillId="0" borderId="2" xfId="0" applyNumberFormat="1" applyFont="1" applyFill="1" applyBorder="1" applyAlignment="1" applyProtection="1">
      <alignment horizontal="center" vertical="center" wrapText="1" shrinkToFit="1"/>
    </xf>
    <xf numFmtId="189" fontId="7" fillId="0" borderId="2" xfId="0" applyNumberFormat="1" applyFont="1" applyFill="1" applyBorder="1" applyAlignment="1" applyProtection="1">
      <alignment vertical="center"/>
      <protection locked="0"/>
    </xf>
    <xf numFmtId="0" fontId="7" fillId="0" borderId="2" xfId="0" applyNumberFormat="1" applyFont="1" applyFill="1" applyBorder="1" applyAlignment="1" applyProtection="1">
      <alignment vertical="center"/>
      <protection locked="0"/>
    </xf>
    <xf numFmtId="0" fontId="14" fillId="0" borderId="2" xfId="0" applyNumberFormat="1" applyFont="1" applyFill="1" applyBorder="1" applyAlignment="1" applyProtection="1">
      <alignment horizontal="center" vertical="center" wrapText="1" shrinkToFit="1"/>
      <protection locked="0"/>
    </xf>
    <xf numFmtId="187" fontId="83" fillId="0" borderId="2" xfId="0" applyNumberFormat="1" applyFont="1" applyFill="1" applyBorder="1" applyAlignment="1" applyProtection="1">
      <alignment horizontal="center" vertical="center" wrapText="1" shrinkToFit="1"/>
      <protection locked="0"/>
    </xf>
    <xf numFmtId="189" fontId="10" fillId="0" borderId="2" xfId="0" applyNumberFormat="1" applyFont="1" applyFill="1" applyBorder="1" applyAlignment="1" applyProtection="1">
      <alignment horizontal="center" vertical="center"/>
      <protection locked="0"/>
    </xf>
    <xf numFmtId="181" fontId="10" fillId="0" borderId="2" xfId="0" applyNumberFormat="1" applyFont="1" applyFill="1" applyBorder="1" applyAlignment="1" applyProtection="1">
      <alignment horizontal="center" vertical="center"/>
      <protection locked="0"/>
    </xf>
    <xf numFmtId="0" fontId="10" fillId="0" borderId="2" xfId="0" applyNumberFormat="1" applyFont="1" applyFill="1" applyBorder="1" applyAlignment="1" applyProtection="1">
      <alignment horizontal="center" vertical="center"/>
      <protection locked="0"/>
    </xf>
    <xf numFmtId="189" fontId="12" fillId="0" borderId="2" xfId="0" applyNumberFormat="1" applyFont="1" applyFill="1" applyBorder="1" applyAlignment="1" applyProtection="1">
      <alignment horizontal="center" vertical="center" wrapText="1" shrinkToFit="1"/>
      <protection locked="0"/>
    </xf>
    <xf numFmtId="181" fontId="12" fillId="0" borderId="2" xfId="0" applyNumberFormat="1" applyFont="1" applyFill="1" applyBorder="1" applyAlignment="1" applyProtection="1">
      <alignment horizontal="center" vertical="center" wrapText="1" shrinkToFit="1"/>
      <protection locked="0"/>
    </xf>
    <xf numFmtId="0" fontId="12" fillId="0" borderId="2" xfId="0" applyNumberFormat="1" applyFont="1" applyFill="1" applyBorder="1" applyAlignment="1" applyProtection="1">
      <alignment horizontal="center" vertical="center" wrapText="1" shrinkToFit="1"/>
      <protection locked="0"/>
    </xf>
    <xf numFmtId="0" fontId="74" fillId="0" borderId="2" xfId="0" applyNumberFormat="1" applyFont="1" applyFill="1" applyBorder="1" applyAlignment="1" applyProtection="1">
      <alignment horizontal="center" vertical="center" wrapText="1" shrinkToFit="1"/>
      <protection locked="0"/>
    </xf>
    <xf numFmtId="0" fontId="93" fillId="0" borderId="2" xfId="0" applyNumberFormat="1" applyFont="1" applyFill="1" applyBorder="1" applyAlignment="1" applyProtection="1">
      <alignment horizontal="center" vertical="center" wrapText="1" shrinkToFit="1"/>
      <protection locked="0"/>
    </xf>
    <xf numFmtId="187" fontId="12" fillId="0" borderId="2" xfId="0" applyNumberFormat="1" applyFont="1" applyFill="1" applyBorder="1" applyAlignment="1" applyProtection="1">
      <alignment horizontal="center" vertical="center" wrapText="1" shrinkToFit="1"/>
      <protection locked="0"/>
    </xf>
    <xf numFmtId="189" fontId="81" fillId="0" borderId="2" xfId="0" applyNumberFormat="1" applyFont="1" applyFill="1" applyBorder="1" applyAlignment="1" applyProtection="1">
      <alignment horizontal="center" vertical="center" wrapText="1" shrinkToFit="1"/>
    </xf>
    <xf numFmtId="181" fontId="81" fillId="0" borderId="2" xfId="0" applyNumberFormat="1" applyFont="1" applyFill="1" applyBorder="1" applyAlignment="1" applyProtection="1">
      <alignment horizontal="center" vertical="center"/>
    </xf>
    <xf numFmtId="0" fontId="81" fillId="0" borderId="14" xfId="0" applyNumberFormat="1" applyFont="1" applyFill="1" applyBorder="1" applyAlignment="1" applyProtection="1">
      <alignment horizontal="center" vertical="center" wrapText="1" shrinkToFit="1"/>
    </xf>
    <xf numFmtId="0" fontId="81" fillId="0" borderId="12" xfId="0" applyFont="1" applyFill="1" applyBorder="1" applyAlignment="1" applyProtection="1">
      <alignment horizontal="center" vertical="center" wrapText="1"/>
    </xf>
    <xf numFmtId="0" fontId="81" fillId="0" borderId="2" xfId="0" applyNumberFormat="1" applyFont="1" applyFill="1" applyBorder="1" applyAlignment="1" applyProtection="1">
      <alignment horizontal="center" vertical="center" wrapText="1" shrinkToFit="1"/>
    </xf>
    <xf numFmtId="186" fontId="84" fillId="0" borderId="16" xfId="0" applyNumberFormat="1" applyFont="1" applyFill="1" applyBorder="1" applyAlignment="1" applyProtection="1">
      <alignment horizontal="center" vertical="center" wrapText="1" shrinkToFit="1"/>
    </xf>
    <xf numFmtId="181" fontId="81" fillId="0" borderId="14" xfId="0" applyNumberFormat="1" applyFont="1" applyFill="1" applyBorder="1" applyAlignment="1" applyProtection="1">
      <alignment horizontal="center" vertical="center"/>
    </xf>
    <xf numFmtId="0" fontId="81" fillId="0" borderId="14" xfId="0" applyFont="1" applyFill="1" applyBorder="1" applyAlignment="1" applyProtection="1">
      <alignment horizontal="center" vertical="center" wrapText="1"/>
    </xf>
    <xf numFmtId="186" fontId="84" fillId="0" borderId="14" xfId="0" applyNumberFormat="1" applyFont="1" applyFill="1" applyBorder="1" applyAlignment="1" applyProtection="1">
      <alignment horizontal="center" vertical="center" wrapText="1" shrinkToFit="1"/>
    </xf>
    <xf numFmtId="189" fontId="81" fillId="0" borderId="14" xfId="0" applyNumberFormat="1" applyFont="1" applyFill="1" applyBorder="1" applyAlignment="1" applyProtection="1">
      <alignment horizontal="center" vertical="center" wrapText="1" shrinkToFit="1"/>
    </xf>
    <xf numFmtId="0" fontId="81" fillId="0" borderId="2" xfId="0" applyFont="1" applyFill="1" applyBorder="1" applyAlignment="1" applyProtection="1">
      <alignment horizontal="center" vertical="center" wrapText="1"/>
    </xf>
    <xf numFmtId="188" fontId="84" fillId="0" borderId="15" xfId="0" applyNumberFormat="1" applyFont="1" applyFill="1" applyBorder="1" applyAlignment="1" applyProtection="1">
      <alignment horizontal="center" vertical="center" wrapText="1" shrinkToFit="1"/>
    </xf>
    <xf numFmtId="0" fontId="81" fillId="0" borderId="2" xfId="0" applyNumberFormat="1" applyFont="1" applyFill="1" applyBorder="1" applyAlignment="1" applyProtection="1">
      <alignment horizontal="center" vertical="center" shrinkToFit="1"/>
    </xf>
    <xf numFmtId="182" fontId="15" fillId="14" borderId="0" xfId="0" applyNumberFormat="1" applyFont="1" applyFill="1" applyAlignment="1" applyProtection="1">
      <alignment vertical="center"/>
      <protection locked="0"/>
    </xf>
    <xf numFmtId="182" fontId="15" fillId="14" borderId="2" xfId="0" applyNumberFormat="1" applyFont="1" applyFill="1" applyBorder="1" applyAlignment="1" applyProtection="1">
      <alignment vertical="center"/>
      <protection locked="0"/>
    </xf>
    <xf numFmtId="182" fontId="94" fillId="14" borderId="0" xfId="0" applyNumberFormat="1" applyFont="1" applyFill="1" applyAlignment="1" applyProtection="1">
      <alignment vertical="center"/>
      <protection locked="0"/>
    </xf>
    <xf numFmtId="182" fontId="11" fillId="0" borderId="2" xfId="0" applyNumberFormat="1" applyFont="1" applyFill="1" applyBorder="1" applyAlignment="1" applyProtection="1">
      <alignment horizontal="center" vertical="center"/>
      <protection locked="0"/>
    </xf>
    <xf numFmtId="182" fontId="11" fillId="14" borderId="6" xfId="0" applyNumberFormat="1" applyFont="1" applyFill="1" applyBorder="1" applyAlignment="1" applyProtection="1">
      <alignment vertical="center"/>
      <protection locked="0"/>
    </xf>
    <xf numFmtId="182" fontId="11" fillId="14" borderId="2" xfId="0" applyNumberFormat="1" applyFont="1" applyFill="1" applyBorder="1" applyAlignment="1" applyProtection="1">
      <alignment vertical="center"/>
      <protection locked="0"/>
    </xf>
    <xf numFmtId="182" fontId="12" fillId="0" borderId="2" xfId="0" applyNumberFormat="1" applyFont="1" applyFill="1" applyBorder="1" applyAlignment="1" applyProtection="1">
      <alignment horizontal="center" vertical="center" wrapText="1" shrinkToFit="1"/>
      <protection locked="0"/>
    </xf>
    <xf numFmtId="182" fontId="22" fillId="14" borderId="6" xfId="0" applyNumberFormat="1" applyFont="1" applyFill="1" applyBorder="1" applyAlignment="1" applyProtection="1">
      <alignment horizontal="center" vertical="center" wrapText="1" shrinkToFit="1"/>
      <protection locked="0"/>
    </xf>
    <xf numFmtId="182" fontId="22" fillId="14" borderId="2" xfId="0" applyNumberFormat="1" applyFont="1" applyFill="1" applyBorder="1" applyAlignment="1" applyProtection="1">
      <alignment horizontal="center" vertical="center" wrapText="1" shrinkToFit="1"/>
      <protection locked="0"/>
    </xf>
    <xf numFmtId="182" fontId="13" fillId="14" borderId="6" xfId="0" applyNumberFormat="1" applyFont="1" applyFill="1" applyBorder="1" applyAlignment="1" applyProtection="1">
      <alignment horizontal="center" vertical="center" wrapText="1" shrinkToFit="1"/>
      <protection locked="0"/>
    </xf>
    <xf numFmtId="182" fontId="81" fillId="0" borderId="2" xfId="0" applyNumberFormat="1" applyFont="1" applyFill="1" applyBorder="1" applyAlignment="1" applyProtection="1">
      <alignment horizontal="center" vertical="center"/>
    </xf>
    <xf numFmtId="182" fontId="81" fillId="0" borderId="14" xfId="0" applyNumberFormat="1" applyFont="1" applyFill="1" applyBorder="1" applyAlignment="1" applyProtection="1">
      <alignment horizontal="center" vertical="center"/>
    </xf>
    <xf numFmtId="182" fontId="95" fillId="15" borderId="14" xfId="0" applyNumberFormat="1" applyFont="1" applyFill="1" applyBorder="1" applyAlignment="1" applyProtection="1">
      <alignment horizontal="center" vertical="center"/>
    </xf>
    <xf numFmtId="182" fontId="95" fillId="15" borderId="14" xfId="0" applyNumberFormat="1" applyFont="1" applyFill="1" applyBorder="1" applyAlignment="1" applyProtection="1">
      <alignment horizontal="center" vertical="center" wrapText="1" shrinkToFit="1"/>
    </xf>
    <xf numFmtId="182" fontId="5" fillId="7" borderId="15" xfId="0" applyNumberFormat="1" applyFont="1" applyFill="1" applyBorder="1" applyAlignment="1" applyProtection="1">
      <alignment horizontal="center" vertical="center"/>
    </xf>
    <xf numFmtId="0" fontId="5" fillId="7" borderId="0" xfId="0" applyFont="1" applyFill="1" applyAlignment="1" applyProtection="1">
      <alignment horizontal="center" vertical="center" wrapText="1"/>
    </xf>
    <xf numFmtId="182" fontId="5" fillId="0" borderId="15" xfId="0" applyNumberFormat="1" applyFont="1" applyFill="1" applyBorder="1" applyAlignment="1" applyProtection="1">
      <alignment horizontal="center" vertical="center"/>
    </xf>
    <xf numFmtId="0" fontId="5" fillId="0" borderId="0" xfId="0" applyFont="1" applyFill="1" applyAlignment="1" applyProtection="1">
      <alignment horizontal="center" vertical="center" wrapText="1"/>
    </xf>
    <xf numFmtId="182" fontId="95" fillId="0" borderId="15" xfId="0" applyNumberFormat="1" applyFont="1" applyFill="1" applyBorder="1" applyAlignment="1" applyProtection="1">
      <alignment horizontal="center" vertical="center"/>
    </xf>
    <xf numFmtId="0" fontId="95" fillId="0" borderId="0" xfId="0" applyFont="1" applyFill="1" applyAlignment="1" applyProtection="1">
      <alignment horizontal="center" vertical="center" wrapText="1"/>
    </xf>
    <xf numFmtId="182" fontId="82" fillId="7" borderId="15" xfId="0" applyNumberFormat="1" applyFont="1" applyFill="1" applyBorder="1" applyAlignment="1" applyProtection="1">
      <alignment horizontal="center" vertical="center"/>
    </xf>
    <xf numFmtId="0" fontId="82" fillId="7" borderId="0" xfId="0" applyFont="1" applyFill="1" applyAlignment="1" applyProtection="1">
      <alignment horizontal="center" vertical="center" wrapText="1"/>
    </xf>
    <xf numFmtId="182" fontId="82" fillId="0" borderId="15" xfId="0" applyNumberFormat="1" applyFont="1" applyFill="1" applyBorder="1" applyAlignment="1" applyProtection="1">
      <alignment horizontal="center" vertical="center"/>
    </xf>
    <xf numFmtId="0" fontId="82" fillId="0" borderId="0" xfId="0" applyFont="1" applyFill="1" applyAlignment="1" applyProtection="1">
      <alignment horizontal="center" vertical="center" wrapText="1"/>
    </xf>
    <xf numFmtId="182" fontId="82" fillId="15" borderId="15" xfId="0" applyNumberFormat="1" applyFont="1" applyFill="1" applyBorder="1" applyAlignment="1" applyProtection="1">
      <alignment horizontal="center" vertical="center"/>
    </xf>
    <xf numFmtId="0" fontId="82" fillId="15" borderId="0" xfId="0" applyFont="1" applyFill="1" applyAlignment="1" applyProtection="1">
      <alignment horizontal="center" vertical="center" wrapText="1"/>
    </xf>
    <xf numFmtId="182" fontId="95" fillId="15" borderId="15" xfId="0" applyNumberFormat="1" applyFont="1" applyFill="1" applyBorder="1" applyAlignment="1" applyProtection="1">
      <alignment horizontal="center" vertical="center"/>
    </xf>
    <xf numFmtId="0" fontId="95" fillId="15" borderId="0" xfId="0" applyFont="1" applyFill="1" applyAlignment="1" applyProtection="1">
      <alignment horizontal="center" vertical="center" wrapText="1"/>
    </xf>
    <xf numFmtId="182" fontId="94" fillId="14" borderId="2" xfId="0" applyNumberFormat="1" applyFont="1" applyFill="1" applyBorder="1" applyAlignment="1" applyProtection="1">
      <alignment vertical="center"/>
      <protection locked="0"/>
    </xf>
    <xf numFmtId="182" fontId="94" fillId="0" borderId="0" xfId="0" applyNumberFormat="1" applyFont="1" applyFill="1" applyAlignment="1" applyProtection="1">
      <alignment vertical="center"/>
      <protection locked="0"/>
    </xf>
    <xf numFmtId="182" fontId="15" fillId="14" borderId="2" xfId="0" applyNumberFormat="1" applyFont="1" applyFill="1" applyBorder="1" applyAlignment="1" applyProtection="1">
      <alignment horizontal="center" vertical="center"/>
      <protection locked="0"/>
    </xf>
    <xf numFmtId="182" fontId="15" fillId="14" borderId="0" xfId="0" applyNumberFormat="1" applyFont="1" applyFill="1" applyAlignment="1" applyProtection="1">
      <alignment horizontal="center" vertical="center"/>
      <protection locked="0"/>
    </xf>
    <xf numFmtId="182" fontId="11" fillId="0" borderId="6" xfId="0" applyNumberFormat="1" applyFont="1" applyFill="1" applyBorder="1" applyAlignment="1" applyProtection="1">
      <alignment vertical="center"/>
      <protection locked="0"/>
    </xf>
    <xf numFmtId="182" fontId="13" fillId="14" borderId="2" xfId="0" applyNumberFormat="1" applyFont="1" applyFill="1" applyBorder="1" applyAlignment="1" applyProtection="1">
      <alignment horizontal="center" vertical="center" wrapText="1" shrinkToFit="1"/>
      <protection locked="0"/>
    </xf>
    <xf numFmtId="182" fontId="96" fillId="0" borderId="2" xfId="0" applyNumberFormat="1" applyFont="1" applyFill="1" applyBorder="1" applyAlignment="1" applyProtection="1">
      <alignment horizontal="center" vertical="center" wrapText="1" shrinkToFit="1"/>
      <protection locked="0"/>
    </xf>
    <xf numFmtId="182" fontId="13" fillId="14" borderId="2" xfId="0" applyNumberFormat="1" applyFont="1" applyFill="1" applyBorder="1" applyAlignment="1" applyProtection="1">
      <alignment horizontal="center" vertical="center" wrapText="1"/>
      <protection locked="0"/>
    </xf>
    <xf numFmtId="182" fontId="81" fillId="0" borderId="14" xfId="0" applyNumberFormat="1" applyFont="1" applyFill="1" applyBorder="1" applyAlignment="1" applyProtection="1">
      <alignment horizontal="center" vertical="center" wrapText="1" shrinkToFit="1"/>
    </xf>
    <xf numFmtId="182" fontId="5" fillId="7" borderId="14" xfId="0" applyNumberFormat="1" applyFont="1" applyFill="1" applyBorder="1" applyAlignment="1" applyProtection="1">
      <alignment horizontal="center" vertical="center"/>
    </xf>
    <xf numFmtId="186" fontId="14" fillId="7" borderId="0" xfId="0" applyNumberFormat="1" applyFont="1" applyFill="1" applyBorder="1" applyAlignment="1" applyProtection="1">
      <alignment horizontal="center" vertical="center" wrapText="1" shrinkToFit="1"/>
    </xf>
    <xf numFmtId="182" fontId="5" fillId="0" borderId="14" xfId="0" applyNumberFormat="1" applyFont="1" applyFill="1" applyBorder="1" applyAlignment="1" applyProtection="1">
      <alignment horizontal="center" vertical="center"/>
    </xf>
    <xf numFmtId="186" fontId="14" fillId="0" borderId="0" xfId="0" applyNumberFormat="1" applyFont="1" applyFill="1" applyBorder="1" applyAlignment="1" applyProtection="1">
      <alignment horizontal="center" vertical="center" wrapText="1" shrinkToFit="1"/>
    </xf>
    <xf numFmtId="182" fontId="95" fillId="0" borderId="14" xfId="0" applyNumberFormat="1" applyFont="1" applyFill="1" applyBorder="1" applyAlignment="1" applyProtection="1">
      <alignment horizontal="center" vertical="center"/>
    </xf>
    <xf numFmtId="186" fontId="97" fillId="0" borderId="0" xfId="0" applyNumberFormat="1" applyFont="1" applyFill="1" applyBorder="1" applyAlignment="1" applyProtection="1">
      <alignment horizontal="center" vertical="center" wrapText="1" shrinkToFit="1"/>
    </xf>
    <xf numFmtId="182" fontId="82" fillId="7" borderId="14" xfId="0" applyNumberFormat="1" applyFont="1" applyFill="1" applyBorder="1" applyAlignment="1" applyProtection="1">
      <alignment horizontal="center" vertical="center"/>
    </xf>
    <xf numFmtId="186" fontId="98" fillId="7" borderId="0" xfId="0" applyNumberFormat="1" applyFont="1" applyFill="1" applyBorder="1" applyAlignment="1" applyProtection="1">
      <alignment horizontal="center" vertical="center" wrapText="1" shrinkToFit="1"/>
    </xf>
    <xf numFmtId="182" fontId="82" fillId="0" borderId="14" xfId="0" applyNumberFormat="1" applyFont="1" applyFill="1" applyBorder="1" applyAlignment="1" applyProtection="1">
      <alignment horizontal="center" vertical="center" wrapText="1" shrinkToFit="1"/>
    </xf>
    <xf numFmtId="182" fontId="82" fillId="0" borderId="0" xfId="0" applyNumberFormat="1" applyFont="1" applyFill="1" applyBorder="1" applyAlignment="1" applyProtection="1">
      <alignment horizontal="center" vertical="center" wrapText="1" shrinkToFit="1"/>
    </xf>
    <xf numFmtId="182" fontId="82" fillId="0" borderId="0" xfId="0" applyNumberFormat="1" applyFont="1" applyFill="1" applyAlignment="1" applyProtection="1">
      <alignment horizontal="center" vertical="center" wrapText="1" shrinkToFit="1"/>
    </xf>
    <xf numFmtId="182" fontId="82" fillId="15" borderId="14" xfId="0" applyNumberFormat="1" applyFont="1" applyFill="1" applyBorder="1" applyAlignment="1" applyProtection="1">
      <alignment horizontal="center" vertical="center" wrapText="1" shrinkToFit="1"/>
    </xf>
    <xf numFmtId="182" fontId="82" fillId="15" borderId="0" xfId="0" applyNumberFormat="1" applyFont="1" applyFill="1" applyBorder="1" applyAlignment="1" applyProtection="1">
      <alignment horizontal="center" vertical="center" wrapText="1" shrinkToFit="1"/>
    </xf>
    <xf numFmtId="182" fontId="82" fillId="15" borderId="0" xfId="0" applyNumberFormat="1" applyFont="1" applyFill="1" applyAlignment="1" applyProtection="1">
      <alignment horizontal="center" vertical="center" wrapText="1" shrinkToFit="1"/>
    </xf>
    <xf numFmtId="182" fontId="82" fillId="15" borderId="14" xfId="0" applyNumberFormat="1" applyFont="1" applyFill="1" applyBorder="1" applyAlignment="1" applyProtection="1">
      <alignment horizontal="center" vertical="center"/>
    </xf>
    <xf numFmtId="186" fontId="98" fillId="15" borderId="0" xfId="0" applyNumberFormat="1" applyFont="1" applyFill="1" applyBorder="1" applyAlignment="1" applyProtection="1">
      <alignment horizontal="center" vertical="center" wrapText="1" shrinkToFit="1"/>
    </xf>
    <xf numFmtId="182" fontId="82" fillId="0" borderId="14" xfId="0" applyNumberFormat="1" applyFont="1" applyFill="1" applyBorder="1" applyAlignment="1" applyProtection="1">
      <alignment horizontal="center" vertical="center"/>
    </xf>
    <xf numFmtId="186" fontId="98" fillId="0" borderId="0" xfId="0" applyNumberFormat="1" applyFont="1" applyFill="1" applyBorder="1" applyAlignment="1" applyProtection="1">
      <alignment horizontal="center" vertical="center" wrapText="1" shrinkToFit="1"/>
    </xf>
    <xf numFmtId="182" fontId="95" fillId="0" borderId="14" xfId="0" applyNumberFormat="1" applyFont="1" applyFill="1" applyBorder="1" applyAlignment="1" applyProtection="1">
      <alignment horizontal="center" vertical="center" wrapText="1" shrinkToFit="1"/>
    </xf>
    <xf numFmtId="182" fontId="95" fillId="0" borderId="0" xfId="0" applyNumberFormat="1" applyFont="1" applyFill="1" applyBorder="1" applyAlignment="1" applyProtection="1">
      <alignment horizontal="center" vertical="center" wrapText="1" shrinkToFit="1"/>
    </xf>
    <xf numFmtId="182" fontId="95" fillId="0" borderId="0" xfId="0" applyNumberFormat="1" applyFont="1" applyFill="1" applyAlignment="1" applyProtection="1">
      <alignment horizontal="center" vertical="center" wrapText="1" shrinkToFit="1"/>
    </xf>
    <xf numFmtId="182" fontId="95" fillId="15" borderId="0" xfId="0" applyNumberFormat="1" applyFont="1" applyFill="1" applyBorder="1" applyAlignment="1" applyProtection="1">
      <alignment horizontal="center" vertical="center" wrapText="1" shrinkToFit="1"/>
    </xf>
    <xf numFmtId="182" fontId="95" fillId="15" borderId="0" xfId="0" applyNumberFormat="1" applyFont="1" applyFill="1" applyAlignment="1" applyProtection="1">
      <alignment horizontal="center" vertical="center" wrapText="1" shrinkToFit="1"/>
    </xf>
    <xf numFmtId="182" fontId="15" fillId="0" borderId="0" xfId="0" applyNumberFormat="1" applyFont="1" applyFill="1" applyAlignment="1" applyProtection="1">
      <alignment horizontal="center" vertical="center"/>
      <protection locked="0"/>
    </xf>
    <xf numFmtId="182" fontId="94" fillId="0" borderId="2" xfId="0" applyNumberFormat="1" applyFont="1" applyFill="1" applyBorder="1" applyAlignment="1" applyProtection="1">
      <alignment vertical="center"/>
      <protection locked="0"/>
    </xf>
    <xf numFmtId="182" fontId="7" fillId="0" borderId="2" xfId="0" applyNumberFormat="1" applyFont="1" applyFill="1" applyBorder="1" applyAlignment="1" applyProtection="1">
      <alignment vertical="center"/>
      <protection locked="0"/>
    </xf>
    <xf numFmtId="182" fontId="11" fillId="0" borderId="2" xfId="0" applyNumberFormat="1" applyFont="1" applyFill="1" applyBorder="1" applyAlignment="1" applyProtection="1">
      <alignment vertical="center"/>
      <protection locked="0"/>
    </xf>
    <xf numFmtId="182" fontId="96" fillId="0" borderId="2" xfId="0" applyNumberFormat="1" applyFont="1" applyFill="1" applyBorder="1" applyAlignment="1" applyProtection="1">
      <alignment horizontal="center" vertical="center" wrapText="1"/>
      <protection locked="0"/>
    </xf>
    <xf numFmtId="182" fontId="13" fillId="14" borderId="6" xfId="0" applyNumberFormat="1" applyFont="1" applyFill="1" applyBorder="1" applyAlignment="1" applyProtection="1">
      <alignment horizontal="center" vertical="center" wrapText="1"/>
      <protection locked="0"/>
    </xf>
    <xf numFmtId="182" fontId="13" fillId="0" borderId="2" xfId="0" applyNumberFormat="1" applyFont="1" applyFill="1" applyBorder="1" applyAlignment="1" applyProtection="1">
      <alignment horizontal="center" vertical="center" wrapText="1"/>
      <protection locked="0"/>
    </xf>
    <xf numFmtId="182" fontId="7" fillId="0" borderId="3" xfId="0" applyNumberFormat="1" applyFont="1" applyFill="1" applyBorder="1" applyAlignment="1" applyProtection="1">
      <alignment vertical="center"/>
      <protection locked="0"/>
    </xf>
    <xf numFmtId="0" fontId="5" fillId="0" borderId="0" xfId="0" applyFont="1" applyFill="1" applyBorder="1" applyAlignment="1" applyProtection="1">
      <alignment vertical="center" wrapText="1"/>
      <protection locked="0"/>
    </xf>
    <xf numFmtId="0" fontId="5" fillId="10" borderId="0" xfId="0" applyFont="1" applyFill="1" applyAlignment="1" applyProtection="1">
      <alignment horizontal="center" vertical="center"/>
      <protection locked="0"/>
    </xf>
    <xf numFmtId="182" fontId="11" fillId="0" borderId="3" xfId="0" applyNumberFormat="1" applyFont="1" applyFill="1" applyBorder="1" applyAlignment="1" applyProtection="1">
      <alignment horizontal="center" vertical="center"/>
      <protection locked="0"/>
    </xf>
    <xf numFmtId="0" fontId="5" fillId="10" borderId="2" xfId="0" applyFont="1" applyFill="1" applyBorder="1" applyProtection="1">
      <alignment vertical="center"/>
      <protection locked="0"/>
    </xf>
    <xf numFmtId="0" fontId="5" fillId="10" borderId="0" xfId="0" applyFont="1" applyFill="1" applyProtection="1">
      <alignment vertical="center"/>
      <protection locked="0"/>
    </xf>
    <xf numFmtId="182" fontId="13" fillId="0" borderId="3" xfId="0" applyNumberFormat="1" applyFont="1" applyFill="1" applyBorder="1" applyAlignment="1" applyProtection="1">
      <alignment horizontal="center" vertical="center" wrapText="1" shrinkToFit="1"/>
      <protection locked="0"/>
    </xf>
    <xf numFmtId="182" fontId="12" fillId="0" borderId="3" xfId="0" applyNumberFormat="1" applyFont="1" applyFill="1" applyBorder="1" applyAlignment="1" applyProtection="1">
      <alignment horizontal="center" vertical="center" wrapText="1" shrinkToFit="1"/>
      <protection locked="0"/>
    </xf>
    <xf numFmtId="182" fontId="13" fillId="0" borderId="2" xfId="0" applyNumberFormat="1" applyFont="1" applyFill="1" applyBorder="1" applyAlignment="1" applyProtection="1">
      <alignment horizontal="center" vertical="center" wrapText="1" shrinkToFit="1"/>
      <protection locked="0"/>
    </xf>
    <xf numFmtId="0" fontId="52" fillId="0" borderId="0" xfId="0" applyFont="1" applyFill="1" applyBorder="1" applyAlignment="1" applyProtection="1">
      <alignment horizontal="center" vertical="center" wrapText="1"/>
      <protection locked="0"/>
    </xf>
    <xf numFmtId="0" fontId="14" fillId="10" borderId="2" xfId="0" applyFont="1" applyFill="1" applyBorder="1" applyAlignment="1" applyProtection="1">
      <alignment horizontal="center" vertical="center" wrapText="1"/>
      <protection locked="0"/>
    </xf>
    <xf numFmtId="0" fontId="14" fillId="10" borderId="0" xfId="0" applyFont="1" applyFill="1" applyAlignment="1" applyProtection="1">
      <alignment horizontal="center" vertical="center" wrapText="1"/>
      <protection locked="0"/>
    </xf>
    <xf numFmtId="182" fontId="81" fillId="0" borderId="15" xfId="0" applyNumberFormat="1" applyFont="1" applyFill="1" applyBorder="1" applyAlignment="1" applyProtection="1">
      <alignment horizontal="center" vertical="center"/>
    </xf>
    <xf numFmtId="186" fontId="84" fillId="0" borderId="0" xfId="0" applyNumberFormat="1" applyFont="1" applyFill="1" applyBorder="1" applyAlignment="1" applyProtection="1">
      <alignment horizontal="center" vertical="center" wrapText="1" shrinkToFit="1"/>
      <protection locked="0"/>
    </xf>
    <xf numFmtId="0" fontId="97" fillId="15" borderId="2" xfId="0" applyFont="1" applyFill="1" applyBorder="1" applyAlignment="1" applyProtection="1">
      <alignment horizontal="center" vertical="center" wrapText="1" shrinkToFit="1"/>
      <protection locked="0"/>
    </xf>
    <xf numFmtId="0" fontId="95" fillId="15" borderId="0" xfId="0" applyFont="1" applyFill="1" applyAlignment="1" applyProtection="1">
      <alignment horizontal="center" vertical="center" wrapText="1"/>
      <protection locked="0"/>
    </xf>
    <xf numFmtId="0" fontId="95" fillId="0" borderId="0" xfId="0" applyFont="1" applyFill="1" applyAlignment="1" applyProtection="1">
      <alignment horizontal="center" vertical="center" wrapText="1"/>
      <protection locked="0"/>
    </xf>
    <xf numFmtId="0" fontId="82" fillId="7" borderId="0" xfId="0" applyFont="1" applyFill="1" applyAlignment="1" applyProtection="1">
      <alignment horizontal="center" vertical="center" wrapText="1"/>
      <protection locked="0"/>
    </xf>
    <xf numFmtId="0" fontId="82" fillId="15" borderId="0" xfId="0" applyFont="1" applyFill="1" applyAlignment="1" applyProtection="1">
      <alignment horizontal="center" vertical="center" wrapText="1"/>
      <protection locked="0"/>
    </xf>
    <xf numFmtId="0" fontId="99" fillId="0" borderId="14" xfId="0" applyFont="1" applyFill="1" applyBorder="1" applyAlignment="1" applyProtection="1">
      <alignment horizontal="center" vertical="center" wrapText="1"/>
      <protection locked="0"/>
    </xf>
    <xf numFmtId="190" fontId="85" fillId="0" borderId="14" xfId="0" applyNumberFormat="1" applyFont="1" applyFill="1" applyBorder="1" applyAlignment="1" applyProtection="1">
      <alignment horizontal="center" vertical="center"/>
    </xf>
    <xf numFmtId="0" fontId="85" fillId="0" borderId="14" xfId="0" applyFont="1" applyFill="1" applyBorder="1" applyAlignment="1" applyProtection="1">
      <alignment horizontal="center" vertical="center" wrapText="1" shrinkToFit="1"/>
      <protection locked="0"/>
    </xf>
    <xf numFmtId="0" fontId="100" fillId="0" borderId="14" xfId="0" applyFont="1" applyFill="1" applyBorder="1" applyAlignment="1" applyProtection="1">
      <alignment horizontal="center" vertical="center" wrapText="1" shrinkToFit="1"/>
      <protection locked="0"/>
    </xf>
    <xf numFmtId="0" fontId="81" fillId="0" borderId="14" xfId="0" applyFont="1" applyFill="1" applyBorder="1" applyAlignment="1" applyProtection="1">
      <alignment horizontal="center" vertical="center" wrapText="1"/>
      <protection locked="0"/>
    </xf>
    <xf numFmtId="0" fontId="101" fillId="0" borderId="14" xfId="0" applyFont="1" applyFill="1" applyBorder="1" applyAlignment="1" applyProtection="1">
      <alignment horizontal="center" vertical="center" wrapText="1"/>
      <protection locked="0"/>
    </xf>
    <xf numFmtId="3" fontId="101" fillId="0" borderId="14" xfId="0" applyNumberFormat="1" applyFont="1" applyFill="1" applyBorder="1" applyAlignment="1" applyProtection="1">
      <alignment horizontal="center" vertical="center" wrapText="1" shrinkToFit="1"/>
      <protection locked="0"/>
    </xf>
    <xf numFmtId="188" fontId="85" fillId="0" borderId="14" xfId="0" applyNumberFormat="1" applyFont="1" applyFill="1" applyBorder="1" applyAlignment="1" applyProtection="1">
      <alignment horizontal="center" vertical="center" wrapText="1"/>
    </xf>
    <xf numFmtId="188" fontId="102" fillId="0" borderId="14" xfId="0" applyNumberFormat="1" applyFont="1" applyFill="1" applyBorder="1" applyAlignment="1" applyProtection="1">
      <alignment horizontal="center" vertical="center" wrapText="1"/>
    </xf>
    <xf numFmtId="0" fontId="90" fillId="0" borderId="0" xfId="0" applyFont="1" applyFill="1" applyAlignment="1" applyProtection="1">
      <alignment vertical="center" wrapText="1"/>
    </xf>
    <xf numFmtId="183" fontId="84" fillId="0" borderId="14" xfId="0" applyNumberFormat="1" applyFont="1" applyFill="1" applyBorder="1" applyAlignment="1" applyProtection="1">
      <alignment horizontal="center" vertical="center" wrapText="1"/>
    </xf>
    <xf numFmtId="0" fontId="90" fillId="0" borderId="14" xfId="0" applyNumberFormat="1" applyFont="1" applyFill="1" applyBorder="1" applyAlignment="1" applyProtection="1">
      <alignment horizontal="center" vertical="center" wrapText="1"/>
    </xf>
    <xf numFmtId="0" fontId="90" fillId="0" borderId="2" xfId="0" applyFont="1" applyFill="1" applyBorder="1" applyAlignment="1" applyProtection="1">
      <alignment vertical="center" wrapText="1"/>
    </xf>
    <xf numFmtId="188" fontId="90" fillId="0" borderId="14" xfId="0" applyNumberFormat="1" applyFont="1" applyFill="1" applyBorder="1" applyAlignment="1" applyProtection="1">
      <alignment horizontal="center" vertical="center" wrapText="1"/>
    </xf>
    <xf numFmtId="0" fontId="90" fillId="0" borderId="14" xfId="0" applyFont="1" applyFill="1" applyBorder="1" applyAlignment="1" applyProtection="1">
      <alignment horizontal="center" vertical="center"/>
    </xf>
    <xf numFmtId="58" fontId="90" fillId="0" borderId="14" xfId="0" applyNumberFormat="1" applyFont="1" applyFill="1" applyBorder="1" applyAlignment="1" applyProtection="1">
      <alignment horizontal="center" vertical="center" wrapText="1"/>
    </xf>
    <xf numFmtId="194" fontId="85" fillId="0" borderId="14" xfId="0" applyNumberFormat="1" applyFont="1" applyFill="1" applyBorder="1" applyAlignment="1" applyProtection="1">
      <alignment horizontal="center" vertical="center" wrapText="1" shrinkToFit="1"/>
    </xf>
    <xf numFmtId="188" fontId="100" fillId="0" borderId="14" xfId="0" applyNumberFormat="1" applyFont="1" applyFill="1" applyBorder="1" applyAlignment="1" applyProtection="1">
      <alignment horizontal="center" vertical="center" wrapText="1" shrinkToFit="1"/>
    </xf>
    <xf numFmtId="0" fontId="99" fillId="0" borderId="14" xfId="0" applyFont="1" applyFill="1" applyBorder="1" applyAlignment="1" applyProtection="1">
      <alignment horizontal="center" vertical="center" wrapText="1" shrinkToFit="1"/>
    </xf>
    <xf numFmtId="0" fontId="85" fillId="0" borderId="14" xfId="0" applyFont="1" applyFill="1" applyBorder="1" applyAlignment="1" applyProtection="1">
      <alignment horizontal="center" vertical="center" wrapText="1" shrinkToFit="1"/>
    </xf>
    <xf numFmtId="183" fontId="84" fillId="0" borderId="2" xfId="0" applyNumberFormat="1" applyFont="1" applyFill="1" applyBorder="1" applyAlignment="1" applyProtection="1">
      <alignment horizontal="center" vertical="center" wrapText="1"/>
    </xf>
    <xf numFmtId="188" fontId="85" fillId="0" borderId="14" xfId="0" applyNumberFormat="1" applyFont="1" applyFill="1" applyBorder="1" applyAlignment="1" applyProtection="1">
      <alignment horizontal="center" vertical="center"/>
    </xf>
    <xf numFmtId="0" fontId="90" fillId="0" borderId="14" xfId="0" applyFont="1" applyFill="1" applyBorder="1" applyAlignment="1" applyProtection="1">
      <alignment horizontal="center" vertical="center" wrapText="1"/>
    </xf>
    <xf numFmtId="0" fontId="101" fillId="0" borderId="14" xfId="0" applyNumberFormat="1" applyFont="1" applyFill="1" applyBorder="1" applyAlignment="1" applyProtection="1">
      <alignment horizontal="center" vertical="center" wrapText="1"/>
    </xf>
    <xf numFmtId="182" fontId="103" fillId="0" borderId="2" xfId="0" applyNumberFormat="1" applyFont="1" applyFill="1" applyBorder="1" applyAlignment="1" applyProtection="1">
      <alignment horizontal="center" vertical="center" wrapText="1"/>
    </xf>
    <xf numFmtId="0" fontId="85" fillId="0" borderId="14" xfId="0" applyNumberFormat="1" applyFont="1" applyFill="1" applyBorder="1" applyAlignment="1" applyProtection="1">
      <alignment horizontal="center" vertical="center" wrapText="1" shrinkToFit="1"/>
    </xf>
    <xf numFmtId="0" fontId="85" fillId="0" borderId="2" xfId="0" applyNumberFormat="1" applyFont="1" applyFill="1" applyBorder="1" applyAlignment="1" applyProtection="1">
      <alignment horizontal="center" vertical="center" wrapText="1" shrinkToFit="1"/>
    </xf>
    <xf numFmtId="186" fontId="85" fillId="0" borderId="14" xfId="0" applyNumberFormat="1" applyFont="1" applyFill="1" applyBorder="1" applyAlignment="1" applyProtection="1">
      <alignment horizontal="center" vertical="center" wrapText="1" shrinkToFit="1"/>
    </xf>
    <xf numFmtId="189" fontId="85" fillId="0" borderId="14" xfId="0" applyNumberFormat="1" applyFont="1" applyFill="1" applyBorder="1" applyAlignment="1" applyProtection="1">
      <alignment horizontal="center" vertical="center" wrapText="1" shrinkToFit="1"/>
    </xf>
    <xf numFmtId="186" fontId="85" fillId="0" borderId="16" xfId="0" applyNumberFormat="1" applyFont="1" applyFill="1" applyBorder="1" applyAlignment="1" applyProtection="1">
      <alignment horizontal="center" vertical="center" wrapText="1" shrinkToFit="1"/>
    </xf>
    <xf numFmtId="186" fontId="99" fillId="0" borderId="14" xfId="0" applyNumberFormat="1" applyFont="1" applyFill="1" applyBorder="1" applyAlignment="1" applyProtection="1">
      <alignment horizontal="center" vertical="center" wrapText="1" shrinkToFit="1"/>
    </xf>
    <xf numFmtId="182" fontId="95" fillId="7" borderId="15" xfId="0" applyNumberFormat="1" applyFont="1" applyFill="1" applyBorder="1" applyAlignment="1" applyProtection="1">
      <alignment horizontal="center" vertical="center"/>
    </xf>
    <xf numFmtId="0" fontId="95" fillId="7" borderId="0" xfId="0" applyFont="1" applyFill="1" applyAlignment="1" applyProtection="1">
      <alignment horizontal="center" vertical="center" wrapText="1"/>
    </xf>
    <xf numFmtId="182" fontId="81" fillId="7" borderId="2" xfId="0" applyNumberFormat="1" applyFont="1" applyFill="1" applyBorder="1" applyAlignment="1" applyProtection="1">
      <alignment horizontal="center" vertical="center"/>
    </xf>
    <xf numFmtId="182" fontId="104" fillId="7" borderId="15" xfId="0" applyNumberFormat="1" applyFont="1" applyFill="1" applyBorder="1" applyAlignment="1" applyProtection="1">
      <alignment horizontal="center" vertical="center"/>
    </xf>
    <xf numFmtId="182" fontId="104" fillId="7" borderId="0" xfId="0" applyNumberFormat="1" applyFont="1" applyFill="1" applyAlignment="1" applyProtection="1">
      <alignment horizontal="center" vertical="center"/>
    </xf>
    <xf numFmtId="182" fontId="104" fillId="7" borderId="0" xfId="0" applyNumberFormat="1" applyFont="1" applyFill="1" applyAlignment="1" applyProtection="1">
      <alignment horizontal="center" vertical="center" wrapText="1" shrinkToFit="1"/>
    </xf>
    <xf numFmtId="182" fontId="105" fillId="7" borderId="15" xfId="0" applyNumberFormat="1" applyFont="1" applyFill="1" applyBorder="1" applyAlignment="1" applyProtection="1">
      <alignment horizontal="center" vertical="center"/>
    </xf>
    <xf numFmtId="182" fontId="105" fillId="7" borderId="0" xfId="0" applyNumberFormat="1" applyFont="1" applyFill="1" applyAlignment="1" applyProtection="1">
      <alignment horizontal="center" vertical="center"/>
    </xf>
    <xf numFmtId="182" fontId="105" fillId="7" borderId="0" xfId="0" applyNumberFormat="1" applyFont="1" applyFill="1" applyAlignment="1" applyProtection="1">
      <alignment horizontal="center" vertical="center" wrapText="1" shrinkToFit="1"/>
    </xf>
    <xf numFmtId="182" fontId="104" fillId="0" borderId="15" xfId="0" applyNumberFormat="1" applyFont="1" applyFill="1" applyBorder="1" applyAlignment="1" applyProtection="1">
      <alignment horizontal="center" vertical="center"/>
    </xf>
    <xf numFmtId="182" fontId="106" fillId="0" borderId="15" xfId="0" applyNumberFormat="1" applyFont="1" applyFill="1" applyBorder="1" applyAlignment="1" applyProtection="1">
      <alignment horizontal="center" vertical="center"/>
    </xf>
    <xf numFmtId="182" fontId="106" fillId="7" borderId="0" xfId="0" applyNumberFormat="1" applyFont="1" applyFill="1" applyAlignment="1" applyProtection="1">
      <alignment horizontal="center" vertical="center"/>
    </xf>
    <xf numFmtId="182" fontId="106" fillId="7" borderId="0" xfId="0" applyNumberFormat="1" applyFont="1" applyFill="1" applyAlignment="1" applyProtection="1">
      <alignment horizontal="center" vertical="center" wrapText="1" shrinkToFit="1"/>
    </xf>
    <xf numFmtId="182" fontId="104" fillId="0" borderId="0" xfId="0" applyNumberFormat="1" applyFont="1" applyFill="1" applyAlignment="1" applyProtection="1">
      <alignment horizontal="center" vertical="center"/>
    </xf>
    <xf numFmtId="182" fontId="104" fillId="0" borderId="0" xfId="0" applyNumberFormat="1" applyFont="1" applyFill="1" applyAlignment="1" applyProtection="1">
      <alignment horizontal="center" vertical="center" wrapText="1" shrinkToFit="1"/>
    </xf>
    <xf numFmtId="182" fontId="104" fillId="15" borderId="15" xfId="0" applyNumberFormat="1" applyFont="1" applyFill="1" applyBorder="1" applyAlignment="1" applyProtection="1">
      <alignment horizontal="center" vertical="center"/>
    </xf>
    <xf numFmtId="182" fontId="104" fillId="15" borderId="0" xfId="0" applyNumberFormat="1" applyFont="1" applyFill="1" applyAlignment="1" applyProtection="1">
      <alignment horizontal="center" vertical="center"/>
    </xf>
    <xf numFmtId="182" fontId="104" fillId="15" borderId="0" xfId="0" applyNumberFormat="1" applyFont="1" applyFill="1" applyAlignment="1" applyProtection="1">
      <alignment horizontal="center" vertical="center" wrapText="1" shrinkToFit="1"/>
    </xf>
    <xf numFmtId="182" fontId="107" fillId="15" borderId="15" xfId="0" applyNumberFormat="1" applyFont="1" applyFill="1" applyBorder="1" applyAlignment="1" applyProtection="1">
      <alignment horizontal="center" vertical="center"/>
    </xf>
    <xf numFmtId="182" fontId="107" fillId="15" borderId="0" xfId="0" applyNumberFormat="1" applyFont="1" applyFill="1" applyAlignment="1" applyProtection="1">
      <alignment horizontal="center" vertical="center"/>
    </xf>
    <xf numFmtId="182" fontId="107" fillId="15" borderId="0" xfId="0" applyNumberFormat="1" applyFont="1" applyFill="1" applyAlignment="1" applyProtection="1">
      <alignment horizontal="center" vertical="center" wrapText="1" shrinkToFit="1"/>
    </xf>
    <xf numFmtId="182" fontId="95" fillId="7" borderId="14" xfId="0" applyNumberFormat="1" applyFont="1" applyFill="1" applyBorder="1" applyAlignment="1" applyProtection="1">
      <alignment horizontal="center" vertical="center"/>
    </xf>
    <xf numFmtId="186" fontId="97" fillId="7" borderId="0" xfId="0" applyNumberFormat="1" applyFont="1" applyFill="1" applyBorder="1" applyAlignment="1" applyProtection="1">
      <alignment horizontal="center" vertical="center" wrapText="1" shrinkToFit="1"/>
    </xf>
    <xf numFmtId="186" fontId="97" fillId="15" borderId="0" xfId="0" applyNumberFormat="1" applyFont="1" applyFill="1" applyBorder="1" applyAlignment="1" applyProtection="1">
      <alignment horizontal="center" vertical="center" wrapText="1" shrinkToFit="1"/>
    </xf>
    <xf numFmtId="182" fontId="85" fillId="0" borderId="14" xfId="0" applyNumberFormat="1" applyFont="1" applyFill="1" applyBorder="1" applyAlignment="1" applyProtection="1">
      <alignment horizontal="center" vertical="center" wrapText="1" shrinkToFit="1"/>
    </xf>
    <xf numFmtId="182" fontId="104" fillId="7" borderId="14" xfId="0" applyNumberFormat="1" applyFont="1" applyFill="1" applyBorder="1" applyAlignment="1" applyProtection="1">
      <alignment horizontal="center" vertical="center" wrapText="1" shrinkToFit="1"/>
    </xf>
    <xf numFmtId="182" fontId="104" fillId="7" borderId="0" xfId="0" applyNumberFormat="1" applyFont="1" applyFill="1" applyBorder="1" applyAlignment="1" applyProtection="1">
      <alignment horizontal="center" vertical="center" wrapText="1" shrinkToFit="1"/>
    </xf>
    <xf numFmtId="182" fontId="82" fillId="7" borderId="0" xfId="0" applyNumberFormat="1" applyFont="1" applyFill="1" applyAlignment="1" applyProtection="1">
      <alignment horizontal="center" vertical="center" wrapText="1" shrinkToFit="1"/>
    </xf>
    <xf numFmtId="182" fontId="105" fillId="7" borderId="14" xfId="0" applyNumberFormat="1" applyFont="1" applyFill="1" applyBorder="1" applyAlignment="1" applyProtection="1">
      <alignment horizontal="center" vertical="center" wrapText="1" shrinkToFit="1"/>
    </xf>
    <xf numFmtId="182" fontId="105" fillId="7" borderId="0" xfId="0" applyNumberFormat="1" applyFont="1" applyFill="1" applyBorder="1" applyAlignment="1" applyProtection="1">
      <alignment horizontal="center" vertical="center" wrapText="1" shrinkToFit="1"/>
    </xf>
    <xf numFmtId="182" fontId="95" fillId="7" borderId="0" xfId="0" applyNumberFormat="1" applyFont="1" applyFill="1" applyAlignment="1" applyProtection="1">
      <alignment horizontal="center" vertical="center" wrapText="1" shrinkToFit="1"/>
    </xf>
    <xf numFmtId="182" fontId="106" fillId="7" borderId="14" xfId="0" applyNumberFormat="1" applyFont="1" applyFill="1" applyBorder="1" applyAlignment="1" applyProtection="1">
      <alignment horizontal="center" vertical="center" wrapText="1" shrinkToFit="1"/>
    </xf>
    <xf numFmtId="182" fontId="106" fillId="7" borderId="0" xfId="0" applyNumberFormat="1" applyFont="1" applyFill="1" applyBorder="1" applyAlignment="1" applyProtection="1">
      <alignment horizontal="center" vertical="center" wrapText="1" shrinkToFit="1"/>
    </xf>
    <xf numFmtId="182" fontId="108" fillId="7" borderId="0" xfId="0" applyNumberFormat="1" applyFont="1" applyFill="1" applyAlignment="1" applyProtection="1">
      <alignment horizontal="center" vertical="center" wrapText="1" shrinkToFit="1"/>
    </xf>
    <xf numFmtId="182" fontId="85" fillId="0" borderId="2" xfId="0" applyNumberFormat="1" applyFont="1" applyFill="1" applyBorder="1" applyAlignment="1" applyProtection="1">
      <alignment horizontal="center" vertical="center" wrapText="1" shrinkToFit="1"/>
    </xf>
    <xf numFmtId="182" fontId="104" fillId="0" borderId="14" xfId="0" applyNumberFormat="1" applyFont="1" applyFill="1" applyBorder="1" applyAlignment="1" applyProtection="1">
      <alignment horizontal="center" vertical="center" wrapText="1" shrinkToFit="1"/>
    </xf>
    <xf numFmtId="182" fontId="104" fillId="0" borderId="0" xfId="0" applyNumberFormat="1" applyFont="1" applyFill="1" applyBorder="1" applyAlignment="1" applyProtection="1">
      <alignment horizontal="center" vertical="center" wrapText="1" shrinkToFit="1"/>
    </xf>
    <xf numFmtId="182" fontId="104" fillId="15" borderId="14" xfId="0" applyNumberFormat="1" applyFont="1" applyFill="1" applyBorder="1" applyAlignment="1" applyProtection="1">
      <alignment horizontal="center" vertical="center" wrapText="1" shrinkToFit="1"/>
    </xf>
    <xf numFmtId="182" fontId="104" fillId="15" borderId="0" xfId="0" applyNumberFormat="1" applyFont="1" applyFill="1" applyBorder="1" applyAlignment="1" applyProtection="1">
      <alignment horizontal="center" vertical="center" wrapText="1" shrinkToFit="1"/>
    </xf>
    <xf numFmtId="182" fontId="107" fillId="15" borderId="14" xfId="0" applyNumberFormat="1" applyFont="1" applyFill="1" applyBorder="1" applyAlignment="1" applyProtection="1">
      <alignment horizontal="center" vertical="center" wrapText="1" shrinkToFit="1"/>
    </xf>
    <xf numFmtId="182" fontId="107" fillId="15" borderId="0" xfId="0" applyNumberFormat="1" applyFont="1" applyFill="1" applyBorder="1" applyAlignment="1" applyProtection="1">
      <alignment horizontal="center" vertical="center" wrapText="1" shrinkToFit="1"/>
    </xf>
    <xf numFmtId="182" fontId="109" fillId="15" borderId="0" xfId="0" applyNumberFormat="1" applyFont="1" applyFill="1" applyAlignment="1" applyProtection="1">
      <alignment horizontal="center" vertical="center" wrapText="1" shrinkToFit="1"/>
    </xf>
    <xf numFmtId="182" fontId="81" fillId="7" borderId="14" xfId="0" applyNumberFormat="1" applyFont="1" applyFill="1" applyBorder="1" applyAlignment="1" applyProtection="1">
      <alignment horizontal="center" vertical="center" wrapText="1" shrinkToFit="1"/>
    </xf>
    <xf numFmtId="182" fontId="85" fillId="0" borderId="14" xfId="0" applyNumberFormat="1" applyFont="1" applyFill="1" applyBorder="1" applyAlignment="1" applyProtection="1">
      <alignment horizontal="center" vertical="center"/>
    </xf>
    <xf numFmtId="182" fontId="85" fillId="7" borderId="16" xfId="0" applyNumberFormat="1" applyFont="1" applyFill="1" applyBorder="1" applyAlignment="1" applyProtection="1">
      <alignment horizontal="center" vertical="center" wrapText="1" shrinkToFit="1"/>
    </xf>
    <xf numFmtId="182" fontId="85" fillId="0" borderId="16" xfId="0" applyNumberFormat="1" applyFont="1" applyFill="1" applyBorder="1" applyAlignment="1" applyProtection="1">
      <alignment horizontal="center" vertical="center" wrapText="1" shrinkToFit="1"/>
    </xf>
    <xf numFmtId="182" fontId="85" fillId="0" borderId="16" xfId="0" applyNumberFormat="1" applyFont="1" applyFill="1" applyBorder="1" applyAlignment="1" applyProtection="1">
      <alignment horizontal="center" vertical="center"/>
    </xf>
    <xf numFmtId="182" fontId="81" fillId="0" borderId="16" xfId="0" applyNumberFormat="1" applyFont="1" applyFill="1" applyBorder="1" applyAlignment="1" applyProtection="1">
      <alignment horizontal="center" vertical="center" wrapText="1" shrinkToFit="1"/>
    </xf>
    <xf numFmtId="182" fontId="81" fillId="0" borderId="2" xfId="0" applyNumberFormat="1" applyFont="1" applyFill="1" applyBorder="1" applyAlignment="1" applyProtection="1">
      <alignment horizontal="center" vertical="center" wrapText="1" shrinkToFit="1"/>
    </xf>
    <xf numFmtId="182" fontId="85" fillId="0" borderId="2" xfId="0" applyNumberFormat="1" applyFont="1" applyFill="1" applyBorder="1" applyAlignment="1" applyProtection="1">
      <alignment horizontal="center" vertical="center"/>
    </xf>
    <xf numFmtId="0" fontId="95" fillId="7" borderId="0" xfId="0" applyFont="1" applyFill="1" applyAlignment="1" applyProtection="1">
      <alignment horizontal="center" vertical="center" wrapText="1"/>
      <protection locked="0"/>
    </xf>
    <xf numFmtId="182" fontId="85" fillId="0" borderId="15" xfId="0" applyNumberFormat="1" applyFont="1" applyFill="1" applyBorder="1" applyAlignment="1" applyProtection="1">
      <alignment horizontal="center" vertical="center"/>
    </xf>
    <xf numFmtId="0" fontId="100" fillId="0" borderId="0" xfId="0" applyFont="1" applyFill="1" applyAlignment="1" applyProtection="1">
      <alignment vertical="center" wrapText="1"/>
      <protection locked="0"/>
    </xf>
    <xf numFmtId="0" fontId="110" fillId="7" borderId="0" xfId="0" applyFont="1" applyFill="1" applyAlignment="1" applyProtection="1">
      <alignment horizontal="center" vertical="center" wrapText="1" shrinkToFit="1"/>
      <protection locked="0"/>
    </xf>
    <xf numFmtId="0" fontId="111" fillId="7" borderId="0" xfId="0" applyFont="1" applyFill="1" applyAlignment="1" applyProtection="1">
      <alignment horizontal="center" vertical="center" wrapText="1" shrinkToFit="1"/>
      <protection locked="0"/>
    </xf>
    <xf numFmtId="182" fontId="85" fillId="0" borderId="1" xfId="0" applyNumberFormat="1" applyFont="1" applyFill="1" applyBorder="1" applyAlignment="1" applyProtection="1">
      <alignment horizontal="center" vertical="center"/>
    </xf>
    <xf numFmtId="182" fontId="85" fillId="0" borderId="12" xfId="0" applyNumberFormat="1" applyFont="1" applyFill="1" applyBorder="1" applyAlignment="1" applyProtection="1">
      <alignment horizontal="center" vertical="center"/>
    </xf>
    <xf numFmtId="0" fontId="112" fillId="7" borderId="0" xfId="0" applyFont="1" applyFill="1" applyAlignment="1" applyProtection="1">
      <alignment horizontal="center" vertical="center" wrapText="1" shrinkToFit="1"/>
      <protection locked="0"/>
    </xf>
    <xf numFmtId="0" fontId="108" fillId="7" borderId="0" xfId="0" applyFont="1" applyFill="1" applyAlignment="1" applyProtection="1">
      <alignment horizontal="center" vertical="center" wrapText="1"/>
      <protection locked="0"/>
    </xf>
    <xf numFmtId="0" fontId="100" fillId="0" borderId="2" xfId="0" applyFont="1" applyFill="1" applyBorder="1" applyAlignment="1" applyProtection="1">
      <alignment vertical="center" wrapText="1"/>
      <protection locked="0"/>
    </xf>
    <xf numFmtId="0" fontId="110" fillId="0" borderId="0" xfId="0" applyFont="1" applyFill="1" applyAlignment="1" applyProtection="1">
      <alignment horizontal="center" vertical="center" wrapText="1" shrinkToFit="1"/>
      <protection locked="0"/>
    </xf>
    <xf numFmtId="0" fontId="110" fillId="15" borderId="0" xfId="0" applyFont="1" applyFill="1" applyAlignment="1" applyProtection="1">
      <alignment horizontal="center" vertical="center" wrapText="1" shrinkToFit="1"/>
      <protection locked="0"/>
    </xf>
    <xf numFmtId="0" fontId="113" fillId="15" borderId="0" xfId="0" applyFont="1" applyFill="1" applyAlignment="1" applyProtection="1">
      <alignment horizontal="center" vertical="center" wrapText="1" shrinkToFit="1"/>
      <protection locked="0"/>
    </xf>
    <xf numFmtId="0" fontId="109" fillId="15" borderId="0" xfId="0" applyFont="1" applyFill="1" applyAlignment="1" applyProtection="1">
      <alignment horizontal="center" vertical="center" wrapText="1"/>
      <protection locked="0"/>
    </xf>
    <xf numFmtId="0" fontId="101" fillId="0" borderId="14" xfId="0" applyFont="1" applyFill="1" applyBorder="1" applyAlignment="1" applyProtection="1">
      <alignment horizontal="center" vertical="center" wrapText="1" shrinkToFit="1"/>
      <protection locked="0"/>
    </xf>
    <xf numFmtId="0" fontId="85" fillId="0" borderId="2" xfId="0" applyFont="1" applyFill="1" applyBorder="1" applyAlignment="1" applyProtection="1">
      <alignment horizontal="center" vertical="center" wrapText="1" shrinkToFit="1"/>
      <protection locked="0"/>
    </xf>
    <xf numFmtId="182" fontId="100" fillId="0" borderId="2" xfId="0" applyNumberFormat="1" applyFont="1" applyFill="1" applyBorder="1" applyAlignment="1" applyProtection="1">
      <alignment horizontal="center" vertical="center" wrapText="1" shrinkToFit="1"/>
      <protection locked="0"/>
    </xf>
    <xf numFmtId="188" fontId="99" fillId="0" borderId="14" xfId="0" applyNumberFormat="1" applyFont="1" applyFill="1" applyBorder="1" applyAlignment="1" applyProtection="1">
      <alignment horizontal="center" vertical="center" wrapText="1"/>
    </xf>
    <xf numFmtId="183" fontId="114" fillId="0" borderId="2" xfId="0" applyNumberFormat="1" applyFont="1" applyFill="1" applyBorder="1" applyAlignment="1" applyProtection="1">
      <alignment horizontal="center" vertical="center"/>
    </xf>
    <xf numFmtId="188" fontId="114" fillId="0" borderId="14" xfId="0" applyNumberFormat="1" applyFont="1" applyFill="1" applyBorder="1" applyAlignment="1" applyProtection="1">
      <alignment horizontal="center" vertical="center" wrapText="1" shrinkToFit="1"/>
    </xf>
    <xf numFmtId="183" fontId="114" fillId="0" borderId="2" xfId="0" applyNumberFormat="1" applyFont="1" applyFill="1" applyBorder="1" applyAlignment="1" applyProtection="1">
      <alignment horizontal="center" vertical="center" wrapText="1"/>
    </xf>
    <xf numFmtId="186" fontId="99" fillId="0" borderId="16" xfId="0" applyNumberFormat="1" applyFont="1" applyFill="1" applyBorder="1" applyAlignment="1" applyProtection="1">
      <alignment horizontal="center" vertical="center" wrapText="1" shrinkToFit="1"/>
    </xf>
    <xf numFmtId="188" fontId="84" fillId="15" borderId="14" xfId="0" applyNumberFormat="1" applyFont="1" applyFill="1" applyBorder="1" applyAlignment="1" applyProtection="1">
      <alignment horizontal="center" vertical="center" wrapText="1" shrinkToFit="1"/>
    </xf>
    <xf numFmtId="186" fontId="85" fillId="0" borderId="2" xfId="0" applyNumberFormat="1" applyFont="1" applyFill="1" applyBorder="1" applyAlignment="1" applyProtection="1">
      <alignment horizontal="center" vertical="center" wrapText="1" shrinkToFit="1"/>
    </xf>
    <xf numFmtId="182" fontId="104" fillId="16" borderId="14" xfId="0" applyNumberFormat="1" applyFont="1" applyFill="1" applyBorder="1" applyAlignment="1" applyProtection="1">
      <alignment horizontal="center" vertical="center" wrapText="1" shrinkToFit="1"/>
    </xf>
    <xf numFmtId="182" fontId="82" fillId="16" borderId="14" xfId="0" applyNumberFormat="1" applyFont="1" applyFill="1" applyBorder="1" applyAlignment="1" applyProtection="1">
      <alignment horizontal="center" vertical="center" wrapText="1" shrinkToFit="1"/>
    </xf>
    <xf numFmtId="182" fontId="2" fillId="15" borderId="14" xfId="0" applyNumberFormat="1" applyFont="1" applyFill="1" applyBorder="1" applyAlignment="1" applyProtection="1">
      <alignment horizontal="center" vertical="center" wrapText="1" shrinkToFit="1"/>
    </xf>
    <xf numFmtId="182" fontId="5" fillId="15" borderId="14" xfId="0" applyNumberFormat="1" applyFont="1" applyFill="1" applyBorder="1" applyAlignment="1" applyProtection="1">
      <alignment horizontal="center" vertical="center" wrapText="1" shrinkToFit="1"/>
    </xf>
    <xf numFmtId="182" fontId="2" fillId="16" borderId="14" xfId="0" applyNumberFormat="1" applyFont="1" applyFill="1" applyBorder="1" applyAlignment="1" applyProtection="1">
      <alignment horizontal="center" vertical="center" wrapText="1" shrinkToFit="1"/>
    </xf>
    <xf numFmtId="182" fontId="5" fillId="16" borderId="14" xfId="0" applyNumberFormat="1" applyFont="1" applyFill="1" applyBorder="1" applyAlignment="1" applyProtection="1">
      <alignment horizontal="center" vertical="center" wrapText="1" shrinkToFit="1"/>
    </xf>
    <xf numFmtId="182" fontId="2" fillId="15" borderId="15" xfId="0" applyNumberFormat="1" applyFont="1" applyFill="1" applyBorder="1" applyAlignment="1" applyProtection="1">
      <alignment horizontal="center" vertical="center"/>
    </xf>
    <xf numFmtId="182" fontId="2" fillId="15" borderId="0" xfId="0" applyNumberFormat="1" applyFont="1" applyFill="1" applyAlignment="1" applyProtection="1">
      <alignment horizontal="center" vertical="center"/>
    </xf>
    <xf numFmtId="182" fontId="2" fillId="15" borderId="0" xfId="0" applyNumberFormat="1" applyFont="1" applyFill="1" applyAlignment="1" applyProtection="1">
      <alignment horizontal="center" vertical="center" wrapText="1" shrinkToFit="1"/>
    </xf>
    <xf numFmtId="182" fontId="104" fillId="15" borderId="15" xfId="0" applyNumberFormat="1" applyFont="1" applyFill="1" applyBorder="1" applyAlignment="1" applyProtection="1">
      <alignment horizontal="center" vertical="center" wrapText="1" shrinkToFit="1"/>
    </xf>
    <xf numFmtId="182" fontId="104" fillId="16" borderId="14" xfId="0" applyNumberFormat="1" applyFont="1" applyFill="1" applyBorder="1" applyAlignment="1" applyProtection="1">
      <alignment horizontal="center" vertical="center"/>
    </xf>
    <xf numFmtId="182" fontId="104" fillId="16" borderId="15" xfId="0" applyNumberFormat="1" applyFont="1" applyFill="1" applyBorder="1" applyAlignment="1" applyProtection="1">
      <alignment horizontal="center" vertical="center"/>
    </xf>
    <xf numFmtId="182" fontId="104" fillId="16" borderId="2" xfId="0" applyNumberFormat="1" applyFont="1" applyFill="1" applyBorder="1" applyAlignment="1" applyProtection="1">
      <alignment horizontal="center" vertical="center"/>
    </xf>
    <xf numFmtId="0" fontId="110" fillId="16" borderId="0" xfId="0" applyFont="1" applyFill="1" applyAlignment="1" applyProtection="1">
      <alignment vertical="center" wrapText="1"/>
    </xf>
    <xf numFmtId="0" fontId="82" fillId="16" borderId="0" xfId="0" applyFont="1" applyFill="1" applyAlignment="1" applyProtection="1">
      <alignment horizontal="center" vertical="center" wrapText="1"/>
    </xf>
    <xf numFmtId="182" fontId="2" fillId="15" borderId="14" xfId="0" applyNumberFormat="1" applyFont="1" applyFill="1" applyBorder="1" applyAlignment="1" applyProtection="1">
      <alignment horizontal="center" vertical="center"/>
    </xf>
    <xf numFmtId="182" fontId="2" fillId="15" borderId="2" xfId="0" applyNumberFormat="1" applyFont="1" applyFill="1" applyBorder="1" applyAlignment="1" applyProtection="1">
      <alignment horizontal="center" vertical="center"/>
    </xf>
    <xf numFmtId="0" fontId="52" fillId="15" borderId="0" xfId="0" applyFont="1" applyFill="1" applyAlignment="1" applyProtection="1">
      <alignment vertical="center" wrapText="1"/>
    </xf>
    <xf numFmtId="0" fontId="5" fillId="15" borderId="0" xfId="0" applyFont="1" applyFill="1" applyAlignment="1" applyProtection="1">
      <alignment horizontal="center" vertical="center" wrapText="1"/>
    </xf>
    <xf numFmtId="182" fontId="2" fillId="16" borderId="14" xfId="0" applyNumberFormat="1" applyFont="1" applyFill="1" applyBorder="1" applyAlignment="1" applyProtection="1">
      <alignment horizontal="center" vertical="center"/>
    </xf>
    <xf numFmtId="182" fontId="2" fillId="16" borderId="15" xfId="0" applyNumberFormat="1" applyFont="1" applyFill="1" applyBorder="1" applyAlignment="1" applyProtection="1">
      <alignment horizontal="center" vertical="center"/>
    </xf>
    <xf numFmtId="182" fontId="2" fillId="16" borderId="2" xfId="0" applyNumberFormat="1" applyFont="1" applyFill="1" applyBorder="1" applyAlignment="1" applyProtection="1">
      <alignment horizontal="center" vertical="center"/>
    </xf>
    <xf numFmtId="0" fontId="52" fillId="16" borderId="0" xfId="0" applyFont="1" applyFill="1" applyAlignment="1" applyProtection="1">
      <alignment vertical="center" wrapText="1"/>
    </xf>
    <xf numFmtId="0" fontId="5" fillId="16" borderId="0" xfId="0" applyFont="1" applyFill="1" applyAlignment="1" applyProtection="1">
      <alignment horizontal="center" vertical="center" wrapText="1"/>
    </xf>
    <xf numFmtId="182" fontId="2" fillId="15" borderId="0" xfId="0" applyNumberFormat="1" applyFont="1" applyFill="1" applyBorder="1" applyAlignment="1" applyProtection="1">
      <alignment horizontal="center" vertical="center" wrapText="1" shrinkToFit="1"/>
    </xf>
    <xf numFmtId="182" fontId="5" fillId="15" borderId="0" xfId="0" applyNumberFormat="1" applyFont="1" applyFill="1" applyAlignment="1" applyProtection="1">
      <alignment horizontal="center" vertical="center" wrapText="1" shrinkToFit="1"/>
    </xf>
    <xf numFmtId="182" fontId="104" fillId="15" borderId="14" xfId="0" applyNumberFormat="1" applyFont="1" applyFill="1" applyBorder="1" applyAlignment="1" applyProtection="1">
      <alignment horizontal="center" vertical="center"/>
    </xf>
    <xf numFmtId="0" fontId="110" fillId="15" borderId="0" xfId="0" applyFont="1" applyFill="1" applyAlignment="1" applyProtection="1">
      <alignment vertical="center" wrapText="1"/>
    </xf>
    <xf numFmtId="0" fontId="81" fillId="0" borderId="0" xfId="0" applyFont="1" applyFill="1" applyAlignment="1" applyProtection="1">
      <alignment horizontal="center" vertical="center" wrapText="1"/>
    </xf>
    <xf numFmtId="0" fontId="82" fillId="16" borderId="0" xfId="0" applyFont="1" applyFill="1" applyAlignment="1" applyProtection="1">
      <alignment horizontal="center" vertical="center" wrapText="1"/>
      <protection locked="0"/>
    </xf>
    <xf numFmtId="0" fontId="5" fillId="15" borderId="0" xfId="0" applyFont="1" applyFill="1" applyAlignment="1" applyProtection="1">
      <alignment horizontal="center" vertical="center" wrapText="1"/>
      <protection locked="0"/>
    </xf>
    <xf numFmtId="0" fontId="5" fillId="16" borderId="0" xfId="0" applyFont="1" applyFill="1" applyAlignment="1" applyProtection="1">
      <alignment horizontal="center" vertical="center" wrapText="1"/>
      <protection locked="0"/>
    </xf>
    <xf numFmtId="0" fontId="52" fillId="15" borderId="0" xfId="0" applyFont="1" applyFill="1" applyAlignment="1" applyProtection="1">
      <alignment horizontal="center" vertical="center" wrapText="1" shrinkToFit="1"/>
      <protection locked="0"/>
    </xf>
    <xf numFmtId="183" fontId="114" fillId="0" borderId="14" xfId="0" applyNumberFormat="1" applyFont="1" applyFill="1" applyBorder="1" applyAlignment="1" applyProtection="1">
      <alignment horizontal="center" vertical="center" wrapText="1"/>
    </xf>
    <xf numFmtId="0" fontId="84" fillId="7" borderId="14" xfId="0" applyNumberFormat="1" applyFont="1" applyFill="1" applyBorder="1" applyAlignment="1" applyProtection="1">
      <alignment horizontal="center" vertical="center" wrapText="1"/>
    </xf>
    <xf numFmtId="188" fontId="99" fillId="0" borderId="14" xfId="0" applyNumberFormat="1" applyFont="1" applyFill="1" applyBorder="1" applyAlignment="1" applyProtection="1">
      <alignment horizontal="center" vertical="center"/>
    </xf>
    <xf numFmtId="188" fontId="114" fillId="0" borderId="14" xfId="0" applyNumberFormat="1" applyFont="1" applyFill="1" applyBorder="1" applyAlignment="1" applyProtection="1">
      <alignment horizontal="center" vertical="center" wrapText="1"/>
    </xf>
    <xf numFmtId="188" fontId="115" fillId="0" borderId="14" xfId="0" applyNumberFormat="1" applyFont="1" applyFill="1" applyBorder="1" applyAlignment="1" applyProtection="1">
      <alignment horizontal="center" vertical="center" wrapText="1" shrinkToFit="1"/>
    </xf>
    <xf numFmtId="188" fontId="114" fillId="0" borderId="2" xfId="0" applyNumberFormat="1" applyFont="1" applyFill="1" applyBorder="1" applyAlignment="1" applyProtection="1">
      <alignment horizontal="center" vertical="center" wrapText="1" shrinkToFit="1"/>
    </xf>
    <xf numFmtId="194" fontId="99" fillId="0" borderId="14" xfId="0" applyNumberFormat="1" applyFont="1" applyFill="1" applyBorder="1" applyAlignment="1" applyProtection="1">
      <alignment horizontal="center" vertical="center" wrapText="1" shrinkToFit="1"/>
    </xf>
    <xf numFmtId="183" fontId="84" fillId="0" borderId="2" xfId="0" applyNumberFormat="1" applyFont="1" applyFill="1" applyBorder="1" applyAlignment="1" applyProtection="1">
      <alignment horizontal="center" vertical="center" wrapText="1"/>
      <protection locked="0"/>
    </xf>
    <xf numFmtId="0" fontId="116" fillId="0" borderId="2" xfId="0" applyFont="1" applyFill="1" applyBorder="1" applyAlignment="1" applyProtection="1">
      <alignment horizontal="center" vertical="center" wrapText="1" shrinkToFit="1"/>
      <protection locked="0"/>
    </xf>
    <xf numFmtId="0" fontId="101" fillId="0" borderId="0" xfId="0" applyFont="1" applyFill="1" applyAlignment="1" applyProtection="1">
      <alignment horizontal="center" vertical="center" wrapText="1"/>
      <protection locked="0"/>
    </xf>
    <xf numFmtId="0" fontId="89" fillId="0" borderId="7" xfId="0" applyFont="1" applyFill="1" applyBorder="1" applyAlignment="1" applyProtection="1">
      <alignment horizontal="center" vertical="center"/>
    </xf>
    <xf numFmtId="182" fontId="51" fillId="15" borderId="14" xfId="0" applyNumberFormat="1" applyFont="1" applyFill="1" applyBorder="1" applyAlignment="1" applyProtection="1">
      <alignment horizontal="center" vertical="center" wrapText="1" shrinkToFit="1"/>
    </xf>
    <xf numFmtId="182" fontId="48" fillId="15" borderId="14" xfId="0" applyNumberFormat="1" applyFont="1" applyFill="1" applyBorder="1" applyAlignment="1" applyProtection="1">
      <alignment horizontal="center" vertical="center" wrapText="1" shrinkToFit="1"/>
    </xf>
    <xf numFmtId="182" fontId="82" fillId="7" borderId="14" xfId="0" applyNumberFormat="1" applyFont="1" applyFill="1" applyBorder="1" applyAlignment="1" applyProtection="1">
      <alignment horizontal="center" vertical="center" wrapText="1" shrinkToFit="1"/>
    </xf>
    <xf numFmtId="182" fontId="85" fillId="15" borderId="14" xfId="0" applyNumberFormat="1" applyFont="1" applyFill="1" applyBorder="1" applyAlignment="1" applyProtection="1">
      <alignment horizontal="center" vertical="center" wrapText="1" shrinkToFit="1"/>
    </xf>
    <xf numFmtId="182" fontId="81" fillId="15" borderId="14" xfId="0" applyNumberFormat="1" applyFont="1" applyFill="1" applyBorder="1" applyAlignment="1" applyProtection="1">
      <alignment horizontal="center" vertical="center" wrapText="1" shrinkToFit="1"/>
    </xf>
    <xf numFmtId="182" fontId="85" fillId="7" borderId="14" xfId="0" applyNumberFormat="1" applyFont="1" applyFill="1" applyBorder="1" applyAlignment="1" applyProtection="1">
      <alignment horizontal="center" vertical="center" wrapText="1" shrinkToFit="1"/>
    </xf>
    <xf numFmtId="182" fontId="51" fillId="15" borderId="14" xfId="0" applyNumberFormat="1" applyFont="1" applyFill="1" applyBorder="1" applyAlignment="1" applyProtection="1">
      <alignment horizontal="center" vertical="center"/>
    </xf>
    <xf numFmtId="182" fontId="51" fillId="15" borderId="15" xfId="0" applyNumberFormat="1" applyFont="1" applyFill="1" applyBorder="1" applyAlignment="1" applyProtection="1">
      <alignment horizontal="center" vertical="center"/>
    </xf>
    <xf numFmtId="0" fontId="59" fillId="15" borderId="0" xfId="0" applyFont="1" applyFill="1" applyAlignment="1" applyProtection="1">
      <alignment vertical="center" wrapText="1"/>
    </xf>
    <xf numFmtId="0" fontId="48" fillId="15" borderId="0" xfId="0" applyFont="1" applyFill="1" applyAlignment="1" applyProtection="1">
      <alignment horizontal="center" vertical="center" wrapText="1"/>
    </xf>
    <xf numFmtId="182" fontId="104" fillId="7" borderId="14" xfId="0" applyNumberFormat="1" applyFont="1" applyFill="1" applyBorder="1" applyAlignment="1" applyProtection="1">
      <alignment horizontal="center" vertical="center"/>
    </xf>
    <xf numFmtId="0" fontId="110" fillId="7" borderId="0" xfId="0" applyFont="1" applyFill="1" applyAlignment="1" applyProtection="1">
      <alignment vertical="center" wrapText="1"/>
    </xf>
    <xf numFmtId="182" fontId="85" fillId="15" borderId="14" xfId="0" applyNumberFormat="1" applyFont="1" applyFill="1" applyBorder="1" applyAlignment="1" applyProtection="1">
      <alignment horizontal="center" vertical="center"/>
    </xf>
    <xf numFmtId="182" fontId="85" fillId="15" borderId="15" xfId="0" applyNumberFormat="1" applyFont="1" applyFill="1" applyBorder="1" applyAlignment="1" applyProtection="1">
      <alignment horizontal="center" vertical="center"/>
    </xf>
    <xf numFmtId="0" fontId="100" fillId="15" borderId="0" xfId="0" applyFont="1" applyFill="1" applyAlignment="1" applyProtection="1">
      <alignment vertical="center" wrapText="1"/>
    </xf>
    <xf numFmtId="0" fontId="81" fillId="15" borderId="0" xfId="0" applyFont="1" applyFill="1" applyAlignment="1" applyProtection="1">
      <alignment horizontal="center" vertical="center" wrapText="1"/>
    </xf>
    <xf numFmtId="0" fontId="100" fillId="0" borderId="0" xfId="0" applyFont="1" applyFill="1" applyAlignment="1" applyProtection="1">
      <alignment vertical="center" wrapText="1"/>
    </xf>
    <xf numFmtId="182" fontId="85" fillId="7" borderId="14" xfId="0" applyNumberFormat="1" applyFont="1" applyFill="1" applyBorder="1" applyAlignment="1" applyProtection="1">
      <alignment horizontal="center" vertical="center"/>
    </xf>
    <xf numFmtId="182" fontId="85" fillId="7" borderId="15" xfId="0" applyNumberFormat="1" applyFont="1" applyFill="1" applyBorder="1" applyAlignment="1" applyProtection="1">
      <alignment horizontal="center" vertical="center"/>
    </xf>
    <xf numFmtId="0" fontId="100" fillId="7" borderId="0" xfId="0" applyFont="1" applyFill="1" applyAlignment="1" applyProtection="1">
      <alignment vertical="center" wrapText="1"/>
    </xf>
    <xf numFmtId="0" fontId="81" fillId="7" borderId="0" xfId="0" applyFont="1" applyFill="1" applyAlignment="1" applyProtection="1">
      <alignment horizontal="center" vertical="center" wrapText="1"/>
    </xf>
    <xf numFmtId="0" fontId="48" fillId="15" borderId="0" xfId="0" applyFont="1" applyFill="1" applyAlignment="1" applyProtection="1">
      <alignment horizontal="center" vertical="center" wrapText="1"/>
      <protection locked="0"/>
    </xf>
    <xf numFmtId="0" fontId="81" fillId="15" borderId="0" xfId="0" applyFont="1" applyFill="1" applyAlignment="1" applyProtection="1">
      <alignment horizontal="center" vertical="center" wrapText="1"/>
      <protection locked="0"/>
    </xf>
    <xf numFmtId="190" fontId="104" fillId="0" borderId="14" xfId="0" applyNumberFormat="1" applyFont="1" applyFill="1" applyBorder="1" applyAlignment="1" applyProtection="1">
      <alignment horizontal="center" vertical="center"/>
    </xf>
    <xf numFmtId="0" fontId="104" fillId="0" borderId="14" xfId="0" applyFont="1" applyFill="1" applyBorder="1" applyAlignment="1" applyProtection="1">
      <alignment horizontal="center" vertical="center" wrapText="1" shrinkToFit="1"/>
      <protection locked="0"/>
    </xf>
    <xf numFmtId="0" fontId="110" fillId="0" borderId="14" xfId="0" applyFont="1" applyFill="1" applyBorder="1" applyAlignment="1" applyProtection="1">
      <alignment horizontal="center" vertical="center" wrapText="1" shrinkToFit="1"/>
      <protection locked="0"/>
    </xf>
    <xf numFmtId="0" fontId="117" fillId="0" borderId="14" xfId="0" applyFont="1" applyFill="1" applyBorder="1" applyAlignment="1" applyProtection="1">
      <alignment horizontal="center" vertical="center" wrapText="1"/>
      <protection locked="0"/>
    </xf>
    <xf numFmtId="0" fontId="82" fillId="0" borderId="2" xfId="0" applyFont="1" applyFill="1" applyBorder="1" applyAlignment="1" applyProtection="1">
      <alignment horizontal="center" vertical="center" wrapText="1" shrinkToFit="1"/>
      <protection locked="0"/>
    </xf>
    <xf numFmtId="0" fontId="82" fillId="0" borderId="14" xfId="0" applyFont="1" applyFill="1" applyBorder="1" applyAlignment="1" applyProtection="1">
      <alignment horizontal="center" vertical="center" wrapText="1" shrinkToFit="1"/>
      <protection locked="0"/>
    </xf>
    <xf numFmtId="0" fontId="117" fillId="0" borderId="14" xfId="0" applyFont="1" applyFill="1" applyBorder="1" applyAlignment="1" applyProtection="1">
      <alignment horizontal="center" vertical="center" wrapText="1" shrinkToFit="1"/>
      <protection locked="0"/>
    </xf>
    <xf numFmtId="190" fontId="2" fillId="0" borderId="14" xfId="0" applyNumberFormat="1" applyFont="1" applyFill="1" applyBorder="1" applyAlignment="1" applyProtection="1">
      <alignment horizontal="center" vertical="center"/>
    </xf>
    <xf numFmtId="0" fontId="2" fillId="0" borderId="14" xfId="0" applyFont="1" applyFill="1" applyBorder="1" applyAlignment="1" applyProtection="1">
      <alignment horizontal="center" vertical="center" wrapText="1" shrinkToFit="1"/>
      <protection locked="0"/>
    </xf>
    <xf numFmtId="0" fontId="52" fillId="0" borderId="14" xfId="0" applyFont="1" applyFill="1" applyBorder="1" applyAlignment="1" applyProtection="1">
      <alignment horizontal="center" vertical="center" wrapText="1" shrinkToFit="1"/>
      <protection locked="0"/>
    </xf>
    <xf numFmtId="0" fontId="49" fillId="0" borderId="14" xfId="0" applyFont="1" applyFill="1" applyBorder="1" applyAlignment="1" applyProtection="1">
      <alignment horizontal="center" vertical="center" wrapText="1"/>
      <protection locked="0"/>
    </xf>
    <xf numFmtId="0" fontId="5" fillId="0" borderId="14" xfId="0" applyFont="1" applyFill="1" applyBorder="1" applyAlignment="1" applyProtection="1">
      <alignment horizontal="center" vertical="center" wrapText="1" shrinkToFit="1"/>
      <protection locked="0"/>
    </xf>
    <xf numFmtId="0" fontId="49" fillId="0" borderId="14" xfId="0" applyFont="1" applyFill="1" applyBorder="1" applyAlignment="1" applyProtection="1">
      <alignment horizontal="center" vertical="center" wrapText="1" shrinkToFit="1"/>
      <protection locked="0"/>
    </xf>
    <xf numFmtId="0" fontId="98" fillId="0" borderId="2" xfId="0" applyFont="1" applyFill="1" applyBorder="1" applyAlignment="1" applyProtection="1">
      <alignment horizontal="center" vertical="center" wrapText="1" shrinkToFit="1"/>
      <protection locked="0"/>
    </xf>
    <xf numFmtId="3" fontId="82" fillId="0" borderId="14" xfId="0" applyNumberFormat="1" applyFont="1" applyFill="1" applyBorder="1" applyAlignment="1" applyProtection="1">
      <alignment horizontal="center" vertical="center" wrapText="1" shrinkToFit="1"/>
      <protection locked="0"/>
    </xf>
    <xf numFmtId="0" fontId="82" fillId="0" borderId="2" xfId="0" applyFont="1" applyFill="1" applyBorder="1" applyAlignment="1" applyProtection="1">
      <alignment horizontal="center" vertical="center"/>
    </xf>
    <xf numFmtId="186" fontId="82" fillId="0" borderId="14" xfId="0" applyNumberFormat="1" applyFont="1" applyFill="1" applyBorder="1" applyAlignment="1" applyProtection="1">
      <alignment horizontal="center" vertical="center" wrapText="1" shrinkToFit="1"/>
    </xf>
    <xf numFmtId="188" fontId="118" fillId="0" borderId="14" xfId="0" applyNumberFormat="1" applyFont="1" applyFill="1" applyBorder="1" applyAlignment="1" applyProtection="1">
      <alignment horizontal="center" vertical="center" wrapText="1"/>
    </xf>
    <xf numFmtId="3" fontId="117" fillId="0" borderId="14" xfId="0" applyNumberFormat="1" applyFont="1" applyFill="1" applyBorder="1" applyAlignment="1" applyProtection="1">
      <alignment horizontal="center" vertical="center" wrapText="1" shrinkToFit="1"/>
      <protection locked="0"/>
    </xf>
    <xf numFmtId="194" fontId="119" fillId="0" borderId="14" xfId="0" applyNumberFormat="1" applyFont="1" applyFill="1" applyBorder="1" applyAlignment="1" applyProtection="1">
      <alignment horizontal="center" vertical="center" wrapText="1" shrinkToFit="1"/>
    </xf>
    <xf numFmtId="0" fontId="14" fillId="0" borderId="2" xfId="0" applyFont="1" applyFill="1" applyBorder="1" applyAlignment="1" applyProtection="1">
      <alignment horizontal="center" vertical="center" wrapText="1" shrinkToFit="1"/>
      <protection locked="0"/>
    </xf>
    <xf numFmtId="3" fontId="5" fillId="0" borderId="14" xfId="0" applyNumberFormat="1" applyFont="1" applyFill="1" applyBorder="1" applyAlignment="1" applyProtection="1">
      <alignment horizontal="center" vertical="center" wrapText="1" shrinkToFit="1"/>
      <protection locked="0"/>
    </xf>
    <xf numFmtId="0" fontId="5" fillId="0" borderId="2" xfId="0" applyFont="1" applyFill="1" applyBorder="1" applyAlignment="1" applyProtection="1">
      <alignment horizontal="center" vertical="center" wrapText="1" shrinkToFit="1"/>
      <protection locked="0"/>
    </xf>
    <xf numFmtId="0" fontId="5" fillId="0" borderId="2" xfId="0" applyFont="1" applyFill="1" applyBorder="1" applyAlignment="1" applyProtection="1">
      <alignment horizontal="center" vertical="center"/>
    </xf>
    <xf numFmtId="186" fontId="5" fillId="0" borderId="14" xfId="0" applyNumberFormat="1" applyFont="1" applyFill="1" applyBorder="1" applyAlignment="1" applyProtection="1">
      <alignment horizontal="center" vertical="center" wrapText="1" shrinkToFit="1"/>
    </xf>
    <xf numFmtId="188" fontId="76" fillId="0" borderId="14" xfId="0" applyNumberFormat="1" applyFont="1" applyFill="1" applyBorder="1" applyAlignment="1" applyProtection="1">
      <alignment horizontal="center" vertical="center" wrapText="1"/>
    </xf>
    <xf numFmtId="3" fontId="49" fillId="0" borderId="14" xfId="0" applyNumberFormat="1" applyFont="1" applyFill="1" applyBorder="1" applyAlignment="1" applyProtection="1">
      <alignment horizontal="center" vertical="center" wrapText="1" shrinkToFit="1"/>
      <protection locked="0"/>
    </xf>
    <xf numFmtId="194" fontId="57" fillId="0" borderId="14" xfId="0" applyNumberFormat="1" applyFont="1" applyFill="1" applyBorder="1" applyAlignment="1" applyProtection="1">
      <alignment horizontal="center" vertical="center" wrapText="1" shrinkToFit="1"/>
    </xf>
    <xf numFmtId="188" fontId="104" fillId="0" borderId="14" xfId="0" applyNumberFormat="1" applyFont="1" applyFill="1" applyBorder="1" applyAlignment="1" applyProtection="1">
      <alignment horizontal="center" vertical="center"/>
    </xf>
    <xf numFmtId="194" fontId="104" fillId="0" borderId="14" xfId="0" applyNumberFormat="1" applyFont="1" applyFill="1" applyBorder="1" applyAlignment="1" applyProtection="1">
      <alignment horizontal="center" vertical="center" wrapText="1" shrinkToFit="1"/>
    </xf>
    <xf numFmtId="188" fontId="120" fillId="0" borderId="14" xfId="0" applyNumberFormat="1" applyFont="1" applyFill="1" applyBorder="1" applyAlignment="1" applyProtection="1">
      <alignment horizontal="center" vertical="center" wrapText="1" shrinkToFit="1"/>
    </xf>
    <xf numFmtId="188" fontId="121" fillId="0" borderId="14" xfId="0" applyNumberFormat="1" applyFont="1" applyFill="1" applyBorder="1" applyAlignment="1" applyProtection="1">
      <alignment horizontal="center" vertical="center" wrapText="1" shrinkToFit="1"/>
    </xf>
    <xf numFmtId="183" fontId="121" fillId="0" borderId="14" xfId="0" applyNumberFormat="1" applyFont="1" applyFill="1" applyBorder="1" applyAlignment="1" applyProtection="1">
      <alignment horizontal="center" vertical="center" wrapText="1"/>
    </xf>
    <xf numFmtId="0" fontId="98" fillId="0" borderId="14" xfId="0" applyNumberFormat="1" applyFont="1" applyFill="1" applyBorder="1" applyAlignment="1" applyProtection="1">
      <alignment horizontal="center" vertical="center" wrapText="1"/>
    </xf>
    <xf numFmtId="0" fontId="122" fillId="0" borderId="2" xfId="0" applyNumberFormat="1" applyFont="1" applyFill="1" applyBorder="1" applyAlignment="1" applyProtection="1">
      <alignment horizontal="center" vertical="center" wrapText="1"/>
    </xf>
    <xf numFmtId="183" fontId="98" fillId="0" borderId="2" xfId="0" applyNumberFormat="1" applyFont="1" applyFill="1" applyBorder="1" applyAlignment="1" applyProtection="1">
      <alignment horizontal="center" vertical="center" wrapText="1"/>
    </xf>
    <xf numFmtId="188" fontId="123" fillId="0" borderId="14" xfId="0" applyNumberFormat="1" applyFont="1" applyFill="1" applyBorder="1" applyAlignment="1" applyProtection="1">
      <alignment horizontal="center" vertical="center" wrapText="1" shrinkToFit="1"/>
    </xf>
    <xf numFmtId="188" fontId="2" fillId="0" borderId="14" xfId="0" applyNumberFormat="1" applyFont="1" applyFill="1" applyBorder="1" applyAlignment="1" applyProtection="1">
      <alignment horizontal="center" vertical="center"/>
    </xf>
    <xf numFmtId="194" fontId="2" fillId="0" borderId="14" xfId="0" applyNumberFormat="1" applyFont="1" applyFill="1" applyBorder="1" applyAlignment="1" applyProtection="1">
      <alignment horizontal="center" vertical="center" wrapText="1" shrinkToFit="1"/>
    </xf>
    <xf numFmtId="188" fontId="0" fillId="0" borderId="14" xfId="0" applyNumberFormat="1" applyFont="1" applyFill="1" applyBorder="1" applyAlignment="1" applyProtection="1">
      <alignment horizontal="center" vertical="center" wrapText="1" shrinkToFit="1"/>
    </xf>
    <xf numFmtId="188" fontId="124" fillId="0" borderId="14" xfId="0" applyNumberFormat="1" applyFont="1" applyFill="1" applyBorder="1" applyAlignment="1" applyProtection="1">
      <alignment horizontal="center" vertical="center" wrapText="1" shrinkToFit="1"/>
    </xf>
    <xf numFmtId="188" fontId="125" fillId="0" borderId="14" xfId="0" applyNumberFormat="1" applyFont="1" applyFill="1" applyBorder="1" applyAlignment="1" applyProtection="1">
      <alignment horizontal="center" vertical="center" wrapText="1" shrinkToFit="1"/>
    </xf>
    <xf numFmtId="183" fontId="124" fillId="0" borderId="14" xfId="0" applyNumberFormat="1" applyFont="1" applyFill="1" applyBorder="1" applyAlignment="1" applyProtection="1">
      <alignment horizontal="center" vertical="center" wrapText="1"/>
    </xf>
    <xf numFmtId="0" fontId="14" fillId="0" borderId="14" xfId="0" applyNumberFormat="1" applyFont="1" applyFill="1" applyBorder="1" applyAlignment="1" applyProtection="1">
      <alignment horizontal="center" vertical="center" wrapText="1"/>
    </xf>
    <xf numFmtId="0" fontId="78" fillId="0" borderId="2" xfId="0" applyNumberFormat="1" applyFont="1" applyFill="1" applyBorder="1" applyAlignment="1" applyProtection="1">
      <alignment horizontal="center" vertical="center" wrapText="1"/>
    </xf>
    <xf numFmtId="189" fontId="104" fillId="0" borderId="14" xfId="0" applyNumberFormat="1" applyFont="1" applyFill="1" applyBorder="1" applyAlignment="1" applyProtection="1">
      <alignment horizontal="center" vertical="center" wrapText="1" shrinkToFit="1"/>
    </xf>
    <xf numFmtId="181" fontId="82" fillId="0" borderId="2" xfId="0" applyNumberFormat="1" applyFont="1" applyFill="1" applyBorder="1" applyAlignment="1" applyProtection="1">
      <alignment horizontal="center" vertical="center"/>
    </xf>
    <xf numFmtId="0" fontId="104" fillId="0" borderId="14" xfId="0" applyNumberFormat="1" applyFont="1" applyFill="1" applyBorder="1" applyAlignment="1" applyProtection="1">
      <alignment horizontal="center" vertical="center" wrapText="1" shrinkToFit="1"/>
    </xf>
    <xf numFmtId="188" fontId="98" fillId="0" borderId="14" xfId="0" applyNumberFormat="1" applyFont="1" applyFill="1" applyBorder="1" applyAlignment="1" applyProtection="1">
      <alignment horizontal="center" vertical="center" wrapText="1" shrinkToFit="1"/>
    </xf>
    <xf numFmtId="0" fontId="104" fillId="0" borderId="2" xfId="0" applyNumberFormat="1" applyFont="1" applyFill="1" applyBorder="1" applyAlignment="1" applyProtection="1">
      <alignment horizontal="center" vertical="center" wrapText="1" shrinkToFit="1"/>
    </xf>
    <xf numFmtId="186" fontId="104" fillId="0" borderId="14" xfId="0" applyNumberFormat="1" applyFont="1" applyFill="1" applyBorder="1" applyAlignment="1" applyProtection="1">
      <alignment horizontal="center" vertical="center" wrapText="1" shrinkToFit="1"/>
    </xf>
    <xf numFmtId="186" fontId="119" fillId="0" borderId="14" xfId="0" applyNumberFormat="1" applyFont="1" applyFill="1" applyBorder="1" applyAlignment="1" applyProtection="1">
      <alignment horizontal="center" vertical="center" wrapText="1" shrinkToFit="1"/>
    </xf>
    <xf numFmtId="186" fontId="104" fillId="0" borderId="16" xfId="0" applyNumberFormat="1" applyFont="1" applyFill="1" applyBorder="1" applyAlignment="1" applyProtection="1">
      <alignment horizontal="center" vertical="center" wrapText="1" shrinkToFit="1"/>
    </xf>
    <xf numFmtId="189" fontId="2" fillId="0" borderId="14" xfId="0" applyNumberFormat="1" applyFont="1" applyFill="1" applyBorder="1" applyAlignment="1" applyProtection="1">
      <alignment horizontal="center" vertical="center" wrapText="1" shrinkToFit="1"/>
    </xf>
    <xf numFmtId="181" fontId="5" fillId="0" borderId="2" xfId="0" applyNumberFormat="1" applyFont="1" applyFill="1" applyBorder="1" applyAlignment="1" applyProtection="1">
      <alignment horizontal="center" vertical="center"/>
    </xf>
    <xf numFmtId="0" fontId="2" fillId="0" borderId="14" xfId="0" applyNumberFormat="1" applyFont="1" applyFill="1" applyBorder="1" applyAlignment="1" applyProtection="1">
      <alignment horizontal="center" vertical="center" wrapText="1" shrinkToFit="1"/>
    </xf>
    <xf numFmtId="188" fontId="14" fillId="0" borderId="14" xfId="0" applyNumberFormat="1" applyFont="1" applyFill="1" applyBorder="1" applyAlignment="1" applyProtection="1">
      <alignment horizontal="center" vertical="center" wrapText="1" shrinkToFit="1"/>
    </xf>
    <xf numFmtId="0" fontId="2" fillId="0" borderId="2" xfId="0" applyNumberFormat="1" applyFont="1" applyFill="1" applyBorder="1" applyAlignment="1" applyProtection="1">
      <alignment horizontal="center" vertical="center" wrapText="1" shrinkToFit="1"/>
    </xf>
    <xf numFmtId="186" fontId="2" fillId="0" borderId="14" xfId="0" applyNumberFormat="1" applyFont="1" applyFill="1" applyBorder="1" applyAlignment="1" applyProtection="1">
      <alignment horizontal="center" vertical="center" wrapText="1" shrinkToFit="1"/>
    </xf>
    <xf numFmtId="182" fontId="82" fillId="0" borderId="2" xfId="0" applyNumberFormat="1" applyFont="1" applyFill="1" applyBorder="1" applyAlignment="1" applyProtection="1">
      <alignment horizontal="center" vertical="center"/>
    </xf>
    <xf numFmtId="182" fontId="5" fillId="7" borderId="14" xfId="0" applyNumberFormat="1" applyFont="1" applyFill="1" applyBorder="1" applyAlignment="1" applyProtection="1">
      <alignment horizontal="center" vertical="center" wrapText="1" shrinkToFit="1"/>
    </xf>
    <xf numFmtId="182" fontId="5" fillId="0" borderId="2" xfId="0" applyNumberFormat="1" applyFont="1" applyFill="1" applyBorder="1" applyAlignment="1" applyProtection="1">
      <alignment horizontal="center" vertical="center"/>
    </xf>
    <xf numFmtId="0" fontId="82" fillId="7" borderId="14" xfId="0" applyFont="1" applyFill="1" applyBorder="1" applyAlignment="1" applyProtection="1">
      <alignment horizontal="center" vertical="center" wrapText="1"/>
    </xf>
    <xf numFmtId="182" fontId="104" fillId="0" borderId="14" xfId="0" applyNumberFormat="1" applyFont="1" applyFill="1" applyBorder="1" applyAlignment="1" applyProtection="1">
      <alignment horizontal="center" vertical="center"/>
    </xf>
    <xf numFmtId="0" fontId="110" fillId="0" borderId="0" xfId="0" applyFont="1" applyFill="1" applyAlignment="1" applyProtection="1">
      <alignment vertical="center" wrapText="1"/>
    </xf>
    <xf numFmtId="182" fontId="2" fillId="7" borderId="14" xfId="0" applyNumberFormat="1" applyFont="1" applyFill="1" applyBorder="1" applyAlignment="1" applyProtection="1">
      <alignment horizontal="center" vertical="center"/>
    </xf>
    <xf numFmtId="0" fontId="52" fillId="7" borderId="0" xfId="0" applyFont="1" applyFill="1" applyAlignment="1" applyProtection="1">
      <alignment vertical="center" wrapText="1"/>
    </xf>
    <xf numFmtId="182" fontId="2" fillId="0" borderId="14" xfId="0" applyNumberFormat="1" applyFont="1" applyFill="1" applyBorder="1" applyAlignment="1" applyProtection="1">
      <alignment horizontal="center" vertical="center"/>
    </xf>
    <xf numFmtId="182" fontId="104" fillId="7" borderId="2" xfId="0" applyNumberFormat="1" applyFont="1" applyFill="1" applyBorder="1" applyAlignment="1" applyProtection="1">
      <alignment horizontal="center" vertical="center"/>
    </xf>
    <xf numFmtId="0" fontId="110" fillId="7" borderId="0" xfId="0" applyFont="1" applyFill="1" applyAlignment="1" applyProtection="1">
      <alignment vertical="center" wrapText="1"/>
      <protection locked="0"/>
    </xf>
    <xf numFmtId="0" fontId="82" fillId="0" borderId="14" xfId="0" applyFont="1" applyFill="1" applyBorder="1" applyAlignment="1" applyProtection="1">
      <alignment horizontal="center" vertical="center" wrapText="1"/>
    </xf>
    <xf numFmtId="0" fontId="81" fillId="0" borderId="16" xfId="0" applyFont="1" applyFill="1" applyBorder="1" applyAlignment="1" applyProtection="1">
      <alignment horizontal="center" vertical="center" wrapText="1"/>
    </xf>
    <xf numFmtId="0" fontId="5" fillId="0" borderId="14" xfId="0" applyFont="1" applyFill="1" applyBorder="1" applyAlignment="1" applyProtection="1">
      <alignment horizontal="center" vertical="center" wrapText="1"/>
    </xf>
    <xf numFmtId="0" fontId="5" fillId="0" borderId="2" xfId="0" applyFont="1" applyFill="1" applyBorder="1" applyAlignment="1" applyProtection="1">
      <alignment horizontal="center" vertical="center" wrapText="1"/>
      <protection locked="0"/>
    </xf>
    <xf numFmtId="0" fontId="82" fillId="7" borderId="2" xfId="0" applyFont="1" applyFill="1" applyBorder="1" applyAlignment="1" applyProtection="1">
      <alignment horizontal="center" vertical="center" wrapText="1"/>
      <protection locked="0"/>
    </xf>
    <xf numFmtId="182" fontId="104" fillId="0" borderId="2" xfId="0" applyNumberFormat="1" applyFont="1" applyFill="1" applyBorder="1" applyAlignment="1" applyProtection="1">
      <alignment horizontal="center" vertical="center"/>
    </xf>
    <xf numFmtId="0" fontId="110" fillId="0" borderId="0" xfId="0" applyFont="1" applyFill="1" applyAlignment="1" applyProtection="1">
      <alignment vertical="center" wrapText="1"/>
      <protection locked="0"/>
    </xf>
    <xf numFmtId="182" fontId="2" fillId="0" borderId="15" xfId="0" applyNumberFormat="1" applyFont="1" applyFill="1" applyBorder="1" applyAlignment="1" applyProtection="1">
      <alignment horizontal="center" vertical="center"/>
    </xf>
    <xf numFmtId="182" fontId="2" fillId="0" borderId="2" xfId="0" applyNumberFormat="1" applyFont="1" applyFill="1" applyBorder="1" applyAlignment="1" applyProtection="1">
      <alignment horizontal="center" vertical="center"/>
    </xf>
    <xf numFmtId="190" fontId="85" fillId="7" borderId="0" xfId="0" applyNumberFormat="1" applyFont="1" applyFill="1" applyAlignment="1" applyProtection="1">
      <alignment horizontal="center" vertical="center"/>
    </xf>
    <xf numFmtId="190" fontId="2" fillId="7" borderId="0" xfId="0" applyNumberFormat="1" applyFont="1" applyFill="1" applyAlignment="1" applyProtection="1">
      <alignment horizontal="center" vertical="center"/>
    </xf>
    <xf numFmtId="190" fontId="2" fillId="7" borderId="14" xfId="0" applyNumberFormat="1" applyFont="1" applyFill="1" applyBorder="1" applyAlignment="1" applyProtection="1">
      <alignment horizontal="center" vertical="center"/>
    </xf>
    <xf numFmtId="0" fontId="85" fillId="7" borderId="0" xfId="0" applyFont="1" applyFill="1" applyAlignment="1" applyProtection="1">
      <alignment horizontal="center" vertical="center" wrapText="1" shrinkToFit="1"/>
      <protection locked="0"/>
    </xf>
    <xf numFmtId="0" fontId="100" fillId="7" borderId="0" xfId="0" applyFont="1" applyFill="1" applyAlignment="1" applyProtection="1">
      <alignment horizontal="center" vertical="center" wrapText="1" shrinkToFit="1"/>
      <protection locked="0"/>
    </xf>
    <xf numFmtId="0" fontId="101" fillId="7" borderId="0" xfId="0" applyFont="1" applyFill="1" applyAlignment="1" applyProtection="1">
      <alignment horizontal="center" vertical="center" wrapText="1"/>
      <protection locked="0"/>
    </xf>
    <xf numFmtId="0" fontId="81" fillId="7" borderId="0" xfId="0" applyFont="1" applyFill="1" applyAlignment="1" applyProtection="1">
      <alignment horizontal="center" vertical="center" wrapText="1" shrinkToFit="1"/>
      <protection locked="0"/>
    </xf>
    <xf numFmtId="3" fontId="101" fillId="7" borderId="0" xfId="0" applyNumberFormat="1" applyFont="1" applyFill="1" applyAlignment="1" applyProtection="1">
      <alignment horizontal="center" vertical="center" wrapText="1" shrinkToFit="1"/>
      <protection locked="0"/>
    </xf>
    <xf numFmtId="0" fontId="2" fillId="7" borderId="0" xfId="0" applyFont="1" applyFill="1" applyAlignment="1" applyProtection="1">
      <alignment horizontal="center" vertical="center" wrapText="1" shrinkToFit="1"/>
      <protection locked="0"/>
    </xf>
    <xf numFmtId="0" fontId="49" fillId="7" borderId="0" xfId="0" applyFont="1" applyFill="1" applyAlignment="1" applyProtection="1">
      <alignment horizontal="center" vertical="center" wrapText="1"/>
      <protection locked="0"/>
    </xf>
    <xf numFmtId="0" fontId="5" fillId="7" borderId="0" xfId="0" applyFont="1" applyFill="1" applyAlignment="1" applyProtection="1">
      <alignment horizontal="center" vertical="center" wrapText="1" shrinkToFit="1"/>
      <protection locked="0"/>
    </xf>
    <xf numFmtId="3" fontId="49" fillId="7" borderId="0" xfId="0" applyNumberFormat="1" applyFont="1" applyFill="1" applyAlignment="1" applyProtection="1">
      <alignment horizontal="center" vertical="center" wrapText="1" shrinkToFit="1"/>
      <protection locked="0"/>
    </xf>
    <xf numFmtId="0" fontId="2" fillId="7" borderId="14" xfId="0" applyFont="1" applyFill="1" applyBorder="1" applyAlignment="1" applyProtection="1">
      <alignment horizontal="center" vertical="center" wrapText="1" shrinkToFit="1"/>
      <protection locked="0"/>
    </xf>
    <xf numFmtId="0" fontId="52" fillId="7" borderId="14" xfId="0" applyFont="1" applyFill="1" applyBorder="1" applyAlignment="1" applyProtection="1">
      <alignment horizontal="center" vertical="center" wrapText="1" shrinkToFit="1"/>
      <protection locked="0"/>
    </xf>
    <xf numFmtId="0" fontId="49" fillId="7" borderId="14" xfId="0" applyFont="1" applyFill="1" applyBorder="1" applyAlignment="1" applyProtection="1">
      <alignment horizontal="center" vertical="center" wrapText="1"/>
      <protection locked="0"/>
    </xf>
    <xf numFmtId="0" fontId="49" fillId="7" borderId="14" xfId="0" applyFont="1" applyFill="1" applyBorder="1" applyAlignment="1" applyProtection="1">
      <alignment horizontal="center" vertical="center" wrapText="1" shrinkToFit="1"/>
      <protection locked="0"/>
    </xf>
    <xf numFmtId="0" fontId="5" fillId="7" borderId="14" xfId="0" applyFont="1" applyFill="1" applyBorder="1" applyAlignment="1" applyProtection="1">
      <alignment horizontal="center" vertical="center" wrapText="1" shrinkToFit="1"/>
      <protection locked="0"/>
    </xf>
    <xf numFmtId="3" fontId="49" fillId="7" borderId="14" xfId="0" applyNumberFormat="1" applyFont="1" applyFill="1" applyBorder="1" applyAlignment="1" applyProtection="1">
      <alignment horizontal="center" vertical="center" wrapText="1" shrinkToFit="1"/>
      <protection locked="0"/>
    </xf>
    <xf numFmtId="3" fontId="81" fillId="7" borderId="0" xfId="0" applyNumberFormat="1" applyFont="1" applyFill="1" applyAlignment="1" applyProtection="1">
      <alignment horizontal="center" vertical="center" wrapText="1" shrinkToFit="1"/>
      <protection locked="0"/>
    </xf>
    <xf numFmtId="0" fontId="81" fillId="7" borderId="0" xfId="0" applyFont="1" applyFill="1" applyAlignment="1" applyProtection="1">
      <alignment horizontal="center" vertical="center"/>
    </xf>
    <xf numFmtId="186" fontId="81" fillId="7" borderId="0" xfId="0" applyNumberFormat="1" applyFont="1" applyFill="1" applyAlignment="1" applyProtection="1">
      <alignment horizontal="center" vertical="center" wrapText="1" shrinkToFit="1"/>
    </xf>
    <xf numFmtId="188" fontId="102" fillId="7" borderId="0" xfId="0" applyNumberFormat="1" applyFont="1" applyFill="1" applyAlignment="1" applyProtection="1">
      <alignment horizontal="center" vertical="center" wrapText="1"/>
    </xf>
    <xf numFmtId="188" fontId="85" fillId="7" borderId="0" xfId="0" applyNumberFormat="1" applyFont="1" applyFill="1" applyAlignment="1" applyProtection="1">
      <alignment horizontal="center" vertical="center"/>
    </xf>
    <xf numFmtId="3" fontId="5" fillId="7" borderId="0" xfId="0" applyNumberFormat="1" applyFont="1" applyFill="1" applyAlignment="1" applyProtection="1">
      <alignment horizontal="center" vertical="center" wrapText="1" shrinkToFit="1"/>
      <protection locked="0"/>
    </xf>
    <xf numFmtId="0" fontId="5" fillId="7" borderId="0" xfId="0" applyFont="1" applyFill="1" applyAlignment="1" applyProtection="1">
      <alignment horizontal="center" vertical="center"/>
    </xf>
    <xf numFmtId="186" fontId="5" fillId="7" borderId="0" xfId="0" applyNumberFormat="1" applyFont="1" applyFill="1" applyAlignment="1" applyProtection="1">
      <alignment horizontal="center" vertical="center" wrapText="1" shrinkToFit="1"/>
    </xf>
    <xf numFmtId="188" fontId="76" fillId="7" borderId="0" xfId="0" applyNumberFormat="1" applyFont="1" applyFill="1" applyAlignment="1" applyProtection="1">
      <alignment horizontal="center" vertical="center" wrapText="1"/>
    </xf>
    <xf numFmtId="188" fontId="2" fillId="7" borderId="0" xfId="0" applyNumberFormat="1" applyFont="1" applyFill="1" applyAlignment="1" applyProtection="1">
      <alignment horizontal="center" vertical="center"/>
    </xf>
    <xf numFmtId="3" fontId="5" fillId="7" borderId="14" xfId="0" applyNumberFormat="1" applyFont="1" applyFill="1" applyBorder="1" applyAlignment="1" applyProtection="1">
      <alignment horizontal="center" vertical="center" wrapText="1" shrinkToFit="1"/>
      <protection locked="0"/>
    </xf>
    <xf numFmtId="0" fontId="5" fillId="7" borderId="2" xfId="0" applyFont="1" applyFill="1" applyBorder="1" applyAlignment="1" applyProtection="1">
      <alignment horizontal="center" vertical="center" wrapText="1" shrinkToFit="1"/>
      <protection locked="0"/>
    </xf>
    <xf numFmtId="0" fontId="5" fillId="7" borderId="2" xfId="0" applyFont="1" applyFill="1" applyBorder="1" applyAlignment="1" applyProtection="1">
      <alignment horizontal="center" vertical="center"/>
    </xf>
    <xf numFmtId="186" fontId="5" fillId="7" borderId="14" xfId="0" applyNumberFormat="1" applyFont="1" applyFill="1" applyBorder="1" applyAlignment="1" applyProtection="1">
      <alignment horizontal="center" vertical="center" wrapText="1" shrinkToFit="1"/>
    </xf>
    <xf numFmtId="194" fontId="57" fillId="7" borderId="14" xfId="0" applyNumberFormat="1" applyFont="1" applyFill="1" applyBorder="1" applyAlignment="1" applyProtection="1">
      <alignment horizontal="center" vertical="center" wrapText="1" shrinkToFit="1"/>
    </xf>
    <xf numFmtId="188" fontId="2" fillId="7" borderId="14" xfId="0" applyNumberFormat="1" applyFont="1" applyFill="1" applyBorder="1" applyAlignment="1" applyProtection="1">
      <alignment horizontal="center" vertical="center"/>
    </xf>
    <xf numFmtId="183" fontId="2" fillId="0" borderId="14" xfId="0" applyNumberFormat="1" applyFont="1" applyFill="1" applyBorder="1" applyAlignment="1" applyProtection="1">
      <alignment horizontal="center" vertical="center"/>
    </xf>
    <xf numFmtId="0" fontId="2" fillId="0" borderId="14" xfId="0" applyFont="1" applyFill="1" applyBorder="1" applyAlignment="1" applyProtection="1">
      <alignment horizontal="center" vertical="center" wrapText="1"/>
      <protection locked="0"/>
    </xf>
    <xf numFmtId="183" fontId="2" fillId="0" borderId="14" xfId="0" applyNumberFormat="1" applyFont="1" applyFill="1" applyBorder="1" applyAlignment="1" applyProtection="1">
      <alignment horizontal="center" vertical="center"/>
      <protection locked="0"/>
    </xf>
    <xf numFmtId="0" fontId="2" fillId="0" borderId="14" xfId="0" applyFont="1" applyFill="1" applyBorder="1" applyAlignment="1" applyProtection="1">
      <alignment horizontal="center" vertical="center"/>
      <protection locked="0"/>
    </xf>
    <xf numFmtId="0" fontId="2" fillId="0" borderId="2" xfId="0" applyFont="1" applyFill="1" applyBorder="1" applyAlignment="1" applyProtection="1">
      <alignment horizontal="center" vertical="center" wrapText="1"/>
      <protection locked="0"/>
    </xf>
    <xf numFmtId="0" fontId="5" fillId="0" borderId="0" xfId="0" applyFont="1" applyFill="1" applyAlignment="1" applyProtection="1">
      <alignment horizontal="center" vertical="center"/>
    </xf>
    <xf numFmtId="183" fontId="5" fillId="0" borderId="0" xfId="0" applyNumberFormat="1" applyFont="1" applyFill="1" applyAlignment="1" applyProtection="1">
      <alignment horizontal="center" vertical="center"/>
      <protection locked="0"/>
    </xf>
    <xf numFmtId="0" fontId="0" fillId="0" borderId="0" xfId="0" applyFill="1" applyProtection="1">
      <alignment vertical="center"/>
    </xf>
    <xf numFmtId="0" fontId="0" fillId="0" borderId="0" xfId="0" applyFill="1" applyAlignment="1" applyProtection="1">
      <alignment vertical="center" wrapText="1"/>
      <protection locked="0"/>
    </xf>
    <xf numFmtId="186" fontId="48" fillId="7" borderId="14" xfId="0" applyNumberFormat="1" applyFont="1" applyFill="1" applyBorder="1" applyAlignment="1" applyProtection="1">
      <alignment horizontal="center" vertical="center" wrapText="1" shrinkToFit="1"/>
    </xf>
    <xf numFmtId="0" fontId="50" fillId="7" borderId="14" xfId="0" applyFont="1" applyFill="1" applyBorder="1" applyAlignment="1" applyProtection="1">
      <alignment horizontal="center" vertical="center" wrapText="1"/>
      <protection locked="0"/>
    </xf>
    <xf numFmtId="0" fontId="2" fillId="0" borderId="14" xfId="0" applyFont="1" applyFill="1" applyBorder="1" applyAlignment="1" applyProtection="1">
      <alignment horizontal="center" vertical="center"/>
    </xf>
    <xf numFmtId="186" fontId="57" fillId="0" borderId="14" xfId="0" applyNumberFormat="1" applyFont="1" applyFill="1" applyBorder="1" applyAlignment="1" applyProtection="1">
      <alignment horizontal="center" vertical="center" wrapText="1" shrinkToFit="1"/>
    </xf>
    <xf numFmtId="188" fontId="2" fillId="0" borderId="14" xfId="0" applyNumberFormat="1" applyFont="1" applyFill="1" applyBorder="1" applyAlignment="1" applyProtection="1">
      <alignment horizontal="center" vertical="center" wrapText="1"/>
    </xf>
    <xf numFmtId="0" fontId="13" fillId="0" borderId="14" xfId="0" applyFont="1" applyFill="1" applyBorder="1" applyAlignment="1" applyProtection="1">
      <alignment horizontal="center" vertical="center"/>
      <protection locked="0"/>
    </xf>
    <xf numFmtId="0" fontId="57" fillId="0" borderId="14" xfId="0" applyFont="1" applyFill="1" applyBorder="1" applyAlignment="1" applyProtection="1">
      <alignment horizontal="center" vertical="center" wrapText="1"/>
    </xf>
    <xf numFmtId="58" fontId="5" fillId="0" borderId="0" xfId="0" applyNumberFormat="1" applyFont="1" applyFill="1" applyBorder="1" applyAlignment="1" applyProtection="1">
      <alignment horizontal="center" vertical="center"/>
    </xf>
    <xf numFmtId="188" fontId="5" fillId="0" borderId="0" xfId="0" applyNumberFormat="1" applyFont="1" applyFill="1" applyAlignment="1" applyProtection="1">
      <alignment horizontal="center" vertical="center" wrapText="1"/>
    </xf>
    <xf numFmtId="0" fontId="0" fillId="0" borderId="0" xfId="0" applyFill="1" applyAlignment="1" applyProtection="1">
      <alignment horizontal="center" vertical="center"/>
      <protection locked="0"/>
    </xf>
    <xf numFmtId="0" fontId="0" fillId="0" borderId="0" xfId="0" applyFill="1" applyAlignment="1" applyProtection="1">
      <alignment vertical="center" wrapText="1"/>
    </xf>
    <xf numFmtId="188" fontId="14" fillId="0" borderId="14" xfId="0" applyNumberFormat="1" applyFont="1" applyFill="1" applyBorder="1" applyAlignment="1" applyProtection="1">
      <alignment horizontal="center" vertical="center" wrapText="1"/>
    </xf>
    <xf numFmtId="188" fontId="52" fillId="0" borderId="14" xfId="0" applyNumberFormat="1" applyFont="1" applyFill="1" applyBorder="1" applyAlignment="1" applyProtection="1">
      <alignment horizontal="center" vertical="center" wrapText="1" shrinkToFit="1"/>
    </xf>
    <xf numFmtId="0" fontId="2" fillId="0" borderId="14" xfId="0" applyFont="1" applyFill="1" applyBorder="1" applyAlignment="1" applyProtection="1">
      <alignment horizontal="center" vertical="center" wrapText="1" shrinkToFit="1"/>
    </xf>
    <xf numFmtId="0" fontId="126" fillId="0" borderId="2" xfId="0" applyFont="1" applyFill="1" applyBorder="1" applyProtection="1">
      <alignment vertical="center"/>
    </xf>
    <xf numFmtId="188" fontId="37" fillId="0" borderId="14" xfId="0" applyNumberFormat="1" applyFont="1" applyFill="1" applyBorder="1" applyAlignment="1" applyProtection="1">
      <alignment horizontal="center" vertical="center" wrapText="1"/>
    </xf>
    <xf numFmtId="183" fontId="2" fillId="0" borderId="14" xfId="0" applyNumberFormat="1" applyFont="1" applyFill="1" applyBorder="1" applyAlignment="1" applyProtection="1">
      <alignment horizontal="center" vertical="center" wrapText="1"/>
    </xf>
    <xf numFmtId="0" fontId="2" fillId="0" borderId="2" xfId="0" applyNumberFormat="1" applyFont="1" applyFill="1" applyBorder="1" applyAlignment="1" applyProtection="1">
      <alignment horizontal="center" vertical="center" wrapText="1"/>
    </xf>
    <xf numFmtId="0" fontId="2" fillId="0" borderId="2" xfId="0" applyFont="1" applyFill="1" applyBorder="1" applyAlignment="1" applyProtection="1">
      <alignment horizontal="center" vertical="center"/>
    </xf>
    <xf numFmtId="188" fontId="5" fillId="0" borderId="0" xfId="0" applyNumberFormat="1" applyFont="1" applyFill="1" applyAlignment="1" applyProtection="1">
      <alignment horizontal="center" vertical="center"/>
    </xf>
    <xf numFmtId="188" fontId="37" fillId="0" borderId="0" xfId="0" applyNumberFormat="1" applyFont="1" applyFill="1" applyAlignment="1" applyProtection="1">
      <alignment horizontal="center" vertical="center" wrapText="1"/>
    </xf>
    <xf numFmtId="183" fontId="5" fillId="0" borderId="0" xfId="0" applyNumberFormat="1" applyFont="1" applyFill="1" applyAlignment="1" applyProtection="1">
      <alignment horizontal="center" vertical="center" wrapText="1"/>
    </xf>
    <xf numFmtId="0" fontId="5" fillId="0" borderId="0" xfId="0" applyNumberFormat="1" applyFont="1" applyFill="1" applyAlignment="1" applyProtection="1">
      <alignment horizontal="center" vertical="center" wrapText="1"/>
    </xf>
    <xf numFmtId="0" fontId="0" fillId="0" borderId="0" xfId="0" applyFont="1" applyFill="1" applyProtection="1">
      <alignment vertical="center"/>
    </xf>
    <xf numFmtId="0" fontId="0" fillId="0" borderId="0" xfId="0" applyFont="1" applyFill="1" applyBorder="1" applyAlignment="1" applyProtection="1">
      <alignment vertical="center" wrapText="1"/>
    </xf>
    <xf numFmtId="0" fontId="0" fillId="0" borderId="0" xfId="0" applyFont="1" applyFill="1">
      <alignment vertical="center"/>
    </xf>
    <xf numFmtId="181" fontId="2" fillId="0" borderId="14" xfId="0" applyNumberFormat="1" applyFont="1" applyFill="1" applyBorder="1" applyAlignment="1" applyProtection="1">
      <alignment horizontal="center" vertical="center"/>
    </xf>
    <xf numFmtId="189" fontId="2" fillId="0" borderId="14" xfId="0" applyNumberFormat="1" applyFont="1" applyFill="1" applyBorder="1" applyAlignment="1" applyProtection="1">
      <alignment horizontal="center" vertical="center"/>
    </xf>
    <xf numFmtId="191" fontId="13" fillId="0" borderId="14" xfId="0" applyNumberFormat="1" applyFont="1" applyFill="1" applyBorder="1" applyAlignment="1" applyProtection="1">
      <alignment horizontal="center" vertical="center"/>
    </xf>
    <xf numFmtId="0" fontId="2" fillId="0" borderId="14" xfId="0" applyNumberFormat="1" applyFont="1" applyFill="1" applyBorder="1" applyAlignment="1" applyProtection="1">
      <alignment horizontal="center" vertical="center"/>
    </xf>
    <xf numFmtId="188" fontId="5" fillId="0" borderId="14" xfId="0" applyNumberFormat="1" applyFont="1" applyFill="1" applyBorder="1" applyAlignment="1" applyProtection="1">
      <alignment horizontal="center" vertical="center" wrapText="1"/>
    </xf>
    <xf numFmtId="0" fontId="2" fillId="0" borderId="2" xfId="0" applyNumberFormat="1" applyFont="1" applyFill="1" applyBorder="1" applyAlignment="1" applyProtection="1">
      <alignment horizontal="center" vertical="center"/>
    </xf>
    <xf numFmtId="0" fontId="127" fillId="0" borderId="14" xfId="0" applyFont="1" applyFill="1" applyBorder="1" applyAlignment="1" applyProtection="1">
      <alignment horizontal="center" vertical="center"/>
    </xf>
    <xf numFmtId="189" fontId="5" fillId="0" borderId="0" xfId="0" applyNumberFormat="1" applyFont="1" applyFill="1" applyAlignment="1" applyProtection="1">
      <alignment horizontal="center" vertical="center"/>
    </xf>
    <xf numFmtId="181" fontId="5" fillId="0" borderId="0" xfId="0" applyNumberFormat="1" applyFont="1" applyFill="1" applyAlignment="1" applyProtection="1">
      <alignment horizontal="center" vertical="center"/>
    </xf>
    <xf numFmtId="0" fontId="5" fillId="0" borderId="0" xfId="0" applyNumberFormat="1" applyFont="1" applyFill="1" applyAlignment="1" applyProtection="1">
      <alignment horizontal="center" vertical="center"/>
    </xf>
    <xf numFmtId="0" fontId="128" fillId="0" borderId="0" xfId="0" applyFont="1" applyFill="1" applyAlignment="1" applyProtection="1">
      <alignment horizontal="center" vertical="center"/>
    </xf>
    <xf numFmtId="0" fontId="5" fillId="7" borderId="2" xfId="0" applyFont="1" applyFill="1" applyBorder="1" applyAlignment="1" applyProtection="1">
      <alignment horizontal="center" vertical="center" wrapText="1"/>
      <protection locked="0"/>
    </xf>
    <xf numFmtId="0" fontId="5" fillId="15" borderId="2" xfId="0" applyFont="1" applyFill="1" applyBorder="1" applyAlignment="1" applyProtection="1">
      <alignment horizontal="center" vertical="center" wrapText="1"/>
      <protection locked="0"/>
    </xf>
    <xf numFmtId="182" fontId="2" fillId="0" borderId="14" xfId="0" applyNumberFormat="1" applyFont="1" applyFill="1" applyBorder="1" applyAlignment="1" applyProtection="1">
      <alignment horizontal="center" vertical="center" wrapText="1" shrinkToFit="1"/>
    </xf>
    <xf numFmtId="182" fontId="2" fillId="10" borderId="14" xfId="0" applyNumberFormat="1" applyFont="1" applyFill="1" applyBorder="1" applyAlignment="1" applyProtection="1">
      <alignment horizontal="center" vertical="center"/>
    </xf>
    <xf numFmtId="0" fontId="2" fillId="10" borderId="14" xfId="0" applyNumberFormat="1" applyFont="1" applyFill="1" applyBorder="1" applyAlignment="1" applyProtection="1">
      <alignment horizontal="center" vertical="center" wrapText="1" shrinkToFit="1"/>
    </xf>
    <xf numFmtId="188" fontId="14" fillId="10" borderId="14" xfId="0" applyNumberFormat="1" applyFont="1" applyFill="1" applyBorder="1" applyAlignment="1" applyProtection="1">
      <alignment horizontal="center" vertical="center" wrapText="1" shrinkToFit="1"/>
    </xf>
    <xf numFmtId="0" fontId="13" fillId="0" borderId="14" xfId="0" applyFont="1" applyFill="1" applyBorder="1" applyAlignment="1" applyProtection="1">
      <alignment horizontal="center" vertical="center"/>
    </xf>
    <xf numFmtId="0" fontId="22" fillId="10" borderId="2" xfId="0" applyFont="1" applyFill="1" applyBorder="1" applyAlignment="1" applyProtection="1">
      <alignment horizontal="center" vertical="center"/>
    </xf>
    <xf numFmtId="0" fontId="13" fillId="10" borderId="2" xfId="0" applyFont="1" applyFill="1" applyBorder="1" applyAlignment="1" applyProtection="1">
      <alignment horizontal="center" vertical="center"/>
    </xf>
    <xf numFmtId="0" fontId="21" fillId="10" borderId="2" xfId="0" applyFont="1" applyFill="1" applyBorder="1" applyAlignment="1" applyProtection="1">
      <alignment horizontal="center" vertical="center"/>
    </xf>
    <xf numFmtId="182" fontId="5" fillId="0" borderId="0" xfId="0" applyNumberFormat="1" applyFont="1" applyFill="1" applyAlignment="1" applyProtection="1">
      <alignment horizontal="center" vertical="center"/>
    </xf>
    <xf numFmtId="182" fontId="6" fillId="10" borderId="0" xfId="0" applyNumberFormat="1" applyFont="1" applyFill="1" applyAlignment="1" applyProtection="1">
      <alignment horizontal="center" vertical="center"/>
    </xf>
    <xf numFmtId="182" fontId="19" fillId="10" borderId="0" xfId="0" applyNumberFormat="1" applyFont="1" applyFill="1" applyAlignment="1" applyProtection="1">
      <alignment horizontal="center" vertical="center"/>
    </xf>
    <xf numFmtId="0" fontId="0" fillId="0" borderId="0" xfId="0" applyFill="1" applyAlignment="1" applyProtection="1">
      <alignment horizontal="center" vertical="center"/>
    </xf>
    <xf numFmtId="0" fontId="0" fillId="14" borderId="0" xfId="0" applyFill="1" applyProtection="1">
      <alignment vertical="center"/>
    </xf>
    <xf numFmtId="0" fontId="0" fillId="0" borderId="0" xfId="0" applyProtection="1">
      <alignment vertical="center"/>
    </xf>
    <xf numFmtId="0" fontId="2" fillId="10" borderId="2" xfId="0" applyNumberFormat="1" applyFont="1" applyFill="1" applyBorder="1" applyAlignment="1" applyProtection="1">
      <alignment horizontal="center" vertical="center" wrapText="1" shrinkToFit="1"/>
    </xf>
    <xf numFmtId="186" fontId="127" fillId="10" borderId="14" xfId="0" applyNumberFormat="1" applyFont="1" applyFill="1" applyBorder="1" applyAlignment="1" applyProtection="1">
      <alignment horizontal="center" vertical="center" wrapText="1" shrinkToFit="1"/>
    </xf>
    <xf numFmtId="182" fontId="2" fillId="10" borderId="14" xfId="0" applyNumberFormat="1" applyFont="1" applyFill="1" applyBorder="1" applyAlignment="1" applyProtection="1">
      <alignment horizontal="center" vertical="center" wrapText="1" shrinkToFit="1"/>
    </xf>
    <xf numFmtId="182" fontId="18" fillId="10" borderId="14" xfId="0" applyNumberFormat="1" applyFont="1" applyFill="1" applyBorder="1" applyAlignment="1" applyProtection="1">
      <alignment horizontal="center" vertical="center" wrapText="1" shrinkToFit="1"/>
    </xf>
    <xf numFmtId="0" fontId="13" fillId="0" borderId="2" xfId="0" applyFont="1" applyFill="1" applyBorder="1" applyAlignment="1" applyProtection="1">
      <alignment horizontal="center" vertical="center"/>
    </xf>
    <xf numFmtId="182" fontId="19" fillId="0" borderId="0" xfId="0" applyNumberFormat="1" applyFont="1" applyFill="1" applyAlignment="1" applyProtection="1">
      <alignment horizontal="center" vertical="center"/>
    </xf>
    <xf numFmtId="0" fontId="5" fillId="0" borderId="2" xfId="0" applyFont="1" applyFill="1" applyBorder="1" applyAlignment="1" applyProtection="1">
      <alignment horizontal="center" vertical="center" wrapText="1"/>
    </xf>
    <xf numFmtId="182" fontId="18" fillId="0" borderId="14" xfId="0" applyNumberFormat="1" applyFont="1" applyFill="1" applyBorder="1" applyAlignment="1" applyProtection="1">
      <alignment horizontal="center" vertical="center" wrapText="1" shrinkToFit="1"/>
    </xf>
    <xf numFmtId="182" fontId="5" fillId="10" borderId="14" xfId="0" applyNumberFormat="1" applyFont="1" applyFill="1" applyBorder="1" applyAlignment="1" applyProtection="1">
      <alignment horizontal="center" vertical="center" wrapText="1" shrinkToFit="1"/>
    </xf>
    <xf numFmtId="182" fontId="6" fillId="0" borderId="0" xfId="0" applyNumberFormat="1" applyFont="1" applyFill="1" applyAlignment="1" applyProtection="1">
      <alignment horizontal="center" vertical="center"/>
    </xf>
    <xf numFmtId="0" fontId="52" fillId="0" borderId="0" xfId="0" applyFont="1" applyFill="1" applyAlignment="1" applyProtection="1">
      <alignment vertical="center" wrapText="1"/>
      <protection locked="0"/>
    </xf>
    <xf numFmtId="0" fontId="52" fillId="10" borderId="2" xfId="0" applyFont="1" applyFill="1" applyBorder="1" applyAlignment="1" applyProtection="1">
      <alignment horizontal="center" vertical="center" wrapText="1" shrinkToFit="1"/>
      <protection locked="0"/>
    </xf>
    <xf numFmtId="0" fontId="5" fillId="10" borderId="2" xfId="0" applyFont="1" applyFill="1" applyBorder="1" applyAlignment="1" applyProtection="1">
      <alignment horizontal="center" vertical="center" wrapText="1"/>
      <protection locked="0"/>
    </xf>
    <xf numFmtId="0" fontId="5" fillId="10" borderId="0" xfId="0" applyFont="1" applyFill="1" applyAlignment="1" applyProtection="1">
      <alignment horizontal="center" vertical="center" wrapText="1"/>
      <protection locked="0"/>
    </xf>
    <xf numFmtId="0" fontId="2" fillId="0" borderId="0" xfId="0" applyFont="1" applyFill="1" applyBorder="1" applyAlignment="1" applyProtection="1">
      <alignment horizontal="center" vertical="center" wrapText="1"/>
      <protection locked="0"/>
    </xf>
    <xf numFmtId="0" fontId="2" fillId="10" borderId="2" xfId="0" applyFont="1" applyFill="1" applyBorder="1" applyAlignment="1" applyProtection="1">
      <alignment horizontal="center" vertical="center"/>
      <protection locked="0"/>
    </xf>
    <xf numFmtId="182" fontId="5" fillId="0" borderId="3" xfId="0" applyNumberFormat="1" applyFont="1" applyFill="1" applyBorder="1" applyAlignment="1" applyProtection="1">
      <alignment horizontal="center" vertical="center"/>
    </xf>
    <xf numFmtId="182" fontId="5" fillId="0" borderId="0" xfId="0" applyNumberFormat="1" applyFont="1" applyFill="1" applyBorder="1" applyAlignment="1" applyProtection="1">
      <alignment horizontal="center" vertical="center"/>
    </xf>
    <xf numFmtId="0" fontId="0" fillId="0" borderId="0" xfId="0" applyProtection="1">
      <alignment vertical="center"/>
      <protection locked="0"/>
    </xf>
    <xf numFmtId="190" fontId="2" fillId="0" borderId="0" xfId="0" applyNumberFormat="1" applyFont="1" applyFill="1" applyAlignment="1" applyProtection="1">
      <alignment horizontal="center" vertical="center"/>
    </xf>
    <xf numFmtId="0" fontId="2" fillId="0" borderId="0" xfId="0" applyFont="1" applyFill="1" applyAlignment="1" applyProtection="1">
      <alignment horizontal="center" vertical="center" wrapText="1" shrinkToFit="1"/>
      <protection locked="0"/>
    </xf>
    <xf numFmtId="0" fontId="49" fillId="7" borderId="0" xfId="0" applyFont="1" applyFill="1" applyAlignment="1" applyProtection="1">
      <alignment horizontal="center" vertical="center" wrapText="1" shrinkToFit="1"/>
      <protection locked="0"/>
    </xf>
    <xf numFmtId="0" fontId="52" fillId="0" borderId="0" xfId="0" applyFont="1" applyFill="1" applyAlignment="1" applyProtection="1">
      <alignment horizontal="center" vertical="center" wrapText="1" shrinkToFit="1"/>
      <protection locked="0"/>
    </xf>
    <xf numFmtId="0" fontId="49" fillId="0" borderId="0" xfId="0" applyFont="1" applyFill="1" applyAlignment="1" applyProtection="1">
      <alignment horizontal="center" vertical="center" wrapText="1"/>
      <protection locked="0"/>
    </xf>
    <xf numFmtId="0" fontId="49" fillId="0" borderId="0" xfId="0" applyFont="1" applyFill="1" applyAlignment="1" applyProtection="1">
      <alignment horizontal="center" vertical="center" wrapText="1" shrinkToFit="1"/>
      <protection locked="0"/>
    </xf>
    <xf numFmtId="0" fontId="5" fillId="0" borderId="0" xfId="0" applyFont="1" applyFill="1" applyAlignment="1" applyProtection="1">
      <alignment horizontal="center" vertical="center" wrapText="1" shrinkToFit="1"/>
      <protection locked="0"/>
    </xf>
    <xf numFmtId="3" fontId="49" fillId="0" borderId="0" xfId="0" applyNumberFormat="1" applyFont="1" applyFill="1" applyAlignment="1" applyProtection="1">
      <alignment horizontal="center" vertical="center" wrapText="1" shrinkToFit="1"/>
      <protection locked="0"/>
    </xf>
    <xf numFmtId="3" fontId="5" fillId="0" borderId="0" xfId="0" applyNumberFormat="1" applyFont="1" applyFill="1" applyAlignment="1" applyProtection="1">
      <alignment horizontal="center" vertical="center" wrapText="1" shrinkToFit="1"/>
      <protection locked="0"/>
    </xf>
    <xf numFmtId="194" fontId="57" fillId="7" borderId="0" xfId="0" applyNumberFormat="1" applyFont="1" applyFill="1" applyAlignment="1" applyProtection="1">
      <alignment horizontal="center" vertical="center" wrapText="1" shrinkToFit="1"/>
    </xf>
    <xf numFmtId="186" fontId="5" fillId="0" borderId="0" xfId="0" applyNumberFormat="1" applyFont="1" applyFill="1" applyAlignment="1" applyProtection="1">
      <alignment horizontal="center" vertical="center" wrapText="1" shrinkToFit="1"/>
    </xf>
    <xf numFmtId="194" fontId="57" fillId="0" borderId="0" xfId="0" applyNumberFormat="1" applyFont="1" applyFill="1" applyAlignment="1" applyProtection="1">
      <alignment horizontal="center" vertical="center" wrapText="1" shrinkToFit="1"/>
    </xf>
    <xf numFmtId="188" fontId="2" fillId="0" borderId="0" xfId="0" applyNumberFormat="1" applyFont="1" applyFill="1" applyAlignment="1" applyProtection="1">
      <alignment horizontal="center" vertical="center"/>
    </xf>
    <xf numFmtId="187" fontId="14" fillId="0" borderId="0" xfId="0" applyNumberFormat="1" applyFont="1" applyFill="1" applyBorder="1" applyAlignment="1" applyProtection="1">
      <alignment horizontal="center" vertical="center" wrapText="1" shrinkToFit="1"/>
    </xf>
    <xf numFmtId="188" fontId="5" fillId="0" borderId="0" xfId="0" applyNumberFormat="1" applyFont="1" applyFill="1" applyBorder="1" applyAlignment="1" applyProtection="1">
      <alignment horizontal="center" vertical="center" wrapText="1"/>
    </xf>
    <xf numFmtId="188" fontId="5" fillId="0" borderId="0" xfId="0" applyNumberFormat="1" applyFont="1" applyFill="1" applyBorder="1" applyAlignment="1" applyProtection="1">
      <alignment horizontal="center" vertical="center"/>
    </xf>
    <xf numFmtId="188" fontId="37" fillId="0" borderId="0" xfId="0" applyNumberFormat="1" applyFont="1" applyFill="1" applyBorder="1" applyAlignment="1" applyProtection="1">
      <alignment horizontal="center" vertical="center" wrapText="1"/>
    </xf>
    <xf numFmtId="0" fontId="5" fillId="0" borderId="0" xfId="0" applyFont="1" applyFill="1" applyBorder="1" applyAlignment="1" applyProtection="1">
      <alignment horizontal="center" vertical="center" wrapText="1"/>
    </xf>
    <xf numFmtId="0" fontId="5" fillId="0" borderId="0" xfId="0" applyNumberFormat="1" applyFont="1" applyFill="1" applyBorder="1" applyAlignment="1" applyProtection="1">
      <alignment horizontal="center" vertical="center" wrapText="1"/>
    </xf>
    <xf numFmtId="189" fontId="5" fillId="0" borderId="0" xfId="0" applyNumberFormat="1" applyFont="1" applyFill="1" applyBorder="1" applyAlignment="1" applyProtection="1">
      <alignment horizontal="center" vertical="center"/>
    </xf>
    <xf numFmtId="181" fontId="5" fillId="0" borderId="0" xfId="0" applyNumberFormat="1" applyFont="1" applyFill="1" applyBorder="1" applyAlignment="1" applyProtection="1">
      <alignment horizontal="center" vertical="center"/>
    </xf>
    <xf numFmtId="0" fontId="5" fillId="0" borderId="0" xfId="0" applyNumberFormat="1" applyFont="1" applyFill="1" applyBorder="1" applyAlignment="1" applyProtection="1">
      <alignment horizontal="center" vertical="center"/>
    </xf>
    <xf numFmtId="0" fontId="14" fillId="0" borderId="0" xfId="0" applyNumberFormat="1" applyFont="1" applyFill="1" applyBorder="1" applyAlignment="1" applyProtection="1">
      <alignment horizontal="center" vertical="center" wrapText="1" shrinkToFit="1"/>
    </xf>
    <xf numFmtId="187" fontId="83" fillId="0" borderId="0" xfId="0" applyNumberFormat="1" applyFont="1" applyFill="1" applyBorder="1" applyAlignment="1" applyProtection="1">
      <alignment horizontal="center" vertical="center" wrapText="1" shrinkToFit="1"/>
    </xf>
    <xf numFmtId="182" fontId="6" fillId="14" borderId="0" xfId="0" applyNumberFormat="1" applyFont="1" applyFill="1" applyAlignment="1" applyProtection="1">
      <alignment horizontal="center" vertical="center"/>
    </xf>
    <xf numFmtId="182" fontId="6" fillId="14" borderId="0" xfId="0" applyNumberFormat="1" applyFont="1" applyFill="1" applyBorder="1" applyAlignment="1" applyProtection="1">
      <alignment horizontal="center" vertical="center"/>
    </xf>
    <xf numFmtId="182" fontId="19" fillId="14" borderId="0" xfId="0" applyNumberFormat="1" applyFont="1" applyFill="1" applyAlignment="1" applyProtection="1">
      <alignment horizontal="center" vertical="center"/>
    </xf>
    <xf numFmtId="182" fontId="19" fillId="14" borderId="0" xfId="0" applyNumberFormat="1" applyFont="1" applyFill="1" applyBorder="1" applyAlignment="1" applyProtection="1">
      <alignment horizontal="center" vertical="center"/>
    </xf>
    <xf numFmtId="182" fontId="19" fillId="0" borderId="0" xfId="0" applyNumberFormat="1" applyFont="1" applyFill="1" applyBorder="1" applyAlignment="1" applyProtection="1">
      <alignment horizontal="center" vertical="center"/>
    </xf>
    <xf numFmtId="0" fontId="0" fillId="10" borderId="0" xfId="0" applyFill="1" applyProtection="1">
      <alignment vertical="center"/>
      <protection locked="0"/>
    </xf>
    <xf numFmtId="0" fontId="0" fillId="0" borderId="3" xfId="0" applyFill="1" applyBorder="1" applyProtection="1">
      <alignment vertical="center"/>
    </xf>
    <xf numFmtId="0" fontId="0" fillId="0" borderId="0" xfId="0" applyFill="1" applyBorder="1" applyProtection="1">
      <alignment vertical="center"/>
    </xf>
    <xf numFmtId="0" fontId="129" fillId="0" borderId="0" xfId="0" applyFont="1" applyFill="1" applyProtection="1">
      <alignment vertical="center"/>
      <protection locked="0"/>
    </xf>
    <xf numFmtId="0" fontId="130" fillId="0" borderId="0" xfId="0" applyFont="1" applyFill="1" applyProtection="1">
      <alignment vertical="center"/>
      <protection locked="0"/>
    </xf>
    <xf numFmtId="0" fontId="131" fillId="0" borderId="0" xfId="0" applyFont="1" applyFill="1" applyProtection="1">
      <alignment vertical="center"/>
      <protection locked="0"/>
    </xf>
    <xf numFmtId="0" fontId="129" fillId="7" borderId="0" xfId="0" applyFont="1" applyFill="1" applyProtection="1">
      <alignment vertical="center"/>
      <protection locked="0"/>
    </xf>
    <xf numFmtId="0" fontId="73" fillId="0" borderId="0" xfId="0" applyFont="1" applyFill="1" applyProtection="1">
      <alignment vertical="center"/>
      <protection locked="0"/>
    </xf>
    <xf numFmtId="0" fontId="132" fillId="0" borderId="0" xfId="0" applyFont="1" applyFill="1" applyProtection="1">
      <alignment vertical="center"/>
      <protection locked="0"/>
    </xf>
    <xf numFmtId="0" fontId="129" fillId="0" borderId="0" xfId="0" applyFont="1" applyFill="1" applyAlignment="1" applyProtection="1">
      <alignment horizontal="center" vertical="center"/>
    </xf>
    <xf numFmtId="0" fontId="129" fillId="0" borderId="0" xfId="0" applyFont="1" applyFill="1" applyAlignment="1" applyProtection="1">
      <alignment horizontal="center" vertical="center" wrapText="1"/>
      <protection locked="0"/>
    </xf>
    <xf numFmtId="0" fontId="129" fillId="0" borderId="0" xfId="0" applyFont="1" applyFill="1" applyAlignment="1" applyProtection="1">
      <alignment horizontal="center" vertical="center"/>
      <protection locked="0"/>
    </xf>
    <xf numFmtId="186" fontId="129" fillId="0" borderId="0" xfId="0" applyNumberFormat="1" applyFont="1" applyFill="1" applyBorder="1" applyAlignment="1" applyProtection="1">
      <alignment horizontal="center" vertical="center" wrapText="1" shrinkToFit="1"/>
      <protection locked="0"/>
    </xf>
    <xf numFmtId="187" fontId="129" fillId="0" borderId="0" xfId="0" applyNumberFormat="1" applyFont="1" applyFill="1" applyBorder="1" applyAlignment="1" applyProtection="1">
      <alignment horizontal="center" vertical="center" wrapText="1" shrinkToFit="1"/>
      <protection locked="0"/>
    </xf>
    <xf numFmtId="188" fontId="129" fillId="0" borderId="0" xfId="0" applyNumberFormat="1" applyFont="1" applyFill="1" applyAlignment="1" applyProtection="1">
      <alignment horizontal="center" vertical="center" wrapText="1"/>
      <protection locked="0"/>
    </xf>
    <xf numFmtId="188" fontId="129" fillId="0" borderId="0" xfId="0" applyNumberFormat="1" applyFont="1" applyFill="1" applyAlignment="1" applyProtection="1">
      <alignment horizontal="center" vertical="center"/>
      <protection locked="0"/>
    </xf>
    <xf numFmtId="0" fontId="129" fillId="0" borderId="0" xfId="0" applyNumberFormat="1" applyFont="1" applyFill="1" applyAlignment="1" applyProtection="1">
      <alignment horizontal="center" vertical="center" wrapText="1"/>
      <protection locked="0"/>
    </xf>
    <xf numFmtId="189" fontId="129" fillId="0" borderId="0" xfId="0" applyNumberFormat="1" applyFont="1" applyFill="1" applyAlignment="1" applyProtection="1">
      <alignment horizontal="center" vertical="center"/>
      <protection locked="0"/>
    </xf>
    <xf numFmtId="181" fontId="129" fillId="0" borderId="0" xfId="0" applyNumberFormat="1" applyFont="1" applyFill="1" applyAlignment="1" applyProtection="1">
      <alignment horizontal="center" vertical="center"/>
      <protection locked="0"/>
    </xf>
    <xf numFmtId="0" fontId="129" fillId="0" borderId="0" xfId="0" applyNumberFormat="1" applyFont="1" applyFill="1" applyAlignment="1" applyProtection="1">
      <alignment horizontal="center" vertical="center"/>
      <protection locked="0"/>
    </xf>
    <xf numFmtId="187" fontId="133" fillId="0" borderId="0" xfId="0" applyNumberFormat="1" applyFont="1" applyFill="1" applyAlignment="1" applyProtection="1">
      <alignment horizontal="center" vertical="center" wrapText="1" shrinkToFit="1"/>
      <protection locked="0"/>
    </xf>
    <xf numFmtId="187" fontId="129" fillId="0" borderId="0" xfId="0" applyNumberFormat="1" applyFont="1" applyFill="1" applyAlignment="1" applyProtection="1">
      <alignment horizontal="center" vertical="center" wrapText="1" shrinkToFit="1"/>
      <protection locked="0"/>
    </xf>
    <xf numFmtId="182" fontId="134" fillId="0" borderId="0" xfId="0" applyNumberFormat="1" applyFont="1" applyFill="1" applyAlignment="1" applyProtection="1">
      <alignment horizontal="center" vertical="center"/>
      <protection locked="0"/>
    </xf>
    <xf numFmtId="182" fontId="135" fillId="0" borderId="0" xfId="0" applyNumberFormat="1" applyFont="1" applyFill="1" applyAlignment="1" applyProtection="1">
      <alignment horizontal="center" vertical="center"/>
      <protection locked="0"/>
    </xf>
    <xf numFmtId="0" fontId="136" fillId="0" borderId="0" xfId="0" applyFont="1" applyFill="1" applyAlignment="1" applyProtection="1">
      <alignment vertical="center"/>
    </xf>
    <xf numFmtId="0" fontId="136" fillId="0" borderId="0" xfId="0" applyFont="1" applyFill="1" applyAlignment="1" applyProtection="1">
      <alignment vertical="center"/>
      <protection locked="0"/>
    </xf>
    <xf numFmtId="190" fontId="137" fillId="0" borderId="0" xfId="0" applyNumberFormat="1" applyFont="1" applyFill="1" applyBorder="1" applyAlignment="1" applyProtection="1">
      <alignment vertical="center"/>
    </xf>
    <xf numFmtId="190" fontId="137" fillId="0" borderId="0" xfId="0" applyNumberFormat="1" applyFont="1" applyFill="1" applyBorder="1" applyAlignment="1" applyProtection="1">
      <alignment vertical="center"/>
      <protection locked="0"/>
    </xf>
    <xf numFmtId="0" fontId="136" fillId="0" borderId="0" xfId="0" applyFont="1" applyFill="1" applyAlignment="1" applyProtection="1">
      <alignment horizontal="center" vertical="center"/>
      <protection locked="0"/>
    </xf>
    <xf numFmtId="0" fontId="138" fillId="0" borderId="0" xfId="0" applyFont="1" applyFill="1" applyBorder="1" applyAlignment="1" applyProtection="1">
      <alignment vertical="center" wrapText="1"/>
      <protection locked="0"/>
    </xf>
    <xf numFmtId="0" fontId="139" fillId="0" borderId="2" xfId="0" applyFont="1" applyFill="1" applyBorder="1" applyAlignment="1" applyProtection="1">
      <alignment horizontal="center" vertical="center" wrapText="1" shrinkToFit="1"/>
    </xf>
    <xf numFmtId="0" fontId="139" fillId="0" borderId="2" xfId="0" applyFont="1" applyFill="1" applyBorder="1" applyAlignment="1" applyProtection="1">
      <alignment horizontal="center" vertical="center" wrapText="1" shrinkToFit="1"/>
      <protection locked="0"/>
    </xf>
    <xf numFmtId="0" fontId="136" fillId="0" borderId="2" xfId="0" applyFont="1" applyFill="1" applyBorder="1" applyAlignment="1" applyProtection="1">
      <alignment horizontal="center" vertical="center" wrapText="1" shrinkToFit="1"/>
      <protection locked="0"/>
    </xf>
    <xf numFmtId="0" fontId="139" fillId="0" borderId="12" xfId="0" applyFont="1" applyFill="1" applyBorder="1" applyAlignment="1" applyProtection="1">
      <alignment horizontal="center" vertical="center" wrapText="1" shrinkToFit="1"/>
      <protection locked="0"/>
    </xf>
    <xf numFmtId="190" fontId="130" fillId="0" borderId="14" xfId="0" applyNumberFormat="1" applyFont="1" applyFill="1" applyBorder="1" applyAlignment="1" applyProtection="1">
      <alignment horizontal="center" vertical="center"/>
    </xf>
    <xf numFmtId="0" fontId="89" fillId="0" borderId="14" xfId="0" applyFont="1" applyFill="1" applyBorder="1" applyAlignment="1" applyProtection="1">
      <alignment horizontal="center" vertical="center" wrapText="1" shrinkToFit="1"/>
      <protection locked="0"/>
    </xf>
    <xf numFmtId="0" fontId="89" fillId="0" borderId="12" xfId="0" applyFont="1" applyFill="1" applyBorder="1" applyAlignment="1" applyProtection="1">
      <alignment horizontal="center" vertical="center" wrapText="1" shrinkToFit="1"/>
      <protection locked="0"/>
    </xf>
    <xf numFmtId="0" fontId="130" fillId="0" borderId="14" xfId="0" applyFont="1" applyFill="1" applyBorder="1" applyAlignment="1" applyProtection="1">
      <alignment horizontal="center" vertical="center" wrapText="1" shrinkToFit="1"/>
      <protection locked="0"/>
    </xf>
    <xf numFmtId="0" fontId="130" fillId="0" borderId="2" xfId="0" applyFont="1" applyFill="1" applyBorder="1" applyAlignment="1" applyProtection="1">
      <alignment horizontal="center" vertical="center" wrapText="1" shrinkToFit="1"/>
      <protection locked="0"/>
    </xf>
    <xf numFmtId="188" fontId="136" fillId="0" borderId="0" xfId="0" applyNumberFormat="1" applyFont="1" applyFill="1" applyAlignment="1" applyProtection="1">
      <alignment vertical="center" wrapText="1"/>
      <protection locked="0"/>
    </xf>
    <xf numFmtId="0" fontId="129" fillId="0" borderId="0" xfId="0" applyFont="1" applyFill="1" applyAlignment="1" applyProtection="1">
      <alignment vertical="center"/>
      <protection locked="0"/>
    </xf>
    <xf numFmtId="0" fontId="136" fillId="0" borderId="0" xfId="0" applyFont="1" applyFill="1" applyAlignment="1" applyProtection="1">
      <alignment horizontal="center" vertical="center"/>
    </xf>
    <xf numFmtId="188" fontId="136" fillId="0" borderId="0" xfId="0" applyNumberFormat="1" applyFont="1" applyFill="1" applyAlignment="1" applyProtection="1">
      <alignment horizontal="center" vertical="center" wrapText="1"/>
      <protection locked="0"/>
    </xf>
    <xf numFmtId="186" fontId="139" fillId="0" borderId="2" xfId="0" applyNumberFormat="1" applyFont="1" applyFill="1" applyBorder="1" applyAlignment="1" applyProtection="1">
      <alignment horizontal="center" vertical="center" wrapText="1" shrinkToFit="1"/>
      <protection locked="0"/>
    </xf>
    <xf numFmtId="188" fontId="139" fillId="0" borderId="2" xfId="0" applyNumberFormat="1" applyFont="1" applyFill="1" applyBorder="1" applyAlignment="1" applyProtection="1">
      <alignment horizontal="center" vertical="center" wrapText="1" shrinkToFit="1"/>
      <protection locked="0"/>
    </xf>
    <xf numFmtId="0" fontId="89" fillId="0" borderId="2" xfId="0" applyFont="1" applyFill="1" applyBorder="1" applyAlignment="1" applyProtection="1">
      <alignment horizontal="center" vertical="center" wrapText="1" shrinkToFit="1"/>
      <protection locked="0"/>
    </xf>
    <xf numFmtId="0" fontId="130" fillId="0" borderId="2" xfId="0" applyFont="1" applyFill="1" applyBorder="1" applyAlignment="1" applyProtection="1">
      <alignment horizontal="center" vertical="center"/>
    </xf>
    <xf numFmtId="186" fontId="130" fillId="0" borderId="2" xfId="0" applyNumberFormat="1" applyFont="1" applyFill="1" applyBorder="1" applyAlignment="1" applyProtection="1">
      <alignment horizontal="center" vertical="center" wrapText="1" shrinkToFit="1"/>
      <protection locked="0"/>
    </xf>
    <xf numFmtId="186" fontId="89" fillId="0" borderId="2" xfId="0" applyNumberFormat="1" applyFont="1" applyFill="1" applyBorder="1" applyAlignment="1" applyProtection="1">
      <alignment horizontal="center" vertical="center" wrapText="1" shrinkToFit="1"/>
      <protection locked="0"/>
    </xf>
    <xf numFmtId="188" fontId="89" fillId="0" borderId="2" xfId="0" applyNumberFormat="1" applyFont="1" applyFill="1" applyBorder="1" applyAlignment="1" applyProtection="1">
      <alignment horizontal="center" vertical="center" wrapText="1" shrinkToFit="1"/>
      <protection locked="0"/>
    </xf>
    <xf numFmtId="196" fontId="130" fillId="0" borderId="2" xfId="0" applyNumberFormat="1" applyFont="1" applyFill="1" applyBorder="1" applyAlignment="1" applyProtection="1">
      <alignment horizontal="center" vertical="center"/>
    </xf>
    <xf numFmtId="188" fontId="89" fillId="0" borderId="14" xfId="0" applyNumberFormat="1" applyFont="1" applyFill="1" applyBorder="1" applyAlignment="1" applyProtection="1">
      <alignment horizontal="center" vertical="center" wrapText="1" shrinkToFit="1"/>
      <protection locked="0"/>
    </xf>
    <xf numFmtId="186" fontId="89" fillId="0" borderId="2" xfId="0" applyNumberFormat="1" applyFont="1" applyFill="1" applyBorder="1" applyAlignment="1" applyProtection="1">
      <alignment horizontal="center" vertical="center" wrapText="1" shrinkToFit="1"/>
    </xf>
    <xf numFmtId="188" fontId="136" fillId="0" borderId="0" xfId="0" applyNumberFormat="1" applyFont="1" applyFill="1" applyAlignment="1" applyProtection="1">
      <alignment horizontal="center" vertical="center"/>
      <protection locked="0"/>
    </xf>
    <xf numFmtId="188" fontId="136" fillId="0" borderId="0" xfId="0" applyNumberFormat="1" applyFont="1" applyFill="1" applyAlignment="1" applyProtection="1">
      <alignment vertical="center"/>
      <protection locked="0"/>
    </xf>
    <xf numFmtId="0" fontId="136" fillId="0" borderId="0" xfId="0" applyNumberFormat="1" applyFont="1" applyFill="1" applyAlignment="1" applyProtection="1">
      <alignment horizontal="center" vertical="center" wrapText="1"/>
      <protection locked="0"/>
    </xf>
    <xf numFmtId="188" fontId="136" fillId="0" borderId="2" xfId="0" applyNumberFormat="1" applyFont="1" applyFill="1" applyBorder="1" applyAlignment="1" applyProtection="1">
      <alignment horizontal="center" vertical="center" wrapText="1" shrinkToFit="1"/>
      <protection locked="0"/>
    </xf>
    <xf numFmtId="0" fontId="139" fillId="0" borderId="2" xfId="0" applyNumberFormat="1" applyFont="1" applyFill="1" applyBorder="1" applyAlignment="1" applyProtection="1">
      <alignment horizontal="center" vertical="center" wrapText="1" shrinkToFit="1"/>
    </xf>
    <xf numFmtId="0" fontId="136" fillId="0" borderId="2" xfId="0" applyFont="1" applyFill="1" applyBorder="1" applyAlignment="1" applyProtection="1">
      <alignment horizontal="center" vertical="center" wrapText="1" shrinkToFit="1"/>
    </xf>
    <xf numFmtId="0" fontId="130" fillId="0" borderId="2" xfId="0" applyFont="1" applyFill="1" applyBorder="1" applyAlignment="1" applyProtection="1">
      <alignment horizontal="center" vertical="center" wrapText="1"/>
      <protection locked="0"/>
    </xf>
    <xf numFmtId="0" fontId="130" fillId="0" borderId="2" xfId="0" applyNumberFormat="1" applyFont="1" applyFill="1" applyBorder="1" applyAlignment="1" applyProtection="1">
      <alignment horizontal="center" vertical="center" wrapText="1"/>
    </xf>
    <xf numFmtId="0" fontId="130" fillId="0" borderId="2" xfId="0" applyFont="1" applyFill="1" applyBorder="1" applyAlignment="1" applyProtection="1">
      <alignment horizontal="center" vertical="center" wrapText="1" shrinkToFit="1"/>
    </xf>
    <xf numFmtId="0" fontId="130" fillId="0" borderId="2" xfId="0" applyFont="1" applyFill="1" applyBorder="1" applyAlignment="1" applyProtection="1">
      <alignment horizontal="center" vertical="center"/>
      <protection locked="0"/>
    </xf>
    <xf numFmtId="183" fontId="130" fillId="0" borderId="2" xfId="0" applyNumberFormat="1" applyFont="1" applyFill="1" applyBorder="1" applyAlignment="1" applyProtection="1">
      <alignment horizontal="center" vertical="center" wrapText="1"/>
      <protection locked="0"/>
    </xf>
    <xf numFmtId="183" fontId="114" fillId="0" borderId="2" xfId="0" applyNumberFormat="1" applyFont="1" applyFill="1" applyBorder="1" applyAlignment="1" applyProtection="1">
      <alignment horizontal="center" vertical="center"/>
      <protection locked="0"/>
    </xf>
    <xf numFmtId="58" fontId="89" fillId="0" borderId="14" xfId="0" applyNumberFormat="1" applyFont="1" applyFill="1" applyBorder="1" applyAlignment="1" applyProtection="1">
      <alignment horizontal="center" vertical="center" wrapText="1"/>
      <protection locked="0"/>
    </xf>
    <xf numFmtId="0" fontId="89" fillId="0" borderId="14" xfId="0" applyFont="1" applyFill="1" applyBorder="1" applyAlignment="1" applyProtection="1">
      <alignment horizontal="center" vertical="center"/>
      <protection locked="0"/>
    </xf>
    <xf numFmtId="58" fontId="89" fillId="0" borderId="14" xfId="0" applyNumberFormat="1" applyFont="1" applyFill="1" applyBorder="1" applyAlignment="1" applyProtection="1">
      <alignment horizontal="center" vertical="center"/>
      <protection locked="0"/>
    </xf>
    <xf numFmtId="188" fontId="115" fillId="0" borderId="14" xfId="0" applyNumberFormat="1" applyFont="1" applyFill="1" applyBorder="1" applyAlignment="1" applyProtection="1">
      <alignment horizontal="center" vertical="center" wrapText="1" shrinkToFit="1"/>
      <protection locked="0"/>
    </xf>
    <xf numFmtId="188" fontId="114" fillId="0" borderId="14" xfId="0" applyNumberFormat="1" applyFont="1" applyFill="1" applyBorder="1" applyAlignment="1" applyProtection="1">
      <alignment horizontal="center" vertical="center" wrapText="1" shrinkToFit="1"/>
      <protection locked="0"/>
    </xf>
    <xf numFmtId="188" fontId="114" fillId="0" borderId="14" xfId="0" applyNumberFormat="1" applyFont="1" applyFill="1" applyBorder="1" applyAlignment="1" applyProtection="1">
      <alignment horizontal="center" vertical="center" wrapText="1"/>
      <protection locked="0"/>
    </xf>
    <xf numFmtId="189" fontId="136" fillId="0" borderId="0" xfId="0" applyNumberFormat="1" applyFont="1" applyFill="1" applyAlignment="1" applyProtection="1">
      <alignment vertical="center"/>
      <protection locked="0"/>
    </xf>
    <xf numFmtId="0" fontId="136" fillId="0" borderId="0" xfId="0" applyNumberFormat="1" applyFont="1" applyFill="1" applyAlignment="1" applyProtection="1">
      <alignment vertical="center"/>
      <protection locked="0"/>
    </xf>
    <xf numFmtId="189" fontId="136" fillId="0" borderId="0" xfId="0" applyNumberFormat="1" applyFont="1" applyFill="1" applyAlignment="1" applyProtection="1">
      <alignment horizontal="center" vertical="center"/>
      <protection locked="0"/>
    </xf>
    <xf numFmtId="181" fontId="136" fillId="0" borderId="0" xfId="0" applyNumberFormat="1" applyFont="1" applyFill="1" applyAlignment="1" applyProtection="1">
      <alignment horizontal="center" vertical="center"/>
      <protection locked="0"/>
    </xf>
    <xf numFmtId="0" fontId="136" fillId="0" borderId="0" xfId="0" applyNumberFormat="1" applyFont="1" applyFill="1" applyAlignment="1" applyProtection="1">
      <alignment horizontal="center" vertical="center"/>
      <protection locked="0"/>
    </xf>
    <xf numFmtId="189" fontId="139" fillId="0" borderId="2" xfId="0" applyNumberFormat="1" applyFont="1" applyFill="1" applyBorder="1" applyAlignment="1" applyProtection="1">
      <alignment horizontal="center" vertical="center" wrapText="1" shrinkToFit="1"/>
    </xf>
    <xf numFmtId="181" fontId="139" fillId="0" borderId="2" xfId="0" applyNumberFormat="1" applyFont="1" applyFill="1" applyBorder="1" applyAlignment="1" applyProtection="1">
      <alignment horizontal="center" vertical="center" wrapText="1" shrinkToFit="1"/>
    </xf>
    <xf numFmtId="187" fontId="140" fillId="0" borderId="2" xfId="0" applyNumberFormat="1" applyFont="1" applyFill="1" applyBorder="1" applyAlignment="1" applyProtection="1">
      <alignment horizontal="center" vertical="center" wrapText="1" shrinkToFit="1"/>
    </xf>
    <xf numFmtId="0" fontId="136" fillId="0" borderId="2" xfId="0" applyNumberFormat="1" applyFont="1" applyFill="1" applyBorder="1" applyAlignment="1" applyProtection="1">
      <alignment horizontal="center" vertical="center" wrapText="1" shrinkToFit="1"/>
    </xf>
    <xf numFmtId="189" fontId="130" fillId="0" borderId="14" xfId="0" applyNumberFormat="1" applyFont="1" applyFill="1" applyBorder="1" applyAlignment="1" applyProtection="1">
      <alignment horizontal="center" vertical="center" wrapText="1" shrinkToFit="1"/>
    </xf>
    <xf numFmtId="181" fontId="130" fillId="0" borderId="14" xfId="0" applyNumberFormat="1" applyFont="1" applyFill="1" applyBorder="1" applyAlignment="1" applyProtection="1">
      <alignment horizontal="center" vertical="center" wrapText="1" shrinkToFit="1"/>
    </xf>
    <xf numFmtId="0" fontId="130" fillId="0" borderId="2" xfId="0" applyNumberFormat="1" applyFont="1" applyFill="1" applyBorder="1" applyAlignment="1" applyProtection="1">
      <alignment horizontal="center" vertical="center" wrapText="1" shrinkToFit="1"/>
    </xf>
    <xf numFmtId="0" fontId="89" fillId="0" borderId="2" xfId="0" applyFont="1" applyFill="1" applyBorder="1" applyAlignment="1" applyProtection="1">
      <alignment horizontal="center" vertical="center" wrapText="1" shrinkToFit="1"/>
    </xf>
    <xf numFmtId="184" fontId="130" fillId="0" borderId="2" xfId="0" applyNumberFormat="1" applyFont="1" applyFill="1" applyBorder="1" applyAlignment="1" applyProtection="1">
      <alignment horizontal="center" vertical="center"/>
    </xf>
    <xf numFmtId="181" fontId="130" fillId="0" borderId="2" xfId="0" applyNumberFormat="1" applyFont="1" applyFill="1" applyBorder="1" applyAlignment="1" applyProtection="1">
      <alignment horizontal="center" vertical="center"/>
    </xf>
    <xf numFmtId="0" fontId="141" fillId="0" borderId="2" xfId="0" applyNumberFormat="1" applyFont="1" applyFill="1" applyBorder="1" applyAlignment="1" applyProtection="1">
      <alignment horizontal="center" vertical="center" wrapText="1" shrinkToFit="1"/>
    </xf>
    <xf numFmtId="0" fontId="130" fillId="14" borderId="2" xfId="0" applyNumberFormat="1" applyFont="1" applyFill="1" applyBorder="1" applyAlignment="1" applyProtection="1">
      <alignment horizontal="center" vertical="center" wrapText="1" shrinkToFit="1"/>
    </xf>
    <xf numFmtId="182" fontId="138" fillId="0" borderId="0" xfId="0" applyNumberFormat="1" applyFont="1" applyFill="1" applyAlignment="1" applyProtection="1">
      <alignment vertical="center"/>
      <protection locked="0"/>
    </xf>
    <xf numFmtId="182" fontId="138" fillId="0" borderId="24" xfId="0" applyNumberFormat="1" applyFont="1" applyFill="1" applyBorder="1" applyAlignment="1" applyProtection="1">
      <alignment horizontal="center" vertical="center"/>
      <protection locked="0"/>
    </xf>
    <xf numFmtId="182" fontId="138" fillId="0" borderId="25" xfId="0" applyNumberFormat="1" applyFont="1" applyFill="1" applyBorder="1" applyAlignment="1" applyProtection="1">
      <alignment horizontal="center" vertical="center"/>
      <protection locked="0"/>
    </xf>
    <xf numFmtId="0" fontId="139" fillId="0" borderId="3" xfId="0" applyFont="1" applyFill="1" applyBorder="1" applyAlignment="1" applyProtection="1">
      <alignment horizontal="center" vertical="center" wrapText="1" shrinkToFit="1"/>
    </xf>
    <xf numFmtId="182" fontId="136" fillId="0" borderId="31" xfId="0" applyNumberFormat="1" applyFont="1" applyFill="1" applyBorder="1" applyAlignment="1" applyProtection="1">
      <alignment horizontal="center" vertical="center" wrapText="1" shrinkToFit="1"/>
    </xf>
    <xf numFmtId="182" fontId="142" fillId="0" borderId="14" xfId="0" applyNumberFormat="1" applyFont="1" applyFill="1" applyBorder="1" applyAlignment="1" applyProtection="1">
      <alignment horizontal="center" vertical="center" wrapText="1" shrinkToFit="1"/>
    </xf>
    <xf numFmtId="182" fontId="136" fillId="0" borderId="14" xfId="0" applyNumberFormat="1" applyFont="1" applyFill="1" applyBorder="1" applyAlignment="1" applyProtection="1">
      <alignment horizontal="center" vertical="center" wrapText="1" shrinkToFit="1"/>
    </xf>
    <xf numFmtId="0" fontId="130" fillId="0" borderId="3" xfId="0" applyFont="1" applyFill="1" applyBorder="1" applyAlignment="1" applyProtection="1">
      <alignment horizontal="center" vertical="center" wrapText="1" shrinkToFit="1"/>
    </xf>
    <xf numFmtId="182" fontId="130" fillId="0" borderId="4" xfId="0" applyNumberFormat="1" applyFont="1" applyFill="1" applyBorder="1" applyAlignment="1" applyProtection="1">
      <alignment horizontal="center" vertical="center" wrapText="1" shrinkToFit="1"/>
    </xf>
    <xf numFmtId="182" fontId="130" fillId="0" borderId="2" xfId="0" applyNumberFormat="1" applyFont="1" applyFill="1" applyBorder="1" applyAlignment="1" applyProtection="1">
      <alignment horizontal="center" vertical="center" wrapText="1" shrinkToFit="1"/>
    </xf>
    <xf numFmtId="182" fontId="137" fillId="0" borderId="0" xfId="0" applyNumberFormat="1" applyFont="1" applyFill="1" applyAlignment="1" applyProtection="1">
      <alignment vertical="center"/>
      <protection locked="0"/>
    </xf>
    <xf numFmtId="182" fontId="137" fillId="0" borderId="25" xfId="0" applyNumberFormat="1" applyFont="1" applyFill="1" applyBorder="1" applyAlignment="1" applyProtection="1">
      <alignment horizontal="center" vertical="center"/>
      <protection locked="0"/>
    </xf>
    <xf numFmtId="182" fontId="137" fillId="0" borderId="26" xfId="0" applyNumberFormat="1" applyFont="1" applyFill="1" applyBorder="1" applyAlignment="1" applyProtection="1">
      <alignment horizontal="center" vertical="center"/>
      <protection locked="0"/>
    </xf>
    <xf numFmtId="0" fontId="143" fillId="0" borderId="24" xfId="157" applyFont="1" applyFill="1" applyBorder="1" applyAlignment="1" applyProtection="1">
      <alignment horizontal="center" vertical="center" wrapText="1"/>
      <protection locked="0"/>
    </xf>
    <xf numFmtId="0" fontId="143" fillId="0" borderId="27" xfId="157" applyFont="1" applyFill="1" applyBorder="1" applyAlignment="1" applyProtection="1">
      <alignment horizontal="center" vertical="center" wrapText="1"/>
      <protection locked="0"/>
    </xf>
    <xf numFmtId="0" fontId="129" fillId="0" borderId="28" xfId="0" applyFont="1" applyFill="1" applyBorder="1" applyAlignment="1" applyProtection="1">
      <alignment horizontal="center" vertical="center"/>
      <protection locked="0"/>
    </xf>
    <xf numFmtId="0" fontId="129" fillId="0" borderId="27" xfId="0" applyFont="1" applyFill="1" applyBorder="1" applyAlignment="1" applyProtection="1">
      <alignment horizontal="center" vertical="center"/>
      <protection locked="0"/>
    </xf>
    <xf numFmtId="0" fontId="129" fillId="0" borderId="29" xfId="0" applyFont="1" applyFill="1" applyBorder="1" applyAlignment="1" applyProtection="1">
      <alignment horizontal="center" vertical="center"/>
      <protection locked="0"/>
    </xf>
    <xf numFmtId="182" fontId="144" fillId="0" borderId="14" xfId="0" applyNumberFormat="1" applyFont="1" applyFill="1" applyBorder="1" applyAlignment="1" applyProtection="1">
      <alignment horizontal="center" vertical="center" wrapText="1"/>
    </xf>
    <xf numFmtId="182" fontId="144" fillId="0" borderId="30" xfId="0" applyNumberFormat="1" applyFont="1" applyFill="1" applyBorder="1" applyAlignment="1" applyProtection="1">
      <alignment horizontal="center" vertical="center" wrapText="1"/>
    </xf>
    <xf numFmtId="0" fontId="132" fillId="0" borderId="31" xfId="157" applyFont="1" applyFill="1" applyBorder="1" applyAlignment="1" applyProtection="1">
      <alignment horizontal="center" vertical="center" wrapText="1"/>
    </xf>
    <xf numFmtId="0" fontId="132" fillId="0" borderId="15" xfId="157" applyFont="1" applyFill="1" applyBorder="1" applyAlignment="1" applyProtection="1">
      <alignment horizontal="center" vertical="center" wrapText="1"/>
    </xf>
    <xf numFmtId="182" fontId="129" fillId="0" borderId="31" xfId="0" applyNumberFormat="1" applyFont="1" applyFill="1" applyBorder="1" applyAlignment="1" applyProtection="1">
      <alignment horizontal="center" vertical="center" wrapText="1" shrinkToFit="1"/>
    </xf>
    <xf numFmtId="182" fontId="129" fillId="0" borderId="30" xfId="0" applyNumberFormat="1" applyFont="1" applyFill="1" applyBorder="1" applyAlignment="1" applyProtection="1">
      <alignment horizontal="center" vertical="center" wrapText="1" shrinkToFit="1"/>
    </xf>
    <xf numFmtId="182" fontId="130" fillId="0" borderId="2" xfId="0" applyNumberFormat="1" applyFont="1" applyFill="1" applyBorder="1" applyAlignment="1" applyProtection="1">
      <alignment horizontal="center" vertical="center" wrapText="1"/>
    </xf>
    <xf numFmtId="182" fontId="130" fillId="0" borderId="5" xfId="0" applyNumberFormat="1" applyFont="1" applyFill="1" applyBorder="1" applyAlignment="1" applyProtection="1">
      <alignment horizontal="center" vertical="center" wrapText="1"/>
    </xf>
    <xf numFmtId="0" fontId="130" fillId="0" borderId="4" xfId="0" applyFont="1" applyFill="1" applyBorder="1" applyAlignment="1" applyProtection="1">
      <alignment horizontal="center" vertical="center"/>
    </xf>
    <xf numFmtId="0" fontId="130" fillId="0" borderId="6" xfId="0" applyFont="1" applyFill="1" applyBorder="1" applyAlignment="1" applyProtection="1">
      <alignment horizontal="center" vertical="center"/>
    </xf>
    <xf numFmtId="0" fontId="130" fillId="0" borderId="5" xfId="0" applyFont="1" applyFill="1" applyBorder="1" applyAlignment="1" applyProtection="1">
      <alignment horizontal="center" vertical="center"/>
    </xf>
    <xf numFmtId="0" fontId="129" fillId="0" borderId="0" xfId="0" applyFont="1" applyFill="1" applyBorder="1" applyAlignment="1" applyProtection="1">
      <alignment horizontal="center" vertical="center"/>
      <protection locked="0"/>
    </xf>
    <xf numFmtId="0" fontId="130" fillId="0" borderId="0" xfId="0" applyFont="1" applyFill="1" applyBorder="1" applyAlignment="1" applyProtection="1">
      <alignment horizontal="center" vertical="center"/>
      <protection locked="0"/>
    </xf>
    <xf numFmtId="0" fontId="129" fillId="0" borderId="0" xfId="0" applyFont="1" applyFill="1" applyBorder="1" applyProtection="1">
      <alignment vertical="center"/>
      <protection locked="0"/>
    </xf>
    <xf numFmtId="0" fontId="130" fillId="0" borderId="0" xfId="0" applyFont="1" applyFill="1" applyBorder="1" applyProtection="1">
      <alignment vertical="center"/>
      <protection locked="0"/>
    </xf>
    <xf numFmtId="0" fontId="89" fillId="0" borderId="0" xfId="0" applyFont="1" applyFill="1" applyProtection="1">
      <alignment vertical="center"/>
      <protection locked="0"/>
    </xf>
    <xf numFmtId="0" fontId="89" fillId="14" borderId="14" xfId="0" applyFont="1" applyFill="1" applyBorder="1" applyAlignment="1" applyProtection="1">
      <alignment horizontal="center" vertical="center" wrapText="1" shrinkToFit="1"/>
      <protection locked="0"/>
    </xf>
    <xf numFmtId="0" fontId="130" fillId="14" borderId="14" xfId="0" applyFont="1" applyFill="1" applyBorder="1" applyAlignment="1" applyProtection="1">
      <alignment horizontal="center" vertical="center" wrapText="1" shrinkToFit="1"/>
      <protection locked="0"/>
    </xf>
    <xf numFmtId="0" fontId="130" fillId="14" borderId="2" xfId="0" applyFont="1" applyFill="1" applyBorder="1" applyAlignment="1" applyProtection="1">
      <alignment horizontal="center" vertical="center" wrapText="1" shrinkToFit="1"/>
      <protection locked="0"/>
    </xf>
    <xf numFmtId="190" fontId="131" fillId="0" borderId="14" xfId="0" applyNumberFormat="1" applyFont="1" applyFill="1" applyBorder="1" applyAlignment="1" applyProtection="1">
      <alignment horizontal="center" vertical="center"/>
    </xf>
    <xf numFmtId="0" fontId="116" fillId="0" borderId="14" xfId="0" applyFont="1" applyFill="1" applyBorder="1" applyAlignment="1" applyProtection="1">
      <alignment horizontal="center" vertical="center" wrapText="1" shrinkToFit="1"/>
      <protection locked="0"/>
    </xf>
    <xf numFmtId="0" fontId="116" fillId="0" borderId="12" xfId="0" applyFont="1" applyFill="1" applyBorder="1" applyAlignment="1" applyProtection="1">
      <alignment horizontal="center" vertical="center" wrapText="1" shrinkToFit="1"/>
      <protection locked="0"/>
    </xf>
    <xf numFmtId="0" fontId="131" fillId="14" borderId="14" xfId="0" applyFont="1" applyFill="1" applyBorder="1" applyAlignment="1" applyProtection="1">
      <alignment horizontal="center" vertical="center" wrapText="1" shrinkToFit="1"/>
      <protection locked="0"/>
    </xf>
    <xf numFmtId="0" fontId="131" fillId="0" borderId="14" xfId="0" applyFont="1" applyFill="1" applyBorder="1" applyAlignment="1" applyProtection="1">
      <alignment horizontal="center" vertical="center" wrapText="1" shrinkToFit="1"/>
      <protection locked="0"/>
    </xf>
    <xf numFmtId="0" fontId="131" fillId="0" borderId="2" xfId="0" applyFont="1" applyFill="1" applyBorder="1" applyAlignment="1" applyProtection="1">
      <alignment horizontal="center" vertical="center" wrapText="1" shrinkToFit="1"/>
      <protection locked="0"/>
    </xf>
    <xf numFmtId="190" fontId="129" fillId="0" borderId="14" xfId="0" applyNumberFormat="1" applyFont="1" applyFill="1" applyBorder="1" applyAlignment="1" applyProtection="1">
      <alignment horizontal="center" vertical="center"/>
    </xf>
    <xf numFmtId="0" fontId="132" fillId="0" borderId="14" xfId="0" applyFont="1" applyFill="1" applyBorder="1" applyAlignment="1" applyProtection="1">
      <alignment horizontal="center" vertical="center" wrapText="1" shrinkToFit="1"/>
      <protection locked="0"/>
    </xf>
    <xf numFmtId="0" fontId="132" fillId="0" borderId="12" xfId="0" applyFont="1" applyFill="1" applyBorder="1" applyAlignment="1" applyProtection="1">
      <alignment horizontal="center" vertical="center" wrapText="1" shrinkToFit="1"/>
      <protection locked="0"/>
    </xf>
    <xf numFmtId="0" fontId="129" fillId="0" borderId="14" xfId="0" applyFont="1" applyFill="1" applyBorder="1" applyAlignment="1" applyProtection="1">
      <alignment horizontal="center" vertical="center" wrapText="1" shrinkToFit="1"/>
      <protection locked="0"/>
    </xf>
    <xf numFmtId="0" fontId="129" fillId="0" borderId="2" xfId="0" applyFont="1" applyFill="1" applyBorder="1" applyAlignment="1" applyProtection="1">
      <alignment horizontal="center" vertical="center" wrapText="1" shrinkToFit="1"/>
      <protection locked="0"/>
    </xf>
    <xf numFmtId="0" fontId="132" fillId="0" borderId="2" xfId="0" applyFont="1" applyFill="1" applyBorder="1" applyAlignment="1" applyProtection="1">
      <alignment horizontal="center" vertical="center" wrapText="1" shrinkToFit="1"/>
      <protection locked="0"/>
    </xf>
    <xf numFmtId="190" fontId="129" fillId="0" borderId="2" xfId="0" applyNumberFormat="1" applyFont="1" applyFill="1" applyBorder="1" applyAlignment="1" applyProtection="1">
      <alignment horizontal="center" vertical="center"/>
    </xf>
    <xf numFmtId="0" fontId="132" fillId="0" borderId="3" xfId="0" applyFont="1" applyFill="1" applyBorder="1" applyAlignment="1" applyProtection="1">
      <alignment horizontal="center" vertical="center" wrapText="1" shrinkToFit="1"/>
      <protection locked="0"/>
    </xf>
    <xf numFmtId="0" fontId="129" fillId="0" borderId="7" xfId="0" applyFont="1" applyFill="1" applyBorder="1" applyAlignment="1" applyProtection="1">
      <alignment horizontal="center" vertical="center" wrapText="1" shrinkToFit="1"/>
      <protection locked="0"/>
    </xf>
    <xf numFmtId="183" fontId="129" fillId="0" borderId="0" xfId="0" applyNumberFormat="1" applyFont="1" applyFill="1" applyAlignment="1" applyProtection="1">
      <alignment horizontal="center" vertical="center"/>
    </xf>
    <xf numFmtId="183" fontId="129" fillId="0" borderId="0" xfId="0" applyNumberFormat="1" applyFont="1" applyFill="1" applyAlignment="1" applyProtection="1">
      <alignment horizontal="center" vertical="center"/>
      <protection locked="0"/>
    </xf>
    <xf numFmtId="190" fontId="135" fillId="0" borderId="2" xfId="0" applyNumberFormat="1" applyFont="1" applyFill="1" applyBorder="1" applyAlignment="1" applyProtection="1">
      <alignment horizontal="center" vertical="center"/>
    </xf>
    <xf numFmtId="0" fontId="135" fillId="0" borderId="2" xfId="0" applyFont="1" applyFill="1" applyBorder="1" applyAlignment="1" applyProtection="1">
      <alignment horizontal="center" vertical="center" wrapText="1" shrinkToFit="1"/>
      <protection locked="0"/>
    </xf>
    <xf numFmtId="0" fontId="143" fillId="0" borderId="2" xfId="0" applyFont="1" applyFill="1" applyBorder="1" applyAlignment="1" applyProtection="1">
      <alignment horizontal="center" vertical="center" wrapText="1" shrinkToFit="1"/>
      <protection locked="0"/>
    </xf>
    <xf numFmtId="0" fontId="135" fillId="0" borderId="2" xfId="0" applyFont="1" applyFill="1" applyBorder="1" applyAlignment="1" applyProtection="1">
      <alignment horizontal="center" vertical="center" shrinkToFit="1"/>
      <protection locked="0"/>
    </xf>
    <xf numFmtId="190" fontId="135" fillId="0" borderId="11" xfId="0" applyNumberFormat="1" applyFont="1" applyFill="1" applyBorder="1" applyAlignment="1" applyProtection="1">
      <alignment horizontal="center" vertical="center"/>
    </xf>
    <xf numFmtId="0" fontId="135" fillId="0" borderId="14" xfId="0" applyFont="1" applyFill="1" applyBorder="1" applyAlignment="1" applyProtection="1">
      <alignment horizontal="center" vertical="center" wrapText="1" shrinkToFit="1"/>
      <protection locked="0"/>
    </xf>
    <xf numFmtId="0" fontId="143" fillId="0" borderId="14" xfId="0" applyFont="1" applyFill="1" applyBorder="1" applyAlignment="1" applyProtection="1">
      <alignment horizontal="center" vertical="center" wrapText="1" shrinkToFit="1"/>
      <protection locked="0"/>
    </xf>
    <xf numFmtId="0" fontId="135" fillId="0" borderId="14" xfId="0" applyFont="1" applyFill="1" applyBorder="1" applyAlignment="1" applyProtection="1">
      <alignment horizontal="center" vertical="center" shrinkToFit="1"/>
      <protection locked="0"/>
    </xf>
    <xf numFmtId="0" fontId="143" fillId="0" borderId="12" xfId="0" applyFont="1" applyFill="1" applyBorder="1" applyAlignment="1" applyProtection="1">
      <alignment horizontal="center" vertical="center" wrapText="1" shrinkToFit="1"/>
      <protection locked="0"/>
    </xf>
    <xf numFmtId="186" fontId="143" fillId="0" borderId="14" xfId="0" applyNumberFormat="1" applyFont="1" applyFill="1" applyBorder="1" applyAlignment="1" applyProtection="1">
      <alignment horizontal="center" vertical="center" shrinkToFit="1"/>
    </xf>
    <xf numFmtId="0" fontId="143" fillId="0" borderId="14" xfId="0" applyNumberFormat="1" applyFont="1" applyFill="1" applyBorder="1" applyAlignment="1" applyProtection="1">
      <alignment horizontal="center" vertical="center" wrapText="1"/>
      <protection locked="0"/>
    </xf>
    <xf numFmtId="176" fontId="143" fillId="0" borderId="14" xfId="0" applyNumberFormat="1" applyFont="1" applyFill="1" applyBorder="1" applyAlignment="1" applyProtection="1">
      <alignment horizontal="center" vertical="center" wrapText="1"/>
      <protection locked="0"/>
    </xf>
    <xf numFmtId="0" fontId="135" fillId="0" borderId="14" xfId="0" applyNumberFormat="1" applyFont="1" applyFill="1" applyBorder="1" applyAlignment="1" applyProtection="1">
      <alignment horizontal="center" vertical="center" shrinkToFit="1"/>
      <protection locked="0"/>
    </xf>
    <xf numFmtId="0" fontId="135" fillId="0" borderId="14" xfId="0" applyNumberFormat="1" applyFont="1" applyFill="1" applyBorder="1" applyAlignment="1" applyProtection="1">
      <alignment horizontal="center" vertical="center" wrapText="1"/>
      <protection locked="0"/>
    </xf>
    <xf numFmtId="0" fontId="145" fillId="0" borderId="2" xfId="0" applyFont="1" applyFill="1" applyBorder="1" applyAlignment="1" applyProtection="1">
      <alignment horizontal="center" vertical="center" wrapText="1" shrinkToFit="1"/>
      <protection locked="0"/>
    </xf>
    <xf numFmtId="0" fontId="135" fillId="0" borderId="2" xfId="0" applyNumberFormat="1" applyFont="1" applyFill="1" applyBorder="1" applyAlignment="1" applyProtection="1">
      <alignment horizontal="center" vertical="center" shrinkToFit="1"/>
      <protection locked="0"/>
    </xf>
    <xf numFmtId="190" fontId="135" fillId="0" borderId="14" xfId="0" applyNumberFormat="1" applyFont="1" applyFill="1" applyBorder="1" applyAlignment="1" applyProtection="1">
      <alignment horizontal="center" vertical="center"/>
    </xf>
    <xf numFmtId="0" fontId="143" fillId="0" borderId="16" xfId="0" applyFont="1" applyFill="1" applyBorder="1" applyAlignment="1" applyProtection="1">
      <alignment horizontal="center" vertical="center" wrapText="1" shrinkToFit="1"/>
      <protection locked="0"/>
    </xf>
    <xf numFmtId="0" fontId="135" fillId="0" borderId="14" xfId="0" applyFont="1" applyFill="1" applyBorder="1" applyAlignment="1" applyProtection="1">
      <alignment horizontal="center" vertical="center"/>
      <protection locked="0"/>
    </xf>
    <xf numFmtId="0" fontId="143" fillId="0" borderId="2" xfId="0" applyFont="1" applyFill="1" applyBorder="1" applyAlignment="1" applyProtection="1">
      <alignment horizontal="center" vertical="center"/>
      <protection locked="0"/>
    </xf>
    <xf numFmtId="0" fontId="89" fillId="14" borderId="2" xfId="0" applyFont="1" applyFill="1" applyBorder="1" applyAlignment="1" applyProtection="1">
      <alignment horizontal="center" vertical="center" wrapText="1" shrinkToFit="1"/>
      <protection locked="0"/>
    </xf>
    <xf numFmtId="0" fontId="131" fillId="0" borderId="2" xfId="0" applyFont="1" applyFill="1" applyBorder="1" applyAlignment="1" applyProtection="1">
      <alignment horizontal="center" vertical="center"/>
    </xf>
    <xf numFmtId="186" fontId="131" fillId="0" borderId="2" xfId="0" applyNumberFormat="1" applyFont="1" applyFill="1" applyBorder="1" applyAlignment="1" applyProtection="1">
      <alignment horizontal="center" vertical="center" wrapText="1" shrinkToFit="1"/>
      <protection locked="0"/>
    </xf>
    <xf numFmtId="186" fontId="116" fillId="0" borderId="2" xfId="0" applyNumberFormat="1" applyFont="1" applyFill="1" applyBorder="1" applyAlignment="1" applyProtection="1">
      <alignment horizontal="center" vertical="center" wrapText="1" shrinkToFit="1"/>
    </xf>
    <xf numFmtId="188" fontId="116" fillId="0" borderId="2" xfId="0" applyNumberFormat="1" applyFont="1" applyFill="1" applyBorder="1" applyAlignment="1" applyProtection="1">
      <alignment horizontal="center" vertical="center" wrapText="1" shrinkToFit="1"/>
      <protection locked="0"/>
    </xf>
    <xf numFmtId="0" fontId="129" fillId="0" borderId="2" xfId="0" applyFont="1" applyFill="1" applyBorder="1" applyAlignment="1" applyProtection="1">
      <alignment horizontal="center" vertical="center"/>
    </xf>
    <xf numFmtId="186" fontId="129" fillId="0" borderId="2" xfId="0" applyNumberFormat="1" applyFont="1" applyFill="1" applyBorder="1" applyAlignment="1" applyProtection="1">
      <alignment horizontal="center" vertical="center" wrapText="1" shrinkToFit="1"/>
      <protection locked="0"/>
    </xf>
    <xf numFmtId="186" fontId="132" fillId="0" borderId="2" xfId="0" applyNumberFormat="1" applyFont="1" applyFill="1" applyBorder="1" applyAlignment="1" applyProtection="1">
      <alignment horizontal="center" vertical="center" wrapText="1" shrinkToFit="1"/>
    </xf>
    <xf numFmtId="188" fontId="132" fillId="0" borderId="2" xfId="0" applyNumberFormat="1" applyFont="1" applyFill="1" applyBorder="1" applyAlignment="1" applyProtection="1">
      <alignment horizontal="center" vertical="center" wrapText="1" shrinkToFit="1"/>
      <protection locked="0"/>
    </xf>
    <xf numFmtId="186" fontId="129" fillId="7" borderId="2" xfId="0" applyNumberFormat="1" applyFont="1" applyFill="1" applyBorder="1" applyAlignment="1" applyProtection="1">
      <alignment horizontal="center" vertical="center" wrapText="1" shrinkToFit="1"/>
      <protection locked="0"/>
    </xf>
    <xf numFmtId="186" fontId="132" fillId="7" borderId="2" xfId="0" applyNumberFormat="1" applyFont="1" applyFill="1" applyBorder="1" applyAlignment="1" applyProtection="1">
      <alignment horizontal="center" vertical="center" wrapText="1" shrinkToFit="1"/>
    </xf>
    <xf numFmtId="188" fontId="75" fillId="7" borderId="2" xfId="0" applyNumberFormat="1" applyFont="1" applyFill="1" applyBorder="1" applyAlignment="1" applyProtection="1">
      <alignment horizontal="center" vertical="center" wrapText="1" shrinkToFit="1"/>
      <protection locked="0"/>
    </xf>
    <xf numFmtId="196" fontId="129" fillId="0" borderId="2" xfId="0" applyNumberFormat="1" applyFont="1" applyFill="1" applyBorder="1" applyAlignment="1" applyProtection="1">
      <alignment horizontal="center" vertical="center"/>
      <protection locked="0"/>
    </xf>
    <xf numFmtId="186" fontId="132" fillId="0" borderId="2" xfId="0" applyNumberFormat="1" applyFont="1" applyFill="1" applyBorder="1" applyAlignment="1" applyProtection="1">
      <alignment horizontal="center" vertical="center" wrapText="1" shrinkToFit="1"/>
      <protection locked="0"/>
    </xf>
    <xf numFmtId="0" fontId="135" fillId="0" borderId="2" xfId="0" applyFont="1" applyFill="1" applyBorder="1" applyAlignment="1" applyProtection="1">
      <alignment horizontal="center" vertical="center"/>
      <protection locked="0"/>
    </xf>
    <xf numFmtId="186" fontId="135" fillId="0" borderId="3" xfId="0" applyNumberFormat="1" applyFont="1" applyFill="1" applyBorder="1" applyAlignment="1" applyProtection="1">
      <alignment horizontal="center" vertical="center" wrapText="1" shrinkToFit="1"/>
      <protection locked="0"/>
    </xf>
    <xf numFmtId="186" fontId="143" fillId="0" borderId="2" xfId="0" applyNumberFormat="1" applyFont="1" applyFill="1" applyBorder="1" applyAlignment="1" applyProtection="1">
      <alignment horizontal="center" vertical="center" wrapText="1" shrinkToFit="1"/>
      <protection locked="0"/>
    </xf>
    <xf numFmtId="188" fontId="135" fillId="0" borderId="7" xfId="0" applyNumberFormat="1" applyFont="1" applyFill="1" applyBorder="1" applyAlignment="1" applyProtection="1">
      <alignment horizontal="center" vertical="center" wrapText="1" shrinkToFit="1"/>
      <protection locked="0"/>
    </xf>
    <xf numFmtId="0" fontId="135" fillId="0" borderId="15" xfId="0" applyFont="1" applyFill="1" applyBorder="1" applyAlignment="1" applyProtection="1">
      <alignment horizontal="center" vertical="center" wrapText="1" shrinkToFit="1"/>
      <protection locked="0"/>
    </xf>
    <xf numFmtId="186" fontId="135" fillId="0" borderId="15" xfId="0" applyNumberFormat="1" applyFont="1" applyFill="1" applyBorder="1" applyAlignment="1" applyProtection="1">
      <alignment horizontal="center" vertical="center" wrapText="1" shrinkToFit="1"/>
      <protection locked="0"/>
    </xf>
    <xf numFmtId="188" fontId="135" fillId="0" borderId="11" xfId="0" applyNumberFormat="1" applyFont="1" applyFill="1" applyBorder="1" applyAlignment="1" applyProtection="1">
      <alignment horizontal="center" vertical="center" wrapText="1" shrinkToFit="1"/>
      <protection locked="0"/>
    </xf>
    <xf numFmtId="186" fontId="135" fillId="0" borderId="2" xfId="0" applyNumberFormat="1" applyFont="1" applyFill="1" applyBorder="1" applyAlignment="1" applyProtection="1">
      <alignment horizontal="center" vertical="center" wrapText="1" shrinkToFit="1"/>
      <protection locked="0"/>
    </xf>
    <xf numFmtId="188" fontId="143" fillId="0" borderId="2" xfId="0" applyNumberFormat="1" applyFont="1" applyFill="1" applyBorder="1" applyAlignment="1" applyProtection="1">
      <alignment horizontal="center" vertical="center" wrapText="1" shrinkToFit="1"/>
      <protection locked="0"/>
    </xf>
    <xf numFmtId="196" fontId="135" fillId="0" borderId="2" xfId="0" applyNumberFormat="1" applyFont="1" applyFill="1" applyBorder="1" applyAlignment="1" applyProtection="1">
      <alignment horizontal="center" vertical="center"/>
      <protection locked="0"/>
    </xf>
    <xf numFmtId="188" fontId="123" fillId="0" borderId="14" xfId="0" applyNumberFormat="1" applyFont="1" applyFill="1" applyBorder="1" applyAlignment="1" applyProtection="1">
      <alignment horizontal="center" vertical="center" wrapText="1" shrinkToFit="1"/>
      <protection locked="0"/>
    </xf>
    <xf numFmtId="188" fontId="121" fillId="0" borderId="14" xfId="0" applyNumberFormat="1" applyFont="1" applyFill="1" applyBorder="1" applyAlignment="1" applyProtection="1">
      <alignment horizontal="center" vertical="center" wrapText="1" shrinkToFit="1"/>
      <protection locked="0"/>
    </xf>
    <xf numFmtId="188" fontId="121" fillId="0" borderId="14" xfId="0" applyNumberFormat="1" applyFont="1" applyFill="1" applyBorder="1" applyAlignment="1" applyProtection="1">
      <alignment horizontal="center" vertical="center" wrapText="1"/>
      <protection locked="0"/>
    </xf>
    <xf numFmtId="0" fontId="131" fillId="0" borderId="2" xfId="0" applyFont="1" applyFill="1" applyBorder="1" applyAlignment="1" applyProtection="1">
      <alignment horizontal="center" vertical="center"/>
      <protection locked="0"/>
    </xf>
    <xf numFmtId="0" fontId="131" fillId="0" borderId="2" xfId="0" applyNumberFormat="1" applyFont="1" applyFill="1" applyBorder="1" applyAlignment="1" applyProtection="1">
      <alignment horizontal="center" vertical="center" wrapText="1"/>
    </xf>
    <xf numFmtId="0" fontId="131" fillId="0" borderId="2" xfId="0" applyFont="1" applyFill="1" applyBorder="1" applyAlignment="1" applyProtection="1">
      <alignment horizontal="center" vertical="center" wrapText="1" shrinkToFit="1"/>
    </xf>
    <xf numFmtId="188" fontId="125" fillId="0" borderId="14" xfId="0" applyNumberFormat="1" applyFont="1" applyFill="1" applyBorder="1" applyAlignment="1" applyProtection="1">
      <alignment horizontal="center" vertical="center" wrapText="1" shrinkToFit="1"/>
      <protection locked="0"/>
    </xf>
    <xf numFmtId="188" fontId="124" fillId="0" borderId="14" xfId="0" applyNumberFormat="1" applyFont="1" applyFill="1" applyBorder="1" applyAlignment="1" applyProtection="1">
      <alignment horizontal="center" vertical="center" wrapText="1" shrinkToFit="1"/>
      <protection locked="0"/>
    </xf>
    <xf numFmtId="188" fontId="124" fillId="0" borderId="14" xfId="0" applyNumberFormat="1" applyFont="1" applyFill="1" applyBorder="1" applyAlignment="1" applyProtection="1">
      <alignment horizontal="center" vertical="center" wrapText="1"/>
      <protection locked="0"/>
    </xf>
    <xf numFmtId="0" fontId="129" fillId="0" borderId="2" xfId="0" applyFont="1" applyFill="1" applyBorder="1" applyAlignment="1" applyProtection="1">
      <alignment horizontal="center" vertical="center"/>
      <protection locked="0"/>
    </xf>
    <xf numFmtId="0" fontId="129" fillId="0" borderId="2" xfId="0" applyNumberFormat="1" applyFont="1" applyFill="1" applyBorder="1" applyAlignment="1" applyProtection="1">
      <alignment horizontal="center" vertical="center" wrapText="1"/>
    </xf>
    <xf numFmtId="0" fontId="129" fillId="0" borderId="2" xfId="0" applyFont="1" applyFill="1" applyBorder="1" applyAlignment="1" applyProtection="1">
      <alignment horizontal="center" vertical="center" wrapText="1" shrinkToFit="1"/>
    </xf>
    <xf numFmtId="182" fontId="132" fillId="0" borderId="2" xfId="0" applyNumberFormat="1" applyFont="1" applyFill="1" applyBorder="1" applyAlignment="1" applyProtection="1">
      <alignment horizontal="center" vertical="center" wrapText="1" shrinkToFit="1"/>
      <protection locked="0"/>
    </xf>
    <xf numFmtId="58" fontId="132" fillId="0" borderId="2" xfId="0" applyNumberFormat="1" applyFont="1" applyFill="1" applyBorder="1" applyAlignment="1" applyProtection="1">
      <alignment horizontal="center" vertical="center" wrapText="1"/>
      <protection locked="0"/>
    </xf>
    <xf numFmtId="0" fontId="132" fillId="0" borderId="2" xfId="0" applyNumberFormat="1" applyFont="1" applyFill="1" applyBorder="1" applyAlignment="1" applyProtection="1">
      <alignment horizontal="center" vertical="center" wrapText="1" shrinkToFit="1"/>
    </xf>
    <xf numFmtId="0" fontId="132" fillId="0" borderId="14" xfId="0" applyNumberFormat="1" applyFont="1" applyFill="1" applyBorder="1" applyAlignment="1" applyProtection="1">
      <alignment horizontal="center" vertical="center" wrapText="1" shrinkToFit="1"/>
    </xf>
    <xf numFmtId="0" fontId="129" fillId="0" borderId="0" xfId="0" applyNumberFormat="1" applyFont="1" applyFill="1" applyAlignment="1" applyProtection="1">
      <alignment horizontal="center" vertical="center" wrapText="1"/>
    </xf>
    <xf numFmtId="188" fontId="135" fillId="0" borderId="2" xfId="0" applyNumberFormat="1" applyFont="1" applyFill="1" applyBorder="1" applyAlignment="1" applyProtection="1">
      <alignment horizontal="center" vertical="center" wrapText="1" shrinkToFit="1"/>
      <protection locked="0"/>
    </xf>
    <xf numFmtId="58" fontId="143" fillId="0" borderId="2" xfId="0" applyNumberFormat="1" applyFont="1" applyFill="1" applyBorder="1" applyAlignment="1" applyProtection="1">
      <alignment horizontal="center" vertical="center" wrapText="1"/>
      <protection locked="0"/>
    </xf>
    <xf numFmtId="0" fontId="143" fillId="0" borderId="2" xfId="0" applyFont="1" applyFill="1" applyBorder="1" applyAlignment="1" applyProtection="1">
      <alignment horizontal="center" vertical="center" wrapText="1"/>
      <protection locked="0"/>
    </xf>
    <xf numFmtId="0" fontId="143" fillId="0" borderId="2" xfId="0" applyNumberFormat="1" applyFont="1" applyFill="1" applyBorder="1" applyAlignment="1" applyProtection="1">
      <alignment horizontal="center" vertical="center" wrapText="1" shrinkToFit="1"/>
      <protection locked="0"/>
    </xf>
    <xf numFmtId="188" fontId="135" fillId="0" borderId="14" xfId="0" applyNumberFormat="1" applyFont="1" applyFill="1" applyBorder="1" applyAlignment="1" applyProtection="1">
      <alignment horizontal="center" vertical="center" wrapText="1" shrinkToFit="1"/>
      <protection locked="0"/>
    </xf>
    <xf numFmtId="188" fontId="143" fillId="0" borderId="10" xfId="0" applyNumberFormat="1" applyFont="1" applyFill="1" applyBorder="1" applyAlignment="1" applyProtection="1">
      <alignment horizontal="center" vertical="center" wrapText="1" shrinkToFit="1"/>
      <protection locked="0"/>
    </xf>
    <xf numFmtId="58" fontId="143" fillId="0" borderId="14" xfId="0" applyNumberFormat="1" applyFont="1" applyFill="1" applyBorder="1" applyAlignment="1" applyProtection="1">
      <alignment horizontal="center" vertical="center" wrapText="1"/>
      <protection locked="0"/>
    </xf>
    <xf numFmtId="188" fontId="143" fillId="0" borderId="14" xfId="0" applyNumberFormat="1" applyFont="1" applyFill="1" applyBorder="1" applyAlignment="1" applyProtection="1">
      <alignment horizontal="center" vertical="center" wrapText="1" shrinkToFit="1"/>
      <protection locked="0"/>
    </xf>
    <xf numFmtId="0" fontId="143" fillId="0" borderId="16" xfId="0" applyNumberFormat="1" applyFont="1" applyFill="1" applyBorder="1" applyAlignment="1" applyProtection="1">
      <alignment horizontal="center" vertical="center" wrapText="1" shrinkToFit="1"/>
      <protection locked="0"/>
    </xf>
    <xf numFmtId="0" fontId="135" fillId="0" borderId="2" xfId="0" applyFont="1" applyFill="1" applyBorder="1" applyAlignment="1" applyProtection="1">
      <alignment horizontal="justify" vertical="center"/>
      <protection locked="0"/>
    </xf>
    <xf numFmtId="0" fontId="143" fillId="0" borderId="14" xfId="0" applyNumberFormat="1" applyFont="1" applyFill="1" applyBorder="1" applyAlignment="1" applyProtection="1">
      <alignment horizontal="center" vertical="center" wrapText="1" shrinkToFit="1"/>
      <protection locked="0"/>
    </xf>
    <xf numFmtId="58" fontId="146" fillId="0" borderId="2" xfId="0" applyNumberFormat="1" applyFont="1" applyFill="1" applyBorder="1" applyAlignment="1" applyProtection="1">
      <alignment horizontal="center" vertical="center" wrapText="1"/>
      <protection locked="0"/>
    </xf>
    <xf numFmtId="189" fontId="131" fillId="0" borderId="14" xfId="0" applyNumberFormat="1" applyFont="1" applyFill="1" applyBorder="1" applyAlignment="1" applyProtection="1">
      <alignment horizontal="center" vertical="center" wrapText="1" shrinkToFit="1"/>
    </xf>
    <xf numFmtId="181" fontId="131" fillId="0" borderId="14" xfId="0" applyNumberFormat="1" applyFont="1" applyFill="1" applyBorder="1" applyAlignment="1" applyProtection="1">
      <alignment horizontal="center" vertical="center" wrapText="1" shrinkToFit="1"/>
    </xf>
    <xf numFmtId="0" fontId="131" fillId="0" borderId="2" xfId="0" applyNumberFormat="1" applyFont="1" applyFill="1" applyBorder="1" applyAlignment="1" applyProtection="1">
      <alignment horizontal="center" vertical="center" wrapText="1" shrinkToFit="1"/>
    </xf>
    <xf numFmtId="0" fontId="116" fillId="0" borderId="2" xfId="0" applyFont="1" applyFill="1" applyBorder="1" applyAlignment="1" applyProtection="1">
      <alignment horizontal="center" vertical="center" wrapText="1" shrinkToFit="1"/>
    </xf>
    <xf numFmtId="183" fontId="147" fillId="0" borderId="2" xfId="0" applyNumberFormat="1" applyFont="1" applyFill="1" applyBorder="1" applyAlignment="1" applyProtection="1">
      <alignment horizontal="center" vertical="center"/>
    </xf>
    <xf numFmtId="189" fontId="129" fillId="0" borderId="14" xfId="0" applyNumberFormat="1" applyFont="1" applyFill="1" applyBorder="1" applyAlignment="1" applyProtection="1">
      <alignment horizontal="center" vertical="center" wrapText="1" shrinkToFit="1"/>
    </xf>
    <xf numFmtId="181" fontId="129" fillId="0" borderId="14" xfId="0" applyNumberFormat="1" applyFont="1" applyFill="1" applyBorder="1" applyAlignment="1" applyProtection="1">
      <alignment horizontal="center" vertical="center" wrapText="1" shrinkToFit="1"/>
    </xf>
    <xf numFmtId="0" fontId="129" fillId="0" borderId="2" xfId="0" applyNumberFormat="1" applyFont="1" applyFill="1" applyBorder="1" applyAlignment="1" applyProtection="1">
      <alignment horizontal="center" vertical="center" wrapText="1" shrinkToFit="1"/>
    </xf>
    <xf numFmtId="0" fontId="148" fillId="0" borderId="2" xfId="0" applyNumberFormat="1" applyFont="1" applyFill="1" applyBorder="1" applyAlignment="1" applyProtection="1">
      <alignment horizontal="center" vertical="center" wrapText="1" shrinkToFit="1"/>
    </xf>
    <xf numFmtId="0" fontId="132" fillId="0" borderId="2" xfId="0" applyFont="1" applyFill="1" applyBorder="1" applyAlignment="1" applyProtection="1">
      <alignment horizontal="center" vertical="center" wrapText="1" shrinkToFit="1"/>
    </xf>
    <xf numFmtId="184" fontId="129" fillId="0" borderId="12" xfId="0" applyNumberFormat="1" applyFont="1" applyFill="1" applyBorder="1" applyAlignment="1" applyProtection="1">
      <alignment horizontal="center" vertical="center"/>
    </xf>
    <xf numFmtId="181" fontId="129" fillId="0" borderId="12" xfId="0" applyNumberFormat="1" applyFont="1" applyFill="1" applyBorder="1" applyAlignment="1" applyProtection="1">
      <alignment horizontal="center" vertical="center"/>
    </xf>
    <xf numFmtId="184" fontId="129" fillId="0" borderId="2" xfId="0" applyNumberFormat="1" applyFont="1" applyFill="1" applyBorder="1" applyAlignment="1" applyProtection="1">
      <alignment horizontal="center" vertical="center"/>
    </xf>
    <xf numFmtId="181" fontId="129" fillId="0" borderId="2" xfId="0" applyNumberFormat="1" applyFont="1" applyFill="1" applyBorder="1" applyAlignment="1" applyProtection="1">
      <alignment horizontal="center" vertical="center"/>
    </xf>
    <xf numFmtId="189" fontId="129" fillId="0" borderId="0" xfId="0" applyNumberFormat="1" applyFont="1" applyFill="1" applyAlignment="1" applyProtection="1">
      <alignment horizontal="center" vertical="center"/>
    </xf>
    <xf numFmtId="191" fontId="136" fillId="0" borderId="0" xfId="0" applyNumberFormat="1" applyFont="1" applyFill="1" applyAlignment="1" applyProtection="1">
      <alignment horizontal="center" vertical="center"/>
    </xf>
    <xf numFmtId="0" fontId="129" fillId="0" borderId="0" xfId="0" applyNumberFormat="1" applyFont="1" applyFill="1" applyAlignment="1" applyProtection="1">
      <alignment horizontal="center" vertical="center"/>
    </xf>
    <xf numFmtId="0" fontId="133" fillId="0" borderId="0" xfId="0" applyFont="1" applyFill="1" applyAlignment="1" applyProtection="1">
      <alignment horizontal="center" vertical="center"/>
    </xf>
    <xf numFmtId="191" fontId="136" fillId="0" borderId="0" xfId="0" applyNumberFormat="1" applyFont="1" applyFill="1" applyAlignment="1" applyProtection="1">
      <alignment horizontal="center" vertical="center"/>
      <protection locked="0"/>
    </xf>
    <xf numFmtId="0" fontId="133" fillId="0" borderId="0" xfId="0" applyFont="1" applyFill="1" applyAlignment="1" applyProtection="1">
      <alignment horizontal="center" vertical="center"/>
      <protection locked="0"/>
    </xf>
    <xf numFmtId="189" fontId="135" fillId="0" borderId="2" xfId="0" applyNumberFormat="1" applyFont="1" applyFill="1" applyBorder="1" applyAlignment="1" applyProtection="1">
      <alignment horizontal="center" vertical="center" wrapText="1" shrinkToFit="1"/>
      <protection locked="0"/>
    </xf>
    <xf numFmtId="181" fontId="135" fillId="0" borderId="2" xfId="0" applyNumberFormat="1" applyFont="1" applyFill="1" applyBorder="1" applyAlignment="1" applyProtection="1">
      <alignment horizontal="center" vertical="center" wrapText="1" shrinkToFit="1"/>
      <protection locked="0"/>
    </xf>
    <xf numFmtId="0" fontId="135" fillId="0" borderId="2" xfId="0" applyNumberFormat="1" applyFont="1" applyFill="1" applyBorder="1" applyAlignment="1" applyProtection="1">
      <alignment horizontal="center" vertical="center" wrapText="1" shrinkToFit="1"/>
      <protection locked="0"/>
    </xf>
    <xf numFmtId="0" fontId="133" fillId="0" borderId="2" xfId="0" applyNumberFormat="1" applyFont="1" applyFill="1" applyBorder="1" applyAlignment="1" applyProtection="1">
      <alignment horizontal="center" vertical="center" wrapText="1" shrinkToFit="1"/>
      <protection locked="0"/>
    </xf>
    <xf numFmtId="189" fontId="135" fillId="0" borderId="14" xfId="0" applyNumberFormat="1" applyFont="1" applyFill="1" applyBorder="1" applyAlignment="1" applyProtection="1">
      <alignment horizontal="center" vertical="center" wrapText="1" shrinkToFit="1"/>
      <protection locked="0"/>
    </xf>
    <xf numFmtId="0" fontId="135" fillId="0" borderId="14" xfId="0" applyNumberFormat="1" applyFont="1" applyFill="1" applyBorder="1" applyAlignment="1" applyProtection="1">
      <alignment horizontal="center" vertical="center" wrapText="1" shrinkToFit="1"/>
      <protection locked="0"/>
    </xf>
    <xf numFmtId="0" fontId="133" fillId="0" borderId="14" xfId="0" applyNumberFormat="1" applyFont="1" applyFill="1" applyBorder="1" applyAlignment="1" applyProtection="1">
      <alignment horizontal="center" vertical="center" wrapText="1" shrinkToFit="1"/>
      <protection locked="0"/>
    </xf>
    <xf numFmtId="184" fontId="135" fillId="0" borderId="12" xfId="0" applyNumberFormat="1" applyFont="1" applyFill="1" applyBorder="1" applyAlignment="1" applyProtection="1">
      <alignment horizontal="center" vertical="center"/>
      <protection locked="0"/>
    </xf>
    <xf numFmtId="181" fontId="135" fillId="0" borderId="12" xfId="0" applyNumberFormat="1" applyFont="1" applyFill="1" applyBorder="1" applyAlignment="1" applyProtection="1">
      <alignment horizontal="center" vertical="center"/>
      <protection locked="0"/>
    </xf>
    <xf numFmtId="0" fontId="131" fillId="0" borderId="3" xfId="0" applyFont="1" applyFill="1" applyBorder="1" applyAlignment="1" applyProtection="1">
      <alignment horizontal="center" vertical="center" wrapText="1" shrinkToFit="1"/>
    </xf>
    <xf numFmtId="182" fontId="131" fillId="0" borderId="4" xfId="0" applyNumberFormat="1" applyFont="1" applyFill="1" applyBorder="1" applyAlignment="1" applyProtection="1">
      <alignment horizontal="center" vertical="center" wrapText="1" shrinkToFit="1"/>
    </xf>
    <xf numFmtId="182" fontId="131" fillId="0" borderId="2" xfId="0" applyNumberFormat="1" applyFont="1" applyFill="1" applyBorder="1" applyAlignment="1" applyProtection="1">
      <alignment horizontal="center" vertical="center" wrapText="1" shrinkToFit="1"/>
    </xf>
    <xf numFmtId="0" fontId="129" fillId="0" borderId="3" xfId="0" applyFont="1" applyFill="1" applyBorder="1" applyAlignment="1" applyProtection="1">
      <alignment horizontal="center" vertical="center" wrapText="1" shrinkToFit="1"/>
    </xf>
    <xf numFmtId="182" fontId="129" fillId="0" borderId="4" xfId="0" applyNumberFormat="1" applyFont="1" applyFill="1" applyBorder="1" applyAlignment="1" applyProtection="1">
      <alignment horizontal="center" vertical="center" wrapText="1" shrinkToFit="1"/>
    </xf>
    <xf numFmtId="182" fontId="129" fillId="0" borderId="2" xfId="0" applyNumberFormat="1" applyFont="1" applyFill="1" applyBorder="1" applyAlignment="1" applyProtection="1">
      <alignment horizontal="center" vertical="center" wrapText="1" shrinkToFit="1"/>
    </xf>
    <xf numFmtId="182" fontId="136" fillId="0" borderId="4" xfId="0" applyNumberFormat="1" applyFont="1" applyFill="1" applyBorder="1" applyAlignment="1" applyProtection="1">
      <alignment horizontal="center" vertical="center" wrapText="1" shrinkToFit="1"/>
    </xf>
    <xf numFmtId="182" fontId="136" fillId="0" borderId="2" xfId="0" applyNumberFormat="1" applyFont="1" applyFill="1" applyBorder="1" applyAlignment="1" applyProtection="1">
      <alignment horizontal="center" vertical="center" wrapText="1" shrinkToFit="1"/>
    </xf>
    <xf numFmtId="0" fontId="138" fillId="0" borderId="0" xfId="0" applyFont="1" applyFill="1" applyAlignment="1" applyProtection="1">
      <alignment horizontal="center" vertical="center"/>
    </xf>
    <xf numFmtId="0" fontId="138" fillId="0" borderId="0" xfId="0" applyFont="1" applyFill="1" applyAlignment="1" applyProtection="1">
      <alignment horizontal="center" vertical="center"/>
      <protection locked="0"/>
    </xf>
    <xf numFmtId="182" fontId="135" fillId="0" borderId="2" xfId="0" applyNumberFormat="1" applyFont="1" applyFill="1" applyBorder="1" applyAlignment="1" applyProtection="1">
      <alignment horizontal="center" vertical="center" wrapText="1" shrinkToFit="1"/>
      <protection locked="0"/>
    </xf>
    <xf numFmtId="182" fontId="135" fillId="0" borderId="14" xfId="0" applyNumberFormat="1" applyFont="1" applyFill="1" applyBorder="1" applyAlignment="1" applyProtection="1">
      <alignment horizontal="center" vertical="center" wrapText="1" shrinkToFit="1"/>
      <protection locked="0"/>
    </xf>
    <xf numFmtId="182" fontId="131" fillId="0" borderId="2" xfId="0" applyNumberFormat="1" applyFont="1" applyFill="1" applyBorder="1" applyAlignment="1" applyProtection="1">
      <alignment horizontal="center" vertical="center" wrapText="1"/>
    </xf>
    <xf numFmtId="182" fontId="131" fillId="0" borderId="5" xfId="0" applyNumberFormat="1" applyFont="1" applyFill="1" applyBorder="1" applyAlignment="1" applyProtection="1">
      <alignment horizontal="center" vertical="center" wrapText="1"/>
    </xf>
    <xf numFmtId="0" fontId="131" fillId="0" borderId="4" xfId="0" applyFont="1" applyFill="1" applyBorder="1" applyAlignment="1" applyProtection="1">
      <alignment horizontal="center" vertical="center"/>
    </xf>
    <xf numFmtId="0" fontId="131" fillId="0" borderId="6" xfId="0" applyFont="1" applyFill="1" applyBorder="1" applyAlignment="1" applyProtection="1">
      <alignment horizontal="center" vertical="center"/>
    </xf>
    <xf numFmtId="0" fontId="131" fillId="0" borderId="5" xfId="0" applyFont="1" applyFill="1" applyBorder="1" applyAlignment="1" applyProtection="1">
      <alignment horizontal="center" vertical="center"/>
    </xf>
    <xf numFmtId="182" fontId="129" fillId="0" borderId="2" xfId="0" applyNumberFormat="1" applyFont="1" applyFill="1" applyBorder="1" applyAlignment="1" applyProtection="1">
      <alignment horizontal="center" vertical="center" wrapText="1"/>
    </xf>
    <xf numFmtId="182" fontId="129" fillId="0" borderId="5" xfId="0" applyNumberFormat="1" applyFont="1" applyFill="1" applyBorder="1" applyAlignment="1" applyProtection="1">
      <alignment horizontal="center" vertical="center" wrapText="1"/>
    </xf>
    <xf numFmtId="0" fontId="129" fillId="0" borderId="4" xfId="0" applyFont="1" applyFill="1" applyBorder="1" applyAlignment="1" applyProtection="1">
      <alignment horizontal="center" vertical="center"/>
    </xf>
    <xf numFmtId="0" fontId="129" fillId="0" borderId="6" xfId="0" applyFont="1" applyFill="1" applyBorder="1" applyAlignment="1" applyProtection="1">
      <alignment horizontal="center" vertical="center"/>
    </xf>
    <xf numFmtId="0" fontId="129" fillId="0" borderId="5" xfId="0" applyFont="1" applyFill="1" applyBorder="1" applyAlignment="1" applyProtection="1">
      <alignment horizontal="center" vertical="center"/>
    </xf>
    <xf numFmtId="182" fontId="136" fillId="0" borderId="2" xfId="0" applyNumberFormat="1" applyFont="1" applyFill="1" applyBorder="1" applyAlignment="1" applyProtection="1">
      <alignment horizontal="center" vertical="center" wrapText="1"/>
    </xf>
    <xf numFmtId="182" fontId="136" fillId="0" borderId="5" xfId="0" applyNumberFormat="1" applyFont="1" applyFill="1" applyBorder="1" applyAlignment="1" applyProtection="1">
      <alignment horizontal="center" vertical="center" wrapText="1"/>
    </xf>
    <xf numFmtId="0" fontId="136" fillId="0" borderId="4" xfId="0" applyFont="1" applyFill="1" applyBorder="1" applyAlignment="1" applyProtection="1">
      <alignment horizontal="center" vertical="center"/>
    </xf>
    <xf numFmtId="0" fontId="136" fillId="0" borderId="3" xfId="0" applyFont="1" applyFill="1" applyBorder="1" applyAlignment="1" applyProtection="1">
      <alignment horizontal="center" vertical="center" wrapText="1" shrinkToFit="1"/>
    </xf>
    <xf numFmtId="0" fontId="136" fillId="0" borderId="6" xfId="0" applyFont="1" applyFill="1" applyBorder="1" applyAlignment="1" applyProtection="1">
      <alignment horizontal="center" vertical="center"/>
    </xf>
    <xf numFmtId="0" fontId="136" fillId="0" borderId="5" xfId="0" applyFont="1" applyFill="1" applyBorder="1" applyAlignment="1" applyProtection="1">
      <alignment horizontal="center" vertical="center"/>
    </xf>
    <xf numFmtId="0" fontId="137" fillId="0" borderId="0" xfId="0" applyFont="1" applyFill="1" applyAlignment="1" applyProtection="1">
      <alignment horizontal="center" vertical="center"/>
    </xf>
    <xf numFmtId="0" fontId="137" fillId="0" borderId="0" xfId="0" applyFont="1" applyFill="1" applyAlignment="1" applyProtection="1">
      <alignment horizontal="center" vertical="center"/>
      <protection locked="0"/>
    </xf>
    <xf numFmtId="182" fontId="135" fillId="0" borderId="2" xfId="0" applyNumberFormat="1" applyFont="1" applyFill="1" applyBorder="1" applyAlignment="1" applyProtection="1">
      <alignment horizontal="center" vertical="center" wrapText="1"/>
      <protection locked="0"/>
    </xf>
    <xf numFmtId="182" fontId="135" fillId="0" borderId="14" xfId="0" applyNumberFormat="1" applyFont="1" applyFill="1" applyBorder="1" applyAlignment="1" applyProtection="1">
      <alignment horizontal="center" vertical="center" wrapText="1"/>
      <protection locked="0"/>
    </xf>
    <xf numFmtId="0" fontId="135" fillId="0" borderId="0" xfId="0" applyFont="1" applyFill="1" applyAlignment="1" applyProtection="1">
      <alignment horizontal="center" vertical="center"/>
      <protection locked="0"/>
    </xf>
    <xf numFmtId="0" fontId="131" fillId="0" borderId="0" xfId="0" applyFont="1" applyFill="1" applyBorder="1" applyAlignment="1" applyProtection="1">
      <alignment horizontal="center" vertical="center"/>
      <protection locked="0"/>
    </xf>
    <xf numFmtId="0" fontId="129" fillId="7" borderId="0" xfId="0" applyFont="1" applyFill="1" applyBorder="1" applyAlignment="1" applyProtection="1">
      <alignment horizontal="center" vertical="center"/>
      <protection locked="0"/>
    </xf>
    <xf numFmtId="0" fontId="135" fillId="0" borderId="0" xfId="0" applyFont="1" applyFill="1" applyBorder="1" applyAlignment="1" applyProtection="1">
      <alignment horizontal="center" vertical="center"/>
      <protection locked="0"/>
    </xf>
    <xf numFmtId="0" fontId="135" fillId="0" borderId="2" xfId="0" applyFont="1" applyFill="1" applyBorder="1" applyProtection="1">
      <alignment vertical="center"/>
      <protection locked="0"/>
    </xf>
    <xf numFmtId="0" fontId="135" fillId="0" borderId="0" xfId="0" applyFont="1" applyFill="1" applyProtection="1">
      <alignment vertical="center"/>
      <protection locked="0"/>
    </xf>
    <xf numFmtId="0" fontId="131" fillId="0" borderId="0" xfId="0" applyFont="1" applyFill="1" applyBorder="1" applyProtection="1">
      <alignment vertical="center"/>
      <protection locked="0"/>
    </xf>
    <xf numFmtId="0" fontId="129" fillId="7" borderId="0" xfId="0" applyFont="1" applyFill="1" applyBorder="1" applyProtection="1">
      <alignment vertical="center"/>
      <protection locked="0"/>
    </xf>
    <xf numFmtId="0" fontId="135" fillId="0" borderId="0" xfId="0" applyFont="1" applyFill="1" applyBorder="1" applyProtection="1">
      <alignment vertical="center"/>
      <protection locked="0"/>
    </xf>
    <xf numFmtId="0" fontId="116" fillId="0" borderId="0" xfId="0" applyFont="1" applyFill="1" applyProtection="1">
      <alignment vertical="center"/>
      <protection locked="0"/>
    </xf>
    <xf numFmtId="0" fontId="132" fillId="7" borderId="0" xfId="0" applyFont="1" applyFill="1" applyProtection="1">
      <alignment vertical="center"/>
      <protection locked="0"/>
    </xf>
    <xf numFmtId="190" fontId="129" fillId="7" borderId="14" xfId="0" applyNumberFormat="1" applyFont="1" applyFill="1" applyBorder="1" applyAlignment="1" applyProtection="1">
      <alignment horizontal="center" vertical="center"/>
    </xf>
    <xf numFmtId="190" fontId="129" fillId="7" borderId="0" xfId="0" applyNumberFormat="1" applyFont="1" applyFill="1" applyAlignment="1" applyProtection="1">
      <alignment horizontal="center" vertical="center"/>
    </xf>
    <xf numFmtId="176" fontId="143" fillId="0" borderId="2" xfId="0" applyNumberFormat="1" applyFont="1" applyFill="1" applyBorder="1" applyAlignment="1" applyProtection="1">
      <alignment horizontal="center" vertical="center" wrapText="1"/>
      <protection locked="0"/>
    </xf>
    <xf numFmtId="190" fontId="73" fillId="0" borderId="16" xfId="0" applyNumberFormat="1" applyFont="1" applyFill="1" applyBorder="1" applyAlignment="1" applyProtection="1">
      <alignment horizontal="center" vertical="center"/>
    </xf>
    <xf numFmtId="0" fontId="75" fillId="0" borderId="16" xfId="0" applyFont="1" applyFill="1" applyBorder="1" applyAlignment="1" applyProtection="1">
      <alignment horizontal="center" vertical="center" wrapText="1" shrinkToFit="1"/>
      <protection locked="0"/>
    </xf>
    <xf numFmtId="0" fontId="73" fillId="0" borderId="2" xfId="0" applyFont="1" applyFill="1" applyBorder="1" applyAlignment="1" applyProtection="1">
      <alignment horizontal="center" vertical="center" wrapText="1" shrinkToFit="1"/>
      <protection locked="0"/>
    </xf>
    <xf numFmtId="0" fontId="73" fillId="0" borderId="16" xfId="0" applyFont="1" applyFill="1" applyBorder="1" applyAlignment="1" applyProtection="1">
      <alignment horizontal="center" vertical="center" wrapText="1" shrinkToFit="1"/>
      <protection locked="0"/>
    </xf>
    <xf numFmtId="186" fontId="75" fillId="0" borderId="14" xfId="0" applyNumberFormat="1" applyFont="1" applyFill="1" applyBorder="1" applyAlignment="1" applyProtection="1">
      <alignment horizontal="center" vertical="center" shrinkToFit="1"/>
    </xf>
    <xf numFmtId="0" fontId="75" fillId="0" borderId="14" xfId="0" applyNumberFormat="1" applyFont="1" applyFill="1" applyBorder="1" applyAlignment="1" applyProtection="1">
      <alignment horizontal="center" vertical="center" wrapText="1"/>
      <protection locked="0"/>
    </xf>
    <xf numFmtId="176" fontId="75" fillId="0" borderId="16" xfId="0" applyNumberFormat="1" applyFont="1" applyFill="1" applyBorder="1" applyAlignment="1" applyProtection="1">
      <alignment horizontal="center" vertical="center" wrapText="1"/>
      <protection locked="0"/>
    </xf>
    <xf numFmtId="0" fontId="73" fillId="0" borderId="14" xfId="0" applyNumberFormat="1" applyFont="1" applyFill="1" applyBorder="1" applyAlignment="1" applyProtection="1">
      <alignment horizontal="center" vertical="center" shrinkToFit="1"/>
      <protection locked="0"/>
    </xf>
    <xf numFmtId="0" fontId="73" fillId="0" borderId="14" xfId="0" applyNumberFormat="1" applyFont="1" applyFill="1" applyBorder="1" applyAlignment="1" applyProtection="1">
      <alignment horizontal="center" vertical="center" wrapText="1"/>
      <protection locked="0"/>
    </xf>
    <xf numFmtId="0" fontId="75" fillId="0" borderId="16" xfId="0" applyNumberFormat="1" applyFont="1" applyFill="1" applyBorder="1" applyAlignment="1" applyProtection="1">
      <alignment horizontal="center" vertical="center" wrapText="1"/>
      <protection locked="0"/>
    </xf>
    <xf numFmtId="0" fontId="73" fillId="0" borderId="16" xfId="0" applyNumberFormat="1" applyFont="1" applyFill="1" applyBorder="1" applyAlignment="1" applyProtection="1">
      <alignment horizontal="center" vertical="center" shrinkToFit="1"/>
      <protection locked="0"/>
    </xf>
    <xf numFmtId="0" fontId="132" fillId="0" borderId="0" xfId="0" applyFont="1" applyFill="1" applyProtection="1">
      <alignment vertical="center"/>
    </xf>
    <xf numFmtId="0" fontId="75" fillId="0" borderId="2" xfId="0" applyFont="1" applyFill="1" applyBorder="1" applyAlignment="1" applyProtection="1">
      <alignment horizontal="center" vertical="center" wrapText="1" shrinkToFit="1"/>
      <protection locked="0"/>
    </xf>
    <xf numFmtId="0" fontId="73" fillId="0" borderId="2" xfId="0" applyFont="1" applyFill="1" applyBorder="1" applyAlignment="1" applyProtection="1">
      <alignment horizontal="center" vertical="center"/>
      <protection locked="0"/>
    </xf>
    <xf numFmtId="186" fontId="73" fillId="0" borderId="2" xfId="0" applyNumberFormat="1" applyFont="1" applyFill="1" applyBorder="1" applyAlignment="1" applyProtection="1">
      <alignment horizontal="center" vertical="center" wrapText="1" shrinkToFit="1"/>
      <protection locked="0"/>
    </xf>
    <xf numFmtId="188" fontId="75" fillId="0" borderId="2" xfId="0" applyNumberFormat="1" applyFont="1" applyFill="1" applyBorder="1" applyAlignment="1" applyProtection="1">
      <alignment horizontal="center" vertical="center" wrapText="1" shrinkToFit="1"/>
      <protection locked="0"/>
    </xf>
    <xf numFmtId="0" fontId="132" fillId="0" borderId="0" xfId="0" applyFont="1" applyFill="1" applyAlignment="1" applyProtection="1">
      <alignment vertical="center" wrapText="1"/>
      <protection locked="0"/>
    </xf>
    <xf numFmtId="0" fontId="143" fillId="0" borderId="2" xfId="0" applyFont="1" applyFill="1" applyBorder="1" applyAlignment="1" applyProtection="1">
      <alignment horizontal="justify" vertical="center"/>
      <protection locked="0"/>
    </xf>
    <xf numFmtId="0" fontId="143" fillId="0" borderId="14" xfId="0" applyFont="1" applyFill="1" applyBorder="1" applyAlignment="1" applyProtection="1">
      <alignment horizontal="center" vertical="center"/>
      <protection locked="0"/>
    </xf>
    <xf numFmtId="0" fontId="143" fillId="0" borderId="14" xfId="0" applyFont="1" applyFill="1" applyBorder="1" applyAlignment="1" applyProtection="1">
      <alignment horizontal="center" vertical="center" wrapText="1"/>
      <protection locked="0"/>
    </xf>
    <xf numFmtId="0" fontId="143" fillId="0" borderId="14" xfId="0" applyFont="1" applyFill="1" applyBorder="1" applyAlignment="1" applyProtection="1">
      <alignment horizontal="justify" vertical="center"/>
      <protection locked="0"/>
    </xf>
    <xf numFmtId="183" fontId="135" fillId="0" borderId="2" xfId="0" applyNumberFormat="1" applyFont="1" applyFill="1" applyBorder="1" applyAlignment="1" applyProtection="1">
      <alignment horizontal="center" vertical="center" wrapText="1"/>
      <protection locked="0"/>
    </xf>
    <xf numFmtId="0" fontId="75" fillId="0" borderId="2" xfId="0" applyFont="1" applyFill="1" applyBorder="1" applyAlignment="1" applyProtection="1">
      <alignment horizontal="center" vertical="center"/>
      <protection locked="0"/>
    </xf>
    <xf numFmtId="58" fontId="75" fillId="0" borderId="2" xfId="0" applyNumberFormat="1" applyFont="1" applyFill="1" applyBorder="1" applyAlignment="1" applyProtection="1">
      <alignment horizontal="center" vertical="center" wrapText="1"/>
      <protection locked="0"/>
    </xf>
    <xf numFmtId="0" fontId="75" fillId="0" borderId="2" xfId="0" applyFont="1" applyFill="1" applyBorder="1" applyAlignment="1" applyProtection="1">
      <alignment horizontal="justify" vertical="center"/>
      <protection locked="0"/>
    </xf>
    <xf numFmtId="0" fontId="75" fillId="0" borderId="14" xfId="0" applyNumberFormat="1" applyFont="1" applyFill="1" applyBorder="1" applyAlignment="1" applyProtection="1">
      <alignment horizontal="center" vertical="center" wrapText="1" shrinkToFit="1"/>
      <protection locked="0"/>
    </xf>
    <xf numFmtId="0" fontId="75" fillId="0" borderId="14" xfId="0" applyFont="1" applyFill="1" applyBorder="1" applyAlignment="1" applyProtection="1">
      <alignment horizontal="center" vertical="center"/>
      <protection locked="0"/>
    </xf>
    <xf numFmtId="0" fontId="73" fillId="0" borderId="0" xfId="0" applyFont="1" applyFill="1" applyAlignment="1" applyProtection="1">
      <alignment horizontal="center" vertical="center"/>
      <protection locked="0"/>
    </xf>
    <xf numFmtId="0" fontId="75" fillId="0" borderId="14" xfId="0" applyFont="1" applyFill="1" applyBorder="1" applyAlignment="1" applyProtection="1">
      <alignment horizontal="center" vertical="center" wrapText="1"/>
      <protection locked="0"/>
    </xf>
    <xf numFmtId="0" fontId="132" fillId="0" borderId="0" xfId="0" applyFont="1" applyFill="1" applyAlignment="1" applyProtection="1">
      <alignment horizontal="center" vertical="center"/>
      <protection locked="0"/>
    </xf>
    <xf numFmtId="184" fontId="73" fillId="0" borderId="12" xfId="0" applyNumberFormat="1" applyFont="1" applyFill="1" applyBorder="1" applyAlignment="1" applyProtection="1">
      <alignment horizontal="center" vertical="center"/>
      <protection locked="0"/>
    </xf>
    <xf numFmtId="181" fontId="73" fillId="0" borderId="12" xfId="0" applyNumberFormat="1" applyFont="1" applyFill="1" applyBorder="1" applyAlignment="1" applyProtection="1">
      <alignment horizontal="center" vertical="center"/>
      <protection locked="0"/>
    </xf>
    <xf numFmtId="0" fontId="73" fillId="0" borderId="2" xfId="0" applyNumberFormat="1" applyFont="1" applyFill="1" applyBorder="1" applyAlignment="1" applyProtection="1">
      <alignment horizontal="center" vertical="center" wrapText="1" shrinkToFit="1"/>
      <protection locked="0"/>
    </xf>
    <xf numFmtId="182" fontId="73" fillId="0" borderId="2" xfId="0" applyNumberFormat="1" applyFont="1" applyFill="1" applyBorder="1" applyAlignment="1" applyProtection="1">
      <alignment horizontal="center" vertical="center" wrapText="1" shrinkToFit="1"/>
      <protection locked="0"/>
    </xf>
    <xf numFmtId="182" fontId="73" fillId="0" borderId="2" xfId="0" applyNumberFormat="1" applyFont="1" applyFill="1" applyBorder="1" applyAlignment="1" applyProtection="1">
      <alignment horizontal="center" vertical="center" wrapText="1"/>
      <protection locked="0"/>
    </xf>
    <xf numFmtId="0" fontId="73" fillId="0" borderId="0" xfId="0" applyFont="1" applyFill="1" applyBorder="1" applyAlignment="1" applyProtection="1">
      <alignment horizontal="center" vertical="center"/>
      <protection locked="0"/>
    </xf>
    <xf numFmtId="0" fontId="73" fillId="0" borderId="0" xfId="0" applyFont="1" applyFill="1" applyBorder="1" applyProtection="1">
      <alignment vertical="center"/>
      <protection locked="0"/>
    </xf>
    <xf numFmtId="0" fontId="124" fillId="0" borderId="0" xfId="0" applyFont="1" applyFill="1" applyAlignment="1" applyProtection="1">
      <alignment horizontal="center" vertical="center"/>
      <protection locked="0"/>
    </xf>
    <xf numFmtId="0" fontId="149" fillId="0" borderId="0" xfId="0" applyFont="1" applyFill="1" applyAlignment="1" applyProtection="1">
      <alignment horizontal="center" vertical="center"/>
      <protection locked="0"/>
    </xf>
    <xf numFmtId="0" fontId="114" fillId="0" borderId="0" xfId="0" applyFont="1" applyFill="1" applyAlignment="1" applyProtection="1">
      <alignment horizontal="center" vertical="center"/>
      <protection locked="0"/>
    </xf>
    <xf numFmtId="0" fontId="114" fillId="0" borderId="2" xfId="0" applyFont="1" applyFill="1" applyBorder="1" applyAlignment="1" applyProtection="1">
      <alignment horizontal="center" vertical="center"/>
      <protection locked="0"/>
    </xf>
    <xf numFmtId="0" fontId="121" fillId="0" borderId="0" xfId="0" applyFont="1" applyFill="1" applyAlignment="1" applyProtection="1">
      <alignment horizontal="center" vertical="center"/>
      <protection locked="0"/>
    </xf>
    <xf numFmtId="0" fontId="124" fillId="0" borderId="0" xfId="0" applyFont="1" applyFill="1" applyAlignment="1" applyProtection="1">
      <alignment horizontal="center" vertical="center"/>
    </xf>
    <xf numFmtId="0" fontId="124" fillId="0" borderId="0" xfId="0" applyFont="1" applyFill="1" applyAlignment="1" applyProtection="1">
      <alignment horizontal="center" vertical="center" wrapText="1"/>
      <protection locked="0"/>
    </xf>
    <xf numFmtId="0" fontId="150" fillId="0" borderId="0" xfId="0" applyFont="1" applyFill="1" applyAlignment="1" applyProtection="1">
      <alignment horizontal="center" vertical="center"/>
      <protection locked="0"/>
    </xf>
    <xf numFmtId="0" fontId="76" fillId="0" borderId="0" xfId="0" applyFont="1" applyFill="1" applyAlignment="1" applyProtection="1">
      <alignment horizontal="center" vertical="center"/>
      <protection locked="0"/>
    </xf>
    <xf numFmtId="188" fontId="76" fillId="0" borderId="0" xfId="0" applyNumberFormat="1" applyFont="1" applyFill="1" applyAlignment="1" applyProtection="1">
      <alignment horizontal="center" vertical="center"/>
      <protection locked="0"/>
    </xf>
    <xf numFmtId="188" fontId="124" fillId="0" borderId="0" xfId="0" applyNumberFormat="1" applyFont="1" applyFill="1" applyAlignment="1" applyProtection="1">
      <alignment horizontal="center" vertical="center" wrapText="1"/>
      <protection locked="0"/>
    </xf>
    <xf numFmtId="0" fontId="124" fillId="0" borderId="0" xfId="0" applyNumberFormat="1" applyFont="1" applyFill="1" applyAlignment="1" applyProtection="1">
      <alignment horizontal="center" vertical="center" wrapText="1"/>
      <protection locked="0"/>
    </xf>
    <xf numFmtId="181" fontId="124" fillId="0" borderId="0" xfId="0" applyNumberFormat="1" applyFont="1" applyFill="1" applyAlignment="1" applyProtection="1">
      <alignment horizontal="center" vertical="center"/>
      <protection locked="0"/>
    </xf>
    <xf numFmtId="0" fontId="124" fillId="0" borderId="0" xfId="0" applyNumberFormat="1" applyFont="1" applyFill="1" applyAlignment="1" applyProtection="1">
      <alignment horizontal="center" vertical="center"/>
      <protection locked="0"/>
    </xf>
    <xf numFmtId="0" fontId="151" fillId="0" borderId="0" xfId="0" applyFont="1" applyFill="1" applyAlignment="1" applyProtection="1">
      <alignment horizontal="center" vertical="center"/>
      <protection locked="0"/>
    </xf>
    <xf numFmtId="182" fontId="124" fillId="0" borderId="0" xfId="0" applyNumberFormat="1" applyFont="1" applyFill="1" applyAlignment="1" applyProtection="1">
      <alignment horizontal="center" vertical="center"/>
      <protection locked="0"/>
    </xf>
    <xf numFmtId="182" fontId="124" fillId="14" borderId="0" xfId="0" applyNumberFormat="1" applyFont="1" applyFill="1" applyAlignment="1" applyProtection="1">
      <alignment horizontal="center" vertical="center"/>
      <protection locked="0"/>
    </xf>
    <xf numFmtId="0" fontId="152" fillId="0" borderId="0" xfId="0" applyFont="1" applyFill="1" applyAlignment="1" applyProtection="1">
      <alignment horizontal="center" vertical="center"/>
    </xf>
    <xf numFmtId="0" fontId="152" fillId="0" borderId="0" xfId="0" applyFont="1" applyFill="1" applyAlignment="1" applyProtection="1">
      <alignment horizontal="center" vertical="center"/>
      <protection locked="0"/>
    </xf>
    <xf numFmtId="0" fontId="153" fillId="0" borderId="0" xfId="0" applyFont="1" applyFill="1" applyAlignment="1" applyProtection="1">
      <alignment vertical="center"/>
      <protection locked="0"/>
    </xf>
    <xf numFmtId="0" fontId="152" fillId="0" borderId="0" xfId="0" applyFont="1" applyFill="1" applyAlignment="1" applyProtection="1">
      <alignment vertical="center"/>
      <protection locked="0"/>
    </xf>
    <xf numFmtId="0" fontId="152" fillId="0" borderId="0" xfId="0" applyFont="1" applyFill="1" applyAlignment="1" applyProtection="1">
      <alignment horizontal="center" vertical="center" wrapText="1"/>
      <protection locked="0"/>
    </xf>
    <xf numFmtId="0" fontId="147" fillId="0" borderId="0" xfId="0" applyFont="1" applyFill="1" applyAlignment="1" applyProtection="1">
      <alignment horizontal="center" vertical="center"/>
      <protection locked="0"/>
    </xf>
    <xf numFmtId="190" fontId="154" fillId="0" borderId="2" xfId="0" applyNumberFormat="1" applyFont="1" applyFill="1" applyBorder="1" applyAlignment="1" applyProtection="1">
      <alignment horizontal="center" vertical="center"/>
    </xf>
    <xf numFmtId="190" fontId="155" fillId="0" borderId="11" xfId="0" applyNumberFormat="1" applyFont="1" applyFill="1" applyBorder="1" applyAlignment="1" applyProtection="1">
      <alignment vertical="center"/>
      <protection locked="0"/>
    </xf>
    <xf numFmtId="190" fontId="156" fillId="0" borderId="11" xfId="0" applyNumberFormat="1" applyFont="1" applyFill="1" applyBorder="1" applyAlignment="1" applyProtection="1">
      <alignment vertical="center"/>
      <protection locked="0"/>
    </xf>
    <xf numFmtId="0" fontId="157" fillId="0" borderId="11" xfId="0" applyFont="1" applyFill="1" applyBorder="1" applyAlignment="1" applyProtection="1">
      <alignment vertical="center" wrapText="1"/>
      <protection locked="0"/>
    </xf>
    <xf numFmtId="0" fontId="158" fillId="0" borderId="2" xfId="0" applyFont="1" applyFill="1" applyBorder="1" applyAlignment="1" applyProtection="1">
      <alignment horizontal="center" vertical="center" wrapText="1" shrinkToFit="1"/>
    </xf>
    <xf numFmtId="0" fontId="158" fillId="0" borderId="2" xfId="0" applyFont="1" applyFill="1" applyBorder="1" applyAlignment="1" applyProtection="1">
      <alignment horizontal="center" vertical="center" wrapText="1" shrinkToFit="1"/>
      <protection locked="0"/>
    </xf>
    <xf numFmtId="0" fontId="159" fillId="0" borderId="2" xfId="0" applyFont="1" applyFill="1" applyBorder="1" applyAlignment="1" applyProtection="1">
      <alignment horizontal="center" vertical="center" wrapText="1" shrinkToFit="1"/>
      <protection locked="0"/>
    </xf>
    <xf numFmtId="0" fontId="160" fillId="0" borderId="2" xfId="0" applyFont="1" applyFill="1" applyBorder="1" applyAlignment="1" applyProtection="1">
      <alignment horizontal="center" vertical="center" wrapText="1" shrinkToFit="1"/>
      <protection locked="0"/>
    </xf>
    <xf numFmtId="0" fontId="161" fillId="0" borderId="12" xfId="0" applyFont="1" applyFill="1" applyBorder="1" applyAlignment="1" applyProtection="1">
      <alignment horizontal="center" vertical="center" wrapText="1" shrinkToFit="1"/>
      <protection locked="0"/>
    </xf>
    <xf numFmtId="190" fontId="114" fillId="0" borderId="11" xfId="0" applyNumberFormat="1" applyFont="1" applyFill="1" applyBorder="1" applyAlignment="1" applyProtection="1">
      <alignment horizontal="center" vertical="center"/>
    </xf>
    <xf numFmtId="0" fontId="114" fillId="0" borderId="2" xfId="0" applyFont="1" applyFill="1" applyBorder="1" applyAlignment="1" applyProtection="1">
      <alignment horizontal="center" vertical="center" wrapText="1" shrinkToFit="1"/>
      <protection locked="0"/>
    </xf>
    <xf numFmtId="0" fontId="162" fillId="0" borderId="2" xfId="0" applyFont="1" applyFill="1" applyBorder="1" applyAlignment="1" applyProtection="1">
      <alignment horizontal="center" vertical="center" wrapText="1" shrinkToFit="1"/>
      <protection locked="0"/>
    </xf>
    <xf numFmtId="0" fontId="114" fillId="0" borderId="3" xfId="0" applyFont="1" applyFill="1" applyBorder="1" applyAlignment="1" applyProtection="1">
      <alignment horizontal="center" vertical="center" wrapText="1" shrinkToFit="1"/>
      <protection locked="0"/>
    </xf>
    <xf numFmtId="0" fontId="114" fillId="0" borderId="3" xfId="0" applyNumberFormat="1" applyFont="1" applyFill="1" applyBorder="1" applyAlignment="1" applyProtection="1">
      <alignment horizontal="center" vertical="center" shrinkToFit="1"/>
      <protection locked="0"/>
    </xf>
    <xf numFmtId="0" fontId="114" fillId="0" borderId="2" xfId="0" applyFont="1" applyFill="1" applyBorder="1" applyAlignment="1" applyProtection="1">
      <alignment horizontal="center" vertical="center" shrinkToFit="1"/>
      <protection locked="0"/>
    </xf>
    <xf numFmtId="0" fontId="114" fillId="0" borderId="3" xfId="0" applyFont="1" applyFill="1" applyBorder="1" applyAlignment="1" applyProtection="1">
      <alignment horizontal="center" vertical="center" shrinkToFit="1"/>
      <protection locked="0"/>
    </xf>
    <xf numFmtId="0" fontId="162" fillId="14" borderId="2" xfId="0" applyFont="1" applyFill="1" applyBorder="1" applyAlignment="1" applyProtection="1">
      <alignment horizontal="center" vertical="center" wrapText="1" shrinkToFit="1"/>
      <protection locked="0"/>
    </xf>
    <xf numFmtId="0" fontId="152" fillId="0" borderId="0" xfId="0" applyFont="1" applyFill="1" applyAlignment="1" applyProtection="1">
      <alignment vertical="center"/>
    </xf>
    <xf numFmtId="0" fontId="96" fillId="0" borderId="0" xfId="0" applyFont="1" applyFill="1" applyAlignment="1" applyProtection="1">
      <alignment vertical="center"/>
    </xf>
    <xf numFmtId="188" fontId="96" fillId="0" borderId="0" xfId="0" applyNumberFormat="1" applyFont="1" applyFill="1" applyAlignment="1" applyProtection="1">
      <alignment vertical="center"/>
    </xf>
    <xf numFmtId="0" fontId="152" fillId="0" borderId="0" xfId="0" applyFont="1" applyFill="1" applyAlignment="1" applyProtection="1">
      <alignment vertical="center" wrapText="1"/>
    </xf>
    <xf numFmtId="0" fontId="124" fillId="0" borderId="0" xfId="0" applyFont="1" applyFill="1" applyAlignment="1" applyProtection="1">
      <alignment vertical="center"/>
      <protection locked="0"/>
    </xf>
    <xf numFmtId="0" fontId="96" fillId="0" borderId="0" xfId="0" applyFont="1" applyFill="1" applyAlignment="1" applyProtection="1">
      <alignment horizontal="center" vertical="center"/>
    </xf>
    <xf numFmtId="188" fontId="96" fillId="0" borderId="0" xfId="0" applyNumberFormat="1" applyFont="1" applyFill="1" applyAlignment="1" applyProtection="1">
      <alignment horizontal="center" vertical="center"/>
    </xf>
    <xf numFmtId="0" fontId="152" fillId="0" borderId="0" xfId="0" applyFont="1" applyFill="1" applyAlignment="1" applyProtection="1">
      <alignment horizontal="center" vertical="center" wrapText="1"/>
    </xf>
    <xf numFmtId="186" fontId="163" fillId="0" borderId="2" xfId="0" applyNumberFormat="1" applyFont="1" applyFill="1" applyBorder="1" applyAlignment="1" applyProtection="1">
      <alignment horizontal="center" vertical="center" wrapText="1" shrinkToFit="1"/>
    </xf>
    <xf numFmtId="188" fontId="163" fillId="0" borderId="2" xfId="0" applyNumberFormat="1" applyFont="1" applyFill="1" applyBorder="1" applyAlignment="1" applyProtection="1">
      <alignment horizontal="center" vertical="center" wrapText="1" shrinkToFit="1"/>
    </xf>
    <xf numFmtId="0" fontId="115" fillId="0" borderId="2" xfId="0" applyFont="1" applyFill="1" applyBorder="1" applyAlignment="1" applyProtection="1">
      <alignment horizontal="center" vertical="center" wrapText="1" shrinkToFit="1"/>
      <protection locked="0"/>
    </xf>
    <xf numFmtId="0" fontId="115" fillId="0" borderId="14" xfId="0" applyFont="1" applyFill="1" applyBorder="1" applyAlignment="1" applyProtection="1">
      <alignment horizontal="center" vertical="center"/>
      <protection locked="0"/>
    </xf>
    <xf numFmtId="0" fontId="114" fillId="0" borderId="14" xfId="0" applyFont="1" applyFill="1" applyBorder="1" applyAlignment="1" applyProtection="1">
      <alignment horizontal="center" vertical="center"/>
      <protection locked="0"/>
    </xf>
    <xf numFmtId="0" fontId="114" fillId="0" borderId="14" xfId="0" applyFont="1" applyFill="1" applyBorder="1" applyAlignment="1" applyProtection="1">
      <alignment horizontal="center" vertical="center"/>
    </xf>
    <xf numFmtId="186" fontId="102" fillId="0" borderId="14" xfId="0" applyNumberFormat="1" applyFont="1" applyFill="1" applyBorder="1" applyAlignment="1" applyProtection="1">
      <alignment horizontal="center" vertical="center" wrapText="1" shrinkToFit="1"/>
    </xf>
    <xf numFmtId="186" fontId="90" fillId="0" borderId="14" xfId="0" applyNumberFormat="1" applyFont="1" applyFill="1" applyBorder="1" applyAlignment="1" applyProtection="1">
      <alignment horizontal="center" vertical="center" wrapText="1" shrinkToFit="1"/>
    </xf>
    <xf numFmtId="182" fontId="114" fillId="0" borderId="2" xfId="0" applyNumberFormat="1" applyFont="1" applyFill="1" applyBorder="1" applyAlignment="1" applyProtection="1">
      <alignment horizontal="center" vertical="center"/>
    </xf>
    <xf numFmtId="182" fontId="114" fillId="0" borderId="2" xfId="0" applyNumberFormat="1" applyFont="1" applyFill="1" applyBorder="1" applyAlignment="1" applyProtection="1">
      <alignment horizontal="center" vertical="center" wrapText="1"/>
    </xf>
    <xf numFmtId="0" fontId="114" fillId="14" borderId="2" xfId="0" applyFont="1" applyFill="1" applyBorder="1" applyAlignment="1" applyProtection="1">
      <alignment horizontal="center" vertical="center"/>
      <protection locked="0"/>
    </xf>
    <xf numFmtId="188" fontId="152" fillId="0" borderId="0" xfId="0" applyNumberFormat="1" applyFont="1" applyFill="1" applyAlignment="1" applyProtection="1">
      <alignment vertical="center" wrapText="1"/>
    </xf>
    <xf numFmtId="0" fontId="152" fillId="0" borderId="0" xfId="0" applyNumberFormat="1" applyFont="1" applyFill="1" applyAlignment="1" applyProtection="1">
      <alignment vertical="center" wrapText="1"/>
    </xf>
    <xf numFmtId="188" fontId="152" fillId="0" borderId="0" xfId="0" applyNumberFormat="1" applyFont="1" applyFill="1" applyAlignment="1" applyProtection="1">
      <alignment horizontal="center" vertical="center" wrapText="1"/>
    </xf>
    <xf numFmtId="0" fontId="152" fillId="0" borderId="0" xfId="0" applyNumberFormat="1" applyFont="1" applyFill="1" applyAlignment="1" applyProtection="1">
      <alignment horizontal="center" vertical="center" wrapText="1"/>
    </xf>
    <xf numFmtId="190" fontId="155" fillId="0" borderId="11" xfId="0" applyNumberFormat="1" applyFont="1" applyFill="1" applyBorder="1" applyAlignment="1" applyProtection="1">
      <alignment vertical="center"/>
    </xf>
    <xf numFmtId="0" fontId="160" fillId="0" borderId="2" xfId="0" applyFont="1" applyFill="1" applyBorder="1" applyAlignment="1" applyProtection="1">
      <alignment horizontal="center" vertical="center" wrapText="1" shrinkToFit="1"/>
    </xf>
    <xf numFmtId="188" fontId="158" fillId="0" borderId="2" xfId="0" applyNumberFormat="1" applyFont="1" applyFill="1" applyBorder="1" applyAlignment="1" applyProtection="1">
      <alignment horizontal="center" vertical="center" wrapText="1" shrinkToFit="1"/>
    </xf>
    <xf numFmtId="0" fontId="158" fillId="0" borderId="2" xfId="0" applyNumberFormat="1" applyFont="1" applyFill="1" applyBorder="1" applyAlignment="1" applyProtection="1">
      <alignment horizontal="center" vertical="center" wrapText="1" shrinkToFit="1"/>
    </xf>
    <xf numFmtId="0" fontId="115" fillId="0" borderId="2" xfId="0" applyNumberFormat="1" applyFont="1" applyFill="1" applyBorder="1" applyAlignment="1" applyProtection="1">
      <alignment horizontal="center" vertical="center" wrapText="1"/>
    </xf>
    <xf numFmtId="188" fontId="115" fillId="0" borderId="2" xfId="0" applyNumberFormat="1" applyFont="1" applyFill="1" applyBorder="1" applyAlignment="1" applyProtection="1">
      <alignment horizontal="center" vertical="center" wrapText="1" shrinkToFit="1"/>
    </xf>
    <xf numFmtId="0" fontId="114" fillId="0" borderId="2" xfId="0" applyNumberFormat="1" applyFont="1" applyFill="1" applyBorder="1" applyAlignment="1" applyProtection="1">
      <alignment horizontal="center" vertical="center" wrapText="1"/>
    </xf>
    <xf numFmtId="0" fontId="114" fillId="0" borderId="2" xfId="0" applyFont="1" applyFill="1" applyBorder="1" applyAlignment="1" applyProtection="1">
      <alignment horizontal="center" vertical="center" wrapText="1" shrinkToFit="1"/>
    </xf>
    <xf numFmtId="0" fontId="115" fillId="0" borderId="0" xfId="0" applyFont="1" applyFill="1" applyAlignment="1" applyProtection="1">
      <alignment vertical="center" wrapText="1"/>
    </xf>
    <xf numFmtId="0" fontId="152" fillId="0" borderId="0" xfId="0" applyNumberFormat="1" applyFont="1" applyFill="1" applyAlignment="1" applyProtection="1">
      <alignment vertical="center"/>
    </xf>
    <xf numFmtId="0" fontId="151" fillId="0" borderId="0" xfId="0" applyFont="1" applyFill="1" applyAlignment="1" applyProtection="1">
      <alignment vertical="center"/>
    </xf>
    <xf numFmtId="181" fontId="152" fillId="0" borderId="0" xfId="0" applyNumberFormat="1" applyFont="1" applyFill="1" applyAlignment="1" applyProtection="1">
      <alignment horizontal="center" vertical="center"/>
    </xf>
    <xf numFmtId="0" fontId="152" fillId="0" borderId="0" xfId="0" applyNumberFormat="1" applyFont="1" applyFill="1" applyAlignment="1" applyProtection="1">
      <alignment horizontal="center" vertical="center"/>
    </xf>
    <xf numFmtId="0" fontId="151" fillId="0" borderId="0" xfId="0" applyFont="1" applyFill="1" applyAlignment="1" applyProtection="1">
      <alignment horizontal="center" vertical="center"/>
    </xf>
    <xf numFmtId="181" fontId="158" fillId="0" borderId="2" xfId="0" applyNumberFormat="1" applyFont="1" applyFill="1" applyBorder="1" applyAlignment="1" applyProtection="1">
      <alignment horizontal="center" vertical="center" wrapText="1" shrinkToFit="1"/>
    </xf>
    <xf numFmtId="187" fontId="158" fillId="0" borderId="2" xfId="0" applyNumberFormat="1" applyFont="1" applyFill="1" applyBorder="1" applyAlignment="1" applyProtection="1">
      <alignment horizontal="center" vertical="center" wrapText="1" shrinkToFit="1"/>
    </xf>
    <xf numFmtId="189" fontId="114" fillId="0" borderId="2" xfId="0" applyNumberFormat="1" applyFont="1" applyFill="1" applyBorder="1" applyAlignment="1" applyProtection="1">
      <alignment horizontal="center" vertical="center" wrapText="1" shrinkToFit="1"/>
    </xf>
    <xf numFmtId="181" fontId="114" fillId="0" borderId="2" xfId="0" applyNumberFormat="1" applyFont="1" applyFill="1" applyBorder="1" applyAlignment="1" applyProtection="1">
      <alignment horizontal="center" vertical="center"/>
    </xf>
    <xf numFmtId="0" fontId="102" fillId="0" borderId="2" xfId="0" applyNumberFormat="1" applyFont="1" applyFill="1" applyBorder="1" applyAlignment="1" applyProtection="1">
      <alignment horizontal="center" vertical="center" wrapText="1" shrinkToFit="1"/>
    </xf>
    <xf numFmtId="0" fontId="114" fillId="0" borderId="2" xfId="0" applyNumberFormat="1" applyFont="1" applyFill="1" applyBorder="1" applyAlignment="1" applyProtection="1">
      <alignment horizontal="center" vertical="center" wrapText="1" shrinkToFit="1"/>
    </xf>
    <xf numFmtId="186" fontId="164" fillId="0" borderId="2" xfId="0" applyNumberFormat="1" applyFont="1" applyFill="1" applyBorder="1" applyAlignment="1" applyProtection="1">
      <alignment horizontal="center" vertical="center" wrapText="1" shrinkToFit="1"/>
    </xf>
    <xf numFmtId="183" fontId="115" fillId="0" borderId="14" xfId="0" applyNumberFormat="1" applyFont="1" applyFill="1" applyBorder="1" applyAlignment="1" applyProtection="1">
      <alignment horizontal="center" vertical="center" wrapText="1"/>
    </xf>
    <xf numFmtId="183" fontId="115" fillId="7" borderId="14" xfId="0" applyNumberFormat="1" applyFont="1" applyFill="1" applyBorder="1" applyAlignment="1" applyProtection="1">
      <alignment horizontal="center" vertical="center" wrapText="1"/>
    </xf>
    <xf numFmtId="0" fontId="114" fillId="14" borderId="2" xfId="0" applyNumberFormat="1" applyFont="1" applyFill="1" applyBorder="1" applyAlignment="1" applyProtection="1">
      <alignment horizontal="center" vertical="center" wrapText="1" shrinkToFit="1"/>
    </xf>
    <xf numFmtId="182" fontId="114" fillId="0" borderId="14" xfId="0" applyNumberFormat="1" applyFont="1" applyFill="1" applyBorder="1" applyAlignment="1" applyProtection="1">
      <alignment horizontal="center" vertical="center"/>
    </xf>
    <xf numFmtId="182" fontId="152" fillId="0" borderId="0" xfId="0" applyNumberFormat="1" applyFont="1" applyFill="1" applyAlignment="1" applyProtection="1">
      <alignment vertical="center"/>
    </xf>
    <xf numFmtId="182" fontId="152" fillId="14" borderId="0" xfId="0" applyNumberFormat="1" applyFont="1" applyFill="1" applyAlignment="1" applyProtection="1">
      <alignment vertical="center"/>
    </xf>
    <xf numFmtId="182" fontId="161" fillId="0" borderId="2" xfId="0" applyNumberFormat="1" applyFont="1" applyFill="1" applyBorder="1" applyAlignment="1" applyProtection="1">
      <alignment horizontal="center" vertical="center"/>
    </xf>
    <xf numFmtId="182" fontId="152" fillId="0" borderId="2" xfId="0" applyNumberFormat="1" applyFont="1" applyFill="1" applyBorder="1" applyAlignment="1" applyProtection="1">
      <alignment horizontal="center" vertical="center"/>
    </xf>
    <xf numFmtId="182" fontId="161" fillId="0" borderId="3" xfId="0" applyNumberFormat="1" applyFont="1" applyFill="1" applyBorder="1" applyAlignment="1" applyProtection="1">
      <alignment horizontal="center" vertical="center"/>
    </xf>
    <xf numFmtId="182" fontId="161" fillId="0" borderId="6" xfId="0" applyNumberFormat="1" applyFont="1" applyFill="1" applyBorder="1" applyAlignment="1" applyProtection="1">
      <alignment horizontal="center" vertical="center"/>
    </xf>
    <xf numFmtId="182" fontId="152" fillId="0" borderId="7" xfId="0" applyNumberFormat="1" applyFont="1" applyFill="1" applyBorder="1" applyAlignment="1" applyProtection="1">
      <alignment horizontal="center" vertical="center"/>
    </xf>
    <xf numFmtId="182" fontId="152" fillId="14" borderId="2" xfId="0" applyNumberFormat="1" applyFont="1" applyFill="1" applyBorder="1" applyAlignment="1" applyProtection="1">
      <alignment horizontal="center" vertical="center"/>
    </xf>
    <xf numFmtId="182" fontId="160" fillId="0" borderId="2" xfId="0" applyNumberFormat="1" applyFont="1" applyFill="1" applyBorder="1" applyAlignment="1" applyProtection="1">
      <alignment horizontal="center" vertical="center" wrapText="1" shrinkToFit="1"/>
    </xf>
    <xf numFmtId="182" fontId="158" fillId="0" borderId="2" xfId="0" applyNumberFormat="1" applyFont="1" applyFill="1" applyBorder="1" applyAlignment="1" applyProtection="1">
      <alignment horizontal="center" vertical="center" wrapText="1" shrinkToFit="1"/>
    </xf>
    <xf numFmtId="186" fontId="114" fillId="0" borderId="2" xfId="0" applyNumberFormat="1" applyFont="1" applyFill="1" applyBorder="1" applyAlignment="1" applyProtection="1">
      <alignment horizontal="center" vertical="center" wrapText="1" shrinkToFit="1"/>
    </xf>
    <xf numFmtId="182" fontId="114" fillId="0" borderId="12" xfId="0" applyNumberFormat="1" applyFont="1" applyFill="1" applyBorder="1" applyAlignment="1" applyProtection="1">
      <alignment horizontal="center" vertical="center"/>
    </xf>
    <xf numFmtId="182" fontId="121" fillId="15" borderId="2" xfId="0" applyNumberFormat="1" applyFont="1" applyFill="1" applyBorder="1" applyAlignment="1" applyProtection="1">
      <alignment horizontal="center" vertical="center"/>
    </xf>
    <xf numFmtId="0" fontId="114" fillId="0" borderId="2" xfId="0" applyFont="1" applyFill="1" applyBorder="1" applyAlignment="1" applyProtection="1">
      <alignment horizontal="center" vertical="center"/>
    </xf>
    <xf numFmtId="182" fontId="121" fillId="7" borderId="2" xfId="0" applyNumberFormat="1" applyFont="1" applyFill="1" applyBorder="1" applyAlignment="1" applyProtection="1">
      <alignment horizontal="center" vertical="center"/>
    </xf>
    <xf numFmtId="0" fontId="121" fillId="15" borderId="2" xfId="0" applyFont="1" applyFill="1" applyBorder="1" applyAlignment="1" applyProtection="1">
      <alignment horizontal="center" vertical="center"/>
    </xf>
    <xf numFmtId="0" fontId="121" fillId="7" borderId="2" xfId="0" applyFont="1" applyFill="1" applyBorder="1" applyAlignment="1" applyProtection="1">
      <alignment horizontal="center" vertical="center"/>
    </xf>
    <xf numFmtId="182" fontId="160" fillId="0" borderId="3" xfId="0" applyNumberFormat="1" applyFont="1" applyFill="1" applyBorder="1" applyAlignment="1" applyProtection="1">
      <alignment horizontal="center" vertical="center" wrapText="1" shrinkToFit="1"/>
    </xf>
    <xf numFmtId="0" fontId="165" fillId="0" borderId="0" xfId="0" applyFont="1" applyFill="1" applyAlignment="1" applyProtection="1">
      <alignment horizontal="center" vertical="center" wrapText="1"/>
    </xf>
    <xf numFmtId="182" fontId="121" fillId="15" borderId="3" xfId="0" applyNumberFormat="1" applyFont="1" applyFill="1" applyBorder="1" applyAlignment="1" applyProtection="1">
      <alignment horizontal="center" vertical="center"/>
    </xf>
    <xf numFmtId="0" fontId="114" fillId="0" borderId="0" xfId="0" applyFont="1" applyFill="1" applyAlignment="1" applyProtection="1">
      <alignment horizontal="center" vertical="center"/>
    </xf>
    <xf numFmtId="182" fontId="121" fillId="0" borderId="3" xfId="0" applyNumberFormat="1" applyFont="1" applyFill="1" applyBorder="1" applyAlignment="1" applyProtection="1">
      <alignment horizontal="center" vertical="center"/>
    </xf>
    <xf numFmtId="182" fontId="121" fillId="7" borderId="3" xfId="0" applyNumberFormat="1" applyFont="1" applyFill="1" applyBorder="1" applyAlignment="1" applyProtection="1">
      <alignment horizontal="center" vertical="center"/>
    </xf>
    <xf numFmtId="0" fontId="165" fillId="0" borderId="0" xfId="0" applyFont="1" applyFill="1" applyAlignment="1" applyProtection="1">
      <alignment horizontal="center" vertical="center"/>
    </xf>
    <xf numFmtId="0" fontId="114" fillId="0" borderId="2" xfId="0" applyFont="1" applyFill="1" applyBorder="1" applyAlignment="1" applyProtection="1">
      <alignment horizontal="center" vertical="center" wrapText="1"/>
      <protection locked="0"/>
    </xf>
    <xf numFmtId="0" fontId="162" fillId="0" borderId="2" xfId="0" applyFont="1" applyFill="1" applyBorder="1" applyAlignment="1" applyProtection="1">
      <alignment horizontal="center" vertical="center"/>
      <protection locked="0"/>
    </xf>
    <xf numFmtId="0" fontId="114" fillId="0" borderId="3" xfId="0" applyFont="1" applyFill="1" applyBorder="1" applyAlignment="1" applyProtection="1">
      <alignment horizontal="center" vertical="center" wrapText="1"/>
      <protection locked="0"/>
    </xf>
    <xf numFmtId="183" fontId="114" fillId="0" borderId="3" xfId="0" applyNumberFormat="1" applyFont="1" applyFill="1" applyBorder="1" applyAlignment="1" applyProtection="1">
      <alignment horizontal="center" vertical="center"/>
      <protection locked="0"/>
    </xf>
    <xf numFmtId="186" fontId="102" fillId="0" borderId="2" xfId="0" applyNumberFormat="1" applyFont="1" applyFill="1" applyBorder="1" applyAlignment="1" applyProtection="1">
      <alignment horizontal="center" vertical="center" wrapText="1" shrinkToFit="1"/>
    </xf>
    <xf numFmtId="0" fontId="115" fillId="0" borderId="2" xfId="0" applyFont="1" applyFill="1" applyBorder="1" applyAlignment="1" applyProtection="1">
      <alignment horizontal="center" vertical="center" wrapText="1"/>
      <protection locked="0"/>
    </xf>
    <xf numFmtId="0" fontId="114" fillId="0" borderId="3" xfId="0" applyFont="1" applyFill="1" applyBorder="1" applyAlignment="1" applyProtection="1">
      <alignment horizontal="center" vertical="center"/>
      <protection locked="0"/>
    </xf>
    <xf numFmtId="0" fontId="103" fillId="0" borderId="2" xfId="0" applyFont="1" applyFill="1" applyBorder="1" applyAlignment="1" applyProtection="1">
      <alignment horizontal="center" vertical="center" wrapText="1"/>
    </xf>
    <xf numFmtId="184" fontId="114" fillId="0" borderId="2" xfId="0" applyNumberFormat="1" applyFont="1" applyFill="1" applyBorder="1" applyAlignment="1" applyProtection="1">
      <alignment horizontal="center" vertical="center"/>
    </xf>
    <xf numFmtId="0" fontId="114" fillId="0" borderId="2" xfId="0" applyNumberFormat="1" applyFont="1" applyFill="1" applyBorder="1" applyAlignment="1" applyProtection="1">
      <alignment horizontal="center" vertical="center"/>
    </xf>
    <xf numFmtId="183" fontId="164" fillId="0" borderId="2" xfId="0" applyNumberFormat="1" applyFont="1" applyFill="1" applyBorder="1" applyAlignment="1" applyProtection="1">
      <alignment horizontal="center" vertical="center"/>
    </xf>
    <xf numFmtId="182" fontId="121" fillId="10" borderId="2" xfId="0" applyNumberFormat="1" applyFont="1" applyFill="1" applyBorder="1" applyAlignment="1" applyProtection="1">
      <alignment horizontal="center" vertical="center"/>
    </xf>
    <xf numFmtId="182" fontId="121" fillId="0" borderId="2" xfId="0" applyNumberFormat="1" applyFont="1" applyFill="1" applyBorder="1" applyAlignment="1" applyProtection="1">
      <alignment horizontal="center" vertical="center"/>
    </xf>
    <xf numFmtId="0" fontId="121" fillId="0" borderId="2" xfId="0" applyFont="1" applyFill="1" applyBorder="1" applyAlignment="1" applyProtection="1">
      <alignment horizontal="center" vertical="center"/>
    </xf>
    <xf numFmtId="182" fontId="121" fillId="10" borderId="3" xfId="0" applyNumberFormat="1" applyFont="1" applyFill="1" applyBorder="1" applyAlignment="1" applyProtection="1">
      <alignment horizontal="center" vertical="center"/>
    </xf>
    <xf numFmtId="0" fontId="162" fillId="0" borderId="2" xfId="0" applyFont="1" applyFill="1" applyBorder="1" applyAlignment="1" applyProtection="1">
      <alignment horizontal="center" vertical="center" wrapText="1"/>
      <protection locked="0"/>
    </xf>
    <xf numFmtId="0" fontId="162" fillId="14" borderId="2" xfId="0" applyFont="1" applyFill="1" applyBorder="1" applyAlignment="1" applyProtection="1">
      <alignment horizontal="center" vertical="center"/>
      <protection locked="0"/>
    </xf>
    <xf numFmtId="190" fontId="114" fillId="0" borderId="2" xfId="0" applyNumberFormat="1" applyFont="1" applyFill="1" applyBorder="1" applyAlignment="1" applyProtection="1">
      <alignment horizontal="center" vertical="center"/>
    </xf>
    <xf numFmtId="190" fontId="114" fillId="0" borderId="0" xfId="0" applyNumberFormat="1" applyFont="1" applyFill="1" applyBorder="1" applyAlignment="1" applyProtection="1">
      <alignment horizontal="center" vertical="center"/>
    </xf>
    <xf numFmtId="0" fontId="114" fillId="0" borderId="12" xfId="0" applyFont="1" applyFill="1" applyBorder="1" applyAlignment="1" applyProtection="1">
      <alignment horizontal="center" vertical="center" wrapText="1"/>
      <protection locked="0"/>
    </xf>
    <xf numFmtId="183" fontId="114" fillId="0" borderId="12" xfId="0" applyNumberFormat="1" applyFont="1" applyFill="1" applyBorder="1" applyAlignment="1" applyProtection="1">
      <alignment horizontal="center" vertical="center"/>
      <protection locked="0"/>
    </xf>
    <xf numFmtId="0" fontId="162" fillId="14" borderId="12" xfId="0" applyFont="1" applyFill="1" applyBorder="1" applyAlignment="1" applyProtection="1">
      <alignment horizontal="center" vertical="center"/>
      <protection locked="0"/>
    </xf>
    <xf numFmtId="0" fontId="162" fillId="0" borderId="12" xfId="0" applyFont="1" applyFill="1" applyBorder="1" applyAlignment="1" applyProtection="1">
      <alignment horizontal="center" vertical="center" wrapText="1"/>
      <protection locked="0"/>
    </xf>
    <xf numFmtId="0" fontId="114" fillId="0" borderId="12" xfId="0" applyFont="1" applyFill="1" applyBorder="1" applyAlignment="1" applyProtection="1">
      <alignment horizontal="center" vertical="center"/>
      <protection locked="0"/>
    </xf>
    <xf numFmtId="0" fontId="114" fillId="0" borderId="14" xfId="0" applyFont="1" applyFill="1" applyBorder="1" applyAlignment="1" applyProtection="1">
      <alignment horizontal="center" vertical="center" wrapText="1"/>
      <protection locked="0"/>
    </xf>
    <xf numFmtId="183" fontId="114" fillId="0" borderId="14" xfId="0" applyNumberFormat="1" applyFont="1" applyFill="1" applyBorder="1" applyAlignment="1" applyProtection="1">
      <alignment horizontal="center" vertical="center"/>
      <protection locked="0"/>
    </xf>
    <xf numFmtId="0" fontId="162" fillId="14" borderId="14" xfId="0" applyFont="1" applyFill="1" applyBorder="1" applyAlignment="1" applyProtection="1">
      <alignment horizontal="center" vertical="center"/>
      <protection locked="0"/>
    </xf>
    <xf numFmtId="0" fontId="114" fillId="0" borderId="15" xfId="0" applyFont="1" applyFill="1" applyBorder="1" applyAlignment="1" applyProtection="1">
      <alignment horizontal="center" vertical="center" wrapText="1"/>
      <protection locked="0"/>
    </xf>
    <xf numFmtId="0" fontId="114" fillId="0" borderId="14" xfId="0" applyFont="1" applyFill="1" applyBorder="1" applyAlignment="1" applyProtection="1">
      <alignment horizontal="center" vertical="center" wrapText="1" shrinkToFit="1"/>
      <protection locked="0"/>
    </xf>
    <xf numFmtId="0" fontId="115" fillId="0" borderId="2" xfId="0" applyFont="1" applyFill="1" applyBorder="1" applyAlignment="1" applyProtection="1">
      <alignment horizontal="center" vertical="center"/>
      <protection locked="0"/>
    </xf>
    <xf numFmtId="0" fontId="115" fillId="0" borderId="12" xfId="0" applyFont="1" applyFill="1" applyBorder="1" applyAlignment="1" applyProtection="1">
      <alignment horizontal="center" vertical="center" wrapText="1" shrinkToFit="1"/>
      <protection locked="0"/>
    </xf>
    <xf numFmtId="0" fontId="115" fillId="0" borderId="16" xfId="0" applyFont="1" applyFill="1" applyBorder="1" applyAlignment="1" applyProtection="1">
      <alignment horizontal="center" vertical="center"/>
      <protection locked="0"/>
    </xf>
    <xf numFmtId="0" fontId="114" fillId="0" borderId="16" xfId="0" applyFont="1" applyFill="1" applyBorder="1" applyAlignment="1" applyProtection="1">
      <alignment horizontal="center" vertical="center"/>
      <protection locked="0"/>
    </xf>
    <xf numFmtId="0" fontId="114" fillId="0" borderId="16" xfId="0" applyFont="1" applyFill="1" applyBorder="1" applyAlignment="1" applyProtection="1">
      <alignment horizontal="center" vertical="center"/>
    </xf>
    <xf numFmtId="186" fontId="102" fillId="0" borderId="16" xfId="0" applyNumberFormat="1" applyFont="1" applyFill="1" applyBorder="1" applyAlignment="1" applyProtection="1">
      <alignment horizontal="center" vertical="center" wrapText="1" shrinkToFit="1"/>
    </xf>
    <xf numFmtId="183" fontId="114" fillId="0" borderId="16" xfId="0" applyNumberFormat="1" applyFont="1" applyFill="1" applyBorder="1" applyAlignment="1" applyProtection="1">
      <alignment horizontal="center" vertical="center" wrapText="1"/>
    </xf>
    <xf numFmtId="0" fontId="115" fillId="0" borderId="14" xfId="0" applyFont="1" applyFill="1" applyBorder="1" applyAlignment="1" applyProtection="1">
      <alignment horizontal="center" vertical="center" wrapText="1"/>
      <protection locked="0"/>
    </xf>
    <xf numFmtId="183" fontId="114" fillId="0" borderId="14" xfId="0" applyNumberFormat="1" applyFont="1" applyFill="1" applyBorder="1" applyAlignment="1" applyProtection="1">
      <alignment horizontal="center" vertical="center"/>
    </xf>
    <xf numFmtId="0" fontId="115" fillId="0" borderId="2" xfId="0" applyFont="1" applyFill="1" applyBorder="1" applyAlignment="1" applyProtection="1">
      <alignment vertical="center" wrapText="1"/>
    </xf>
    <xf numFmtId="0" fontId="89" fillId="0" borderId="2" xfId="0" applyFont="1" applyFill="1" applyBorder="1" applyAlignment="1" applyProtection="1">
      <alignment horizontal="center" vertical="center"/>
      <protection locked="0"/>
    </xf>
    <xf numFmtId="188" fontId="114" fillId="0" borderId="2" xfId="0" applyNumberFormat="1" applyFont="1" applyFill="1" applyBorder="1" applyAlignment="1" applyProtection="1">
      <alignment horizontal="center" vertical="center" wrapText="1"/>
    </xf>
    <xf numFmtId="183" fontId="114" fillId="0" borderId="12" xfId="0" applyNumberFormat="1" applyFont="1" applyFill="1" applyBorder="1" applyAlignment="1" applyProtection="1">
      <alignment horizontal="center" vertical="center"/>
    </xf>
    <xf numFmtId="188" fontId="115" fillId="0" borderId="16" xfId="0" applyNumberFormat="1" applyFont="1" applyFill="1" applyBorder="1" applyAlignment="1" applyProtection="1">
      <alignment horizontal="center" vertical="center" wrapText="1" shrinkToFit="1"/>
    </xf>
    <xf numFmtId="188" fontId="114" fillId="0" borderId="16" xfId="0" applyNumberFormat="1" applyFont="1" applyFill="1" applyBorder="1" applyAlignment="1" applyProtection="1">
      <alignment horizontal="center" vertical="center" wrapText="1" shrinkToFit="1"/>
    </xf>
    <xf numFmtId="188" fontId="114" fillId="0" borderId="16" xfId="0" applyNumberFormat="1" applyFont="1" applyFill="1" applyBorder="1" applyAlignment="1" applyProtection="1">
      <alignment horizontal="center" vertical="center" wrapText="1"/>
    </xf>
    <xf numFmtId="183" fontId="114" fillId="0" borderId="12" xfId="0" applyNumberFormat="1" applyFont="1" applyFill="1" applyBorder="1" applyAlignment="1" applyProtection="1">
      <alignment horizontal="center" vertical="center" wrapText="1"/>
    </xf>
    <xf numFmtId="0" fontId="114" fillId="0" borderId="12" xfId="0" applyNumberFormat="1" applyFont="1" applyFill="1" applyBorder="1" applyAlignment="1" applyProtection="1">
      <alignment horizontal="center" vertical="center" wrapText="1"/>
    </xf>
    <xf numFmtId="0" fontId="114" fillId="0" borderId="12" xfId="0" applyFont="1" applyFill="1" applyBorder="1" applyAlignment="1" applyProtection="1">
      <alignment horizontal="center" vertical="center"/>
    </xf>
    <xf numFmtId="0" fontId="114" fillId="0" borderId="14" xfId="0" applyNumberFormat="1" applyFont="1" applyFill="1" applyBorder="1" applyAlignment="1" applyProtection="1">
      <alignment horizontal="center" vertical="center" wrapText="1"/>
    </xf>
    <xf numFmtId="183" fontId="164" fillId="7" borderId="2" xfId="0" applyNumberFormat="1" applyFont="1" applyFill="1" applyBorder="1" applyAlignment="1" applyProtection="1">
      <alignment horizontal="center" vertical="center"/>
    </xf>
    <xf numFmtId="189" fontId="114" fillId="0" borderId="12" xfId="0" applyNumberFormat="1" applyFont="1" applyFill="1" applyBorder="1" applyAlignment="1" applyProtection="1">
      <alignment horizontal="center" vertical="center" wrapText="1" shrinkToFit="1"/>
    </xf>
    <xf numFmtId="181" fontId="114" fillId="0" borderId="12" xfId="0" applyNumberFormat="1" applyFont="1" applyFill="1" applyBorder="1" applyAlignment="1" applyProtection="1">
      <alignment horizontal="center" vertical="center"/>
    </xf>
    <xf numFmtId="0" fontId="114" fillId="0" borderId="12" xfId="0" applyNumberFormat="1" applyFont="1" applyFill="1" applyBorder="1" applyAlignment="1" applyProtection="1">
      <alignment horizontal="center" vertical="center" wrapText="1" shrinkToFit="1"/>
    </xf>
    <xf numFmtId="0" fontId="114" fillId="0" borderId="12" xfId="0" applyNumberFormat="1" applyFont="1" applyFill="1" applyBorder="1" applyAlignment="1" applyProtection="1">
      <alignment horizontal="center" vertical="center"/>
    </xf>
    <xf numFmtId="183" fontId="164" fillId="0" borderId="12" xfId="0" applyNumberFormat="1" applyFont="1" applyFill="1" applyBorder="1" applyAlignment="1" applyProtection="1">
      <alignment horizontal="center" vertical="center"/>
    </xf>
    <xf numFmtId="184" fontId="114" fillId="0" borderId="14" xfId="0" applyNumberFormat="1" applyFont="1" applyFill="1" applyBorder="1" applyAlignment="1" applyProtection="1">
      <alignment horizontal="center" vertical="center"/>
    </xf>
    <xf numFmtId="181" fontId="114" fillId="0" borderId="14" xfId="0" applyNumberFormat="1" applyFont="1" applyFill="1" applyBorder="1" applyAlignment="1" applyProtection="1">
      <alignment horizontal="center" vertical="center"/>
    </xf>
    <xf numFmtId="0" fontId="114" fillId="0" borderId="14" xfId="0" applyNumberFormat="1" applyFont="1" applyFill="1" applyBorder="1" applyAlignment="1" applyProtection="1">
      <alignment horizontal="center" vertical="center"/>
    </xf>
    <xf numFmtId="0" fontId="114" fillId="0" borderId="14" xfId="0" applyNumberFormat="1" applyFont="1" applyFill="1" applyBorder="1" applyAlignment="1" applyProtection="1">
      <alignment horizontal="center" vertical="center" wrapText="1" shrinkToFit="1"/>
    </xf>
    <xf numFmtId="182" fontId="114" fillId="0" borderId="16" xfId="0" applyNumberFormat="1" applyFont="1" applyFill="1" applyBorder="1" applyAlignment="1" applyProtection="1">
      <alignment horizontal="center" vertical="center"/>
    </xf>
    <xf numFmtId="182" fontId="121" fillId="7" borderId="12" xfId="0" applyNumberFormat="1" applyFont="1" applyFill="1" applyBorder="1" applyAlignment="1" applyProtection="1">
      <alignment horizontal="center" vertical="center"/>
    </xf>
    <xf numFmtId="182" fontId="121" fillId="15" borderId="14" xfId="0" applyNumberFormat="1" applyFont="1" applyFill="1" applyBorder="1" applyAlignment="1" applyProtection="1">
      <alignment horizontal="center" vertical="center"/>
    </xf>
    <xf numFmtId="0" fontId="121" fillId="0" borderId="0" xfId="0" applyFont="1" applyFill="1" applyAlignment="1" applyProtection="1">
      <alignment horizontal="center" vertical="center"/>
    </xf>
    <xf numFmtId="0" fontId="121" fillId="7" borderId="0" xfId="0" applyFont="1" applyFill="1" applyAlignment="1" applyProtection="1">
      <alignment horizontal="center" vertical="center"/>
    </xf>
    <xf numFmtId="182" fontId="121" fillId="15" borderId="0" xfId="0" applyNumberFormat="1" applyFont="1" applyFill="1" applyAlignment="1" applyProtection="1">
      <alignment horizontal="center" vertical="center"/>
    </xf>
    <xf numFmtId="0" fontId="162" fillId="0" borderId="14" xfId="0" applyFont="1" applyFill="1" applyBorder="1" applyAlignment="1" applyProtection="1">
      <alignment horizontal="center" vertical="center"/>
      <protection locked="0"/>
    </xf>
    <xf numFmtId="0" fontId="114" fillId="14" borderId="3" xfId="0" applyFont="1" applyFill="1" applyBorder="1" applyAlignment="1" applyProtection="1">
      <alignment horizontal="center" vertical="center" wrapText="1"/>
      <protection locked="0"/>
    </xf>
    <xf numFmtId="183" fontId="166" fillId="0" borderId="2" xfId="0" applyNumberFormat="1" applyFont="1" applyFill="1" applyBorder="1" applyAlignment="1" applyProtection="1">
      <alignment horizontal="center" vertical="center"/>
      <protection locked="0"/>
    </xf>
    <xf numFmtId="190" fontId="121" fillId="0" borderId="11" xfId="0" applyNumberFormat="1" applyFont="1" applyFill="1" applyBorder="1" applyAlignment="1" applyProtection="1">
      <alignment horizontal="center" vertical="center"/>
    </xf>
    <xf numFmtId="0" fontId="121" fillId="0" borderId="2" xfId="0" applyFont="1" applyFill="1" applyBorder="1" applyAlignment="1" applyProtection="1">
      <alignment horizontal="center" vertical="center" wrapText="1"/>
      <protection locked="0"/>
    </xf>
    <xf numFmtId="183" fontId="121" fillId="0" borderId="2" xfId="0" applyNumberFormat="1" applyFont="1" applyFill="1" applyBorder="1" applyAlignment="1" applyProtection="1">
      <alignment horizontal="center" vertical="center"/>
      <protection locked="0"/>
    </xf>
    <xf numFmtId="0" fontId="167" fillId="0" borderId="2" xfId="0" applyFont="1" applyFill="1" applyBorder="1" applyAlignment="1" applyProtection="1">
      <alignment horizontal="center" vertical="center"/>
      <protection locked="0"/>
    </xf>
    <xf numFmtId="0" fontId="121" fillId="0" borderId="3" xfId="0" applyFont="1" applyFill="1" applyBorder="1" applyAlignment="1" applyProtection="1">
      <alignment horizontal="center" vertical="center" wrapText="1"/>
      <protection locked="0"/>
    </xf>
    <xf numFmtId="0" fontId="167" fillId="0" borderId="2" xfId="0" applyFont="1" applyFill="1" applyBorder="1" applyAlignment="1" applyProtection="1">
      <alignment horizontal="center" vertical="center" wrapText="1"/>
      <protection locked="0"/>
    </xf>
    <xf numFmtId="0" fontId="121" fillId="0" borderId="2" xfId="0" applyFont="1" applyFill="1" applyBorder="1" applyAlignment="1" applyProtection="1">
      <alignment horizontal="center" vertical="center"/>
      <protection locked="0"/>
    </xf>
    <xf numFmtId="0" fontId="121" fillId="0" borderId="3" xfId="0" applyFont="1" applyFill="1" applyBorder="1" applyAlignment="1" applyProtection="1">
      <alignment horizontal="center" vertical="center" shrinkToFit="1"/>
      <protection locked="0"/>
    </xf>
    <xf numFmtId="0" fontId="121" fillId="14" borderId="2" xfId="0" applyFont="1" applyFill="1" applyBorder="1" applyAlignment="1" applyProtection="1">
      <alignment horizontal="center" vertical="center" wrapText="1"/>
      <protection locked="0"/>
    </xf>
    <xf numFmtId="183" fontId="121" fillId="14" borderId="2" xfId="0" applyNumberFormat="1" applyFont="1" applyFill="1" applyBorder="1" applyAlignment="1" applyProtection="1">
      <alignment horizontal="center" vertical="center"/>
      <protection locked="0"/>
    </xf>
    <xf numFmtId="0" fontId="167" fillId="14" borderId="2" xfId="0" applyFont="1" applyFill="1" applyBorder="1" applyAlignment="1" applyProtection="1">
      <alignment horizontal="center" vertical="center"/>
      <protection locked="0"/>
    </xf>
    <xf numFmtId="0" fontId="121" fillId="14" borderId="3" xfId="0" applyFont="1" applyFill="1" applyBorder="1" applyAlignment="1" applyProtection="1">
      <alignment horizontal="center" vertical="center" wrapText="1"/>
      <protection locked="0"/>
    </xf>
    <xf numFmtId="0" fontId="167" fillId="14" borderId="2" xfId="0" applyFont="1" applyFill="1" applyBorder="1" applyAlignment="1" applyProtection="1">
      <alignment horizontal="center" vertical="center" wrapText="1"/>
      <protection locked="0"/>
    </xf>
    <xf numFmtId="0" fontId="121" fillId="14" borderId="2" xfId="0" applyFont="1" applyFill="1" applyBorder="1" applyAlignment="1" applyProtection="1">
      <alignment horizontal="center" vertical="center"/>
      <protection locked="0"/>
    </xf>
    <xf numFmtId="183" fontId="121" fillId="0" borderId="12" xfId="0" applyNumberFormat="1" applyFont="1" applyFill="1" applyBorder="1" applyAlignment="1" applyProtection="1">
      <alignment horizontal="center" vertical="center"/>
      <protection locked="0"/>
    </xf>
    <xf numFmtId="0" fontId="114" fillId="14" borderId="3" xfId="0" applyFont="1" applyFill="1" applyBorder="1" applyAlignment="1" applyProtection="1">
      <alignment horizontal="center" vertical="center"/>
      <protection locked="0"/>
    </xf>
    <xf numFmtId="0" fontId="123" fillId="0" borderId="2" xfId="0" applyFont="1" applyFill="1" applyBorder="1" applyAlignment="1" applyProtection="1">
      <alignment horizontal="center" vertical="center" wrapText="1"/>
      <protection locked="0"/>
    </xf>
    <xf numFmtId="0" fontId="121" fillId="0" borderId="3" xfId="0" applyFont="1" applyFill="1" applyBorder="1" applyAlignment="1" applyProtection="1">
      <alignment horizontal="center" vertical="center"/>
      <protection locked="0"/>
    </xf>
    <xf numFmtId="0" fontId="123" fillId="0" borderId="14" xfId="0" applyFont="1" applyFill="1" applyBorder="1" applyAlignment="1" applyProtection="1">
      <alignment horizontal="center" vertical="center"/>
      <protection locked="0"/>
    </xf>
    <xf numFmtId="0" fontId="121" fillId="0" borderId="14" xfId="0" applyFont="1" applyFill="1" applyBorder="1" applyAlignment="1" applyProtection="1">
      <alignment horizontal="center" vertical="center"/>
      <protection locked="0"/>
    </xf>
    <xf numFmtId="0" fontId="121" fillId="0" borderId="14" xfId="0" applyFont="1" applyFill="1" applyBorder="1" applyAlignment="1" applyProtection="1">
      <alignment horizontal="center" vertical="center"/>
    </xf>
    <xf numFmtId="186" fontId="118" fillId="0" borderId="14" xfId="0" applyNumberFormat="1" applyFont="1" applyFill="1" applyBorder="1" applyAlignment="1" applyProtection="1">
      <alignment horizontal="center" vertical="center" wrapText="1" shrinkToFit="1"/>
    </xf>
    <xf numFmtId="0" fontId="123" fillId="0" borderId="12" xfId="0" applyFont="1" applyFill="1" applyBorder="1" applyAlignment="1" applyProtection="1">
      <alignment horizontal="center" vertical="center" wrapText="1" shrinkToFit="1"/>
      <protection locked="0"/>
    </xf>
    <xf numFmtId="0" fontId="123" fillId="14" borderId="2" xfId="0" applyFont="1" applyFill="1" applyBorder="1" applyAlignment="1" applyProtection="1">
      <alignment horizontal="center" vertical="center" wrapText="1"/>
      <protection locked="0"/>
    </xf>
    <xf numFmtId="0" fontId="121" fillId="14" borderId="3" xfId="0" applyFont="1" applyFill="1" applyBorder="1" applyAlignment="1" applyProtection="1">
      <alignment horizontal="center" vertical="center"/>
      <protection locked="0"/>
    </xf>
    <xf numFmtId="0" fontId="123" fillId="14" borderId="14" xfId="0" applyFont="1" applyFill="1" applyBorder="1" applyAlignment="1" applyProtection="1">
      <alignment horizontal="center" vertical="center"/>
      <protection locked="0"/>
    </xf>
    <xf numFmtId="0" fontId="121" fillId="14" borderId="14" xfId="0" applyFont="1" applyFill="1" applyBorder="1" applyAlignment="1" applyProtection="1">
      <alignment horizontal="center" vertical="center"/>
      <protection locked="0"/>
    </xf>
    <xf numFmtId="0" fontId="121" fillId="14" borderId="14" xfId="0" applyFont="1" applyFill="1" applyBorder="1" applyAlignment="1" applyProtection="1">
      <alignment horizontal="center" vertical="center"/>
    </xf>
    <xf numFmtId="186" fontId="118" fillId="14" borderId="14" xfId="0" applyNumberFormat="1" applyFont="1" applyFill="1" applyBorder="1" applyAlignment="1" applyProtection="1">
      <alignment horizontal="center" vertical="center" wrapText="1" shrinkToFit="1"/>
    </xf>
    <xf numFmtId="0" fontId="123" fillId="14" borderId="12" xfId="0" applyFont="1" applyFill="1" applyBorder="1" applyAlignment="1" applyProtection="1">
      <alignment horizontal="center" vertical="center" wrapText="1" shrinkToFit="1"/>
      <protection locked="0"/>
    </xf>
    <xf numFmtId="0" fontId="123" fillId="0" borderId="2" xfId="0" applyFont="1" applyFill="1" applyBorder="1" applyAlignment="1" applyProtection="1">
      <alignment horizontal="center" vertical="center" wrapText="1" shrinkToFit="1"/>
      <protection locked="0"/>
    </xf>
    <xf numFmtId="183" fontId="121" fillId="0" borderId="2" xfId="0" applyNumberFormat="1" applyFont="1" applyFill="1" applyBorder="1" applyAlignment="1" applyProtection="1">
      <alignment horizontal="center" vertical="center"/>
    </xf>
    <xf numFmtId="183" fontId="121" fillId="0" borderId="2" xfId="0" applyNumberFormat="1" applyFont="1" applyFill="1" applyBorder="1" applyAlignment="1" applyProtection="1">
      <alignment horizontal="center" vertical="center" wrapText="1"/>
    </xf>
    <xf numFmtId="0" fontId="121" fillId="0" borderId="2" xfId="0" applyNumberFormat="1" applyFont="1" applyFill="1" applyBorder="1" applyAlignment="1" applyProtection="1">
      <alignment horizontal="center" vertical="center" wrapText="1"/>
    </xf>
    <xf numFmtId="189" fontId="121" fillId="0" borderId="2" xfId="0" applyNumberFormat="1" applyFont="1" applyFill="1" applyBorder="1" applyAlignment="1" applyProtection="1">
      <alignment horizontal="center" vertical="center" wrapText="1" shrinkToFit="1"/>
    </xf>
    <xf numFmtId="181" fontId="121" fillId="0" borderId="2" xfId="0" applyNumberFormat="1" applyFont="1" applyFill="1" applyBorder="1" applyAlignment="1" applyProtection="1">
      <alignment horizontal="center" vertical="center"/>
    </xf>
    <xf numFmtId="0" fontId="121" fillId="0" borderId="2" xfId="0" applyNumberFormat="1" applyFont="1" applyFill="1" applyBorder="1" applyAlignment="1" applyProtection="1">
      <alignment horizontal="center" vertical="center" wrapText="1" shrinkToFit="1"/>
    </xf>
    <xf numFmtId="0" fontId="121" fillId="0" borderId="2" xfId="0" applyNumberFormat="1" applyFont="1" applyFill="1" applyBorder="1" applyAlignment="1" applyProtection="1">
      <alignment horizontal="center" vertical="center"/>
    </xf>
    <xf numFmtId="182" fontId="114" fillId="15" borderId="2" xfId="0" applyNumberFormat="1" applyFont="1" applyFill="1" applyBorder="1" applyAlignment="1" applyProtection="1">
      <alignment horizontal="center" vertical="center"/>
    </xf>
    <xf numFmtId="182" fontId="114" fillId="7" borderId="2" xfId="0" applyNumberFormat="1" applyFont="1" applyFill="1" applyBorder="1" applyAlignment="1" applyProtection="1">
      <alignment horizontal="center" vertical="center"/>
    </xf>
    <xf numFmtId="182" fontId="124" fillId="15" borderId="2" xfId="0" applyNumberFormat="1" applyFont="1" applyFill="1" applyBorder="1" applyAlignment="1" applyProtection="1">
      <alignment horizontal="center" vertical="center"/>
    </xf>
    <xf numFmtId="182" fontId="124" fillId="7" borderId="2" xfId="0" applyNumberFormat="1" applyFont="1" applyFill="1" applyBorder="1" applyAlignment="1" applyProtection="1">
      <alignment horizontal="center" vertical="center"/>
    </xf>
    <xf numFmtId="182" fontId="121" fillId="0" borderId="14" xfId="0" applyNumberFormat="1" applyFont="1" applyFill="1" applyBorder="1" applyAlignment="1" applyProtection="1">
      <alignment horizontal="center" vertical="center"/>
    </xf>
    <xf numFmtId="182" fontId="121" fillId="0" borderId="12" xfId="0" applyNumberFormat="1" applyFont="1" applyFill="1" applyBorder="1" applyAlignment="1" applyProtection="1">
      <alignment horizontal="center" vertical="center"/>
    </xf>
    <xf numFmtId="182" fontId="114" fillId="15" borderId="0" xfId="0" applyNumberFormat="1" applyFont="1" applyFill="1" applyAlignment="1" applyProtection="1">
      <alignment horizontal="center" vertical="center"/>
    </xf>
    <xf numFmtId="182" fontId="114" fillId="0" borderId="0" xfId="0" applyNumberFormat="1" applyFont="1" applyFill="1" applyAlignment="1" applyProtection="1">
      <alignment horizontal="center" vertical="center"/>
    </xf>
    <xf numFmtId="182" fontId="114" fillId="7" borderId="0" xfId="0" applyNumberFormat="1" applyFont="1" applyFill="1" applyAlignment="1" applyProtection="1">
      <alignment horizontal="center" vertical="center"/>
    </xf>
    <xf numFmtId="182" fontId="124" fillId="15" borderId="0" xfId="0" applyNumberFormat="1" applyFont="1" applyFill="1" applyAlignment="1" applyProtection="1">
      <alignment horizontal="center" vertical="center"/>
    </xf>
    <xf numFmtId="182" fontId="124" fillId="7" borderId="0" xfId="0" applyNumberFormat="1" applyFont="1" applyFill="1" applyAlignment="1" applyProtection="1">
      <alignment horizontal="center" vertical="center"/>
    </xf>
    <xf numFmtId="182" fontId="121" fillId="0" borderId="0" xfId="0" applyNumberFormat="1" applyFont="1" applyFill="1" applyAlignment="1" applyProtection="1">
      <alignment horizontal="center" vertical="center"/>
    </xf>
    <xf numFmtId="182" fontId="121" fillId="7" borderId="0" xfId="0" applyNumberFormat="1" applyFont="1" applyFill="1" applyAlignment="1" applyProtection="1">
      <alignment horizontal="center" vertical="center"/>
    </xf>
    <xf numFmtId="0" fontId="124" fillId="0" borderId="2" xfId="0" applyFont="1" applyFill="1" applyBorder="1" applyAlignment="1" applyProtection="1">
      <alignment horizontal="center" vertical="center"/>
      <protection locked="0"/>
    </xf>
    <xf numFmtId="0" fontId="162" fillId="14" borderId="2" xfId="0" applyFont="1" applyFill="1" applyBorder="1" applyAlignment="1" applyProtection="1">
      <alignment horizontal="center" vertical="center" wrapText="1"/>
      <protection locked="0"/>
    </xf>
    <xf numFmtId="0" fontId="114" fillId="14" borderId="3" xfId="0" applyFont="1" applyFill="1" applyBorder="1" applyAlignment="1" applyProtection="1">
      <alignment horizontal="center" vertical="center" shrinkToFit="1"/>
      <protection locked="0"/>
    </xf>
    <xf numFmtId="183" fontId="114" fillId="14" borderId="2" xfId="0" applyNumberFormat="1" applyFont="1" applyFill="1" applyBorder="1" applyAlignment="1" applyProtection="1">
      <alignment horizontal="center" vertical="center"/>
      <protection locked="0"/>
    </xf>
    <xf numFmtId="0" fontId="115" fillId="14" borderId="12" xfId="0" applyFont="1" applyFill="1" applyBorder="1" applyAlignment="1" applyProtection="1">
      <alignment horizontal="center" vertical="center" wrapText="1" shrinkToFit="1"/>
      <protection locked="0"/>
    </xf>
    <xf numFmtId="0" fontId="115" fillId="14" borderId="2" xfId="0" applyFont="1" applyFill="1" applyBorder="1" applyAlignment="1" applyProtection="1">
      <alignment horizontal="center" vertical="center" wrapText="1"/>
      <protection locked="0"/>
    </xf>
    <xf numFmtId="188" fontId="98" fillId="0" borderId="2" xfId="0" applyNumberFormat="1" applyFont="1" applyFill="1" applyBorder="1" applyAlignment="1" applyProtection="1">
      <alignment horizontal="center" vertical="center" wrapText="1"/>
    </xf>
    <xf numFmtId="181" fontId="141" fillId="0" borderId="2" xfId="0" applyNumberFormat="1" applyFont="1" applyFill="1" applyBorder="1" applyAlignment="1" applyProtection="1">
      <alignment horizontal="center" vertical="center"/>
    </xf>
    <xf numFmtId="182" fontId="124" fillId="0" borderId="2" xfId="0" applyNumberFormat="1" applyFont="1" applyFill="1" applyBorder="1" applyAlignment="1" applyProtection="1">
      <alignment horizontal="center" vertical="center"/>
    </xf>
    <xf numFmtId="182" fontId="124" fillId="0" borderId="0" xfId="0" applyNumberFormat="1" applyFont="1" applyFill="1" applyAlignment="1" applyProtection="1">
      <alignment horizontal="center" vertical="center"/>
    </xf>
    <xf numFmtId="0" fontId="150" fillId="0" borderId="2" xfId="0" applyFont="1" applyFill="1" applyBorder="1" applyAlignment="1" applyProtection="1">
      <alignment horizontal="center" vertical="center"/>
      <protection locked="0"/>
    </xf>
    <xf numFmtId="190" fontId="124" fillId="0" borderId="11" xfId="0" applyNumberFormat="1" applyFont="1" applyFill="1" applyBorder="1" applyAlignment="1" applyProtection="1">
      <alignment horizontal="center" vertical="center"/>
    </xf>
    <xf numFmtId="0" fontId="124" fillId="0" borderId="2" xfId="0" applyFont="1" applyFill="1" applyBorder="1" applyAlignment="1" applyProtection="1">
      <alignment horizontal="center" vertical="center" wrapText="1"/>
      <protection locked="0"/>
    </xf>
    <xf numFmtId="183" fontId="124" fillId="0" borderId="2" xfId="0" applyNumberFormat="1" applyFont="1" applyFill="1" applyBorder="1" applyAlignment="1" applyProtection="1">
      <alignment horizontal="center" vertical="center"/>
      <protection locked="0"/>
    </xf>
    <xf numFmtId="0" fontId="124" fillId="0" borderId="3" xfId="0" applyFont="1" applyFill="1" applyBorder="1" applyAlignment="1" applyProtection="1">
      <alignment horizontal="center" vertical="center" wrapText="1"/>
      <protection locked="0"/>
    </xf>
    <xf numFmtId="0" fontId="150" fillId="14" borderId="2" xfId="0" applyFont="1" applyFill="1" applyBorder="1" applyAlignment="1" applyProtection="1">
      <alignment horizontal="center" vertical="center"/>
      <protection locked="0"/>
    </xf>
    <xf numFmtId="190" fontId="149" fillId="17" borderId="11" xfId="0" applyNumberFormat="1" applyFont="1" applyFill="1" applyBorder="1" applyAlignment="1" applyProtection="1">
      <alignment horizontal="center" vertical="center"/>
    </xf>
    <xf numFmtId="0" fontId="149" fillId="17" borderId="2" xfId="0" applyFont="1" applyFill="1" applyBorder="1" applyAlignment="1" applyProtection="1">
      <alignment horizontal="center" vertical="center" wrapText="1"/>
      <protection locked="0"/>
    </xf>
    <xf numFmtId="183" fontId="149" fillId="17" borderId="2" xfId="0" applyNumberFormat="1" applyFont="1" applyFill="1" applyBorder="1" applyAlignment="1" applyProtection="1">
      <alignment horizontal="center" vertical="center"/>
      <protection locked="0"/>
    </xf>
    <xf numFmtId="0" fontId="168" fillId="17" borderId="2" xfId="0" applyFont="1" applyFill="1" applyBorder="1" applyAlignment="1" applyProtection="1">
      <alignment horizontal="center" vertical="center"/>
      <protection locked="0"/>
    </xf>
    <xf numFmtId="0" fontId="149" fillId="17" borderId="3" xfId="0" applyFont="1" applyFill="1" applyBorder="1" applyAlignment="1" applyProtection="1">
      <alignment horizontal="center" vertical="center" wrapText="1"/>
      <protection locked="0"/>
    </xf>
    <xf numFmtId="0" fontId="149" fillId="17" borderId="2" xfId="0" applyFont="1" applyFill="1" applyBorder="1" applyAlignment="1" applyProtection="1">
      <alignment horizontal="center" vertical="center"/>
      <protection locked="0"/>
    </xf>
    <xf numFmtId="183" fontId="149" fillId="17" borderId="12" xfId="0" applyNumberFormat="1" applyFont="1" applyFill="1" applyBorder="1" applyAlignment="1" applyProtection="1">
      <alignment horizontal="center" vertical="center"/>
      <protection locked="0"/>
    </xf>
    <xf numFmtId="0" fontId="150" fillId="0" borderId="2" xfId="0" applyFont="1" applyFill="1" applyBorder="1" applyAlignment="1" applyProtection="1">
      <alignment horizontal="center" vertical="center" wrapText="1"/>
      <protection locked="0"/>
    </xf>
    <xf numFmtId="183" fontId="124" fillId="0" borderId="2" xfId="0" applyNumberFormat="1" applyFont="1" applyFill="1" applyBorder="1" applyAlignment="1" applyProtection="1">
      <alignment horizontal="center" vertical="center" wrapText="1"/>
      <protection locked="0"/>
    </xf>
    <xf numFmtId="183" fontId="124" fillId="0" borderId="0" xfId="0" applyNumberFormat="1" applyFont="1" applyFill="1" applyAlignment="1" applyProtection="1">
      <alignment horizontal="center" vertical="center"/>
    </xf>
    <xf numFmtId="183" fontId="124" fillId="0" borderId="0" xfId="0" applyNumberFormat="1" applyFont="1" applyFill="1" applyAlignment="1" applyProtection="1">
      <alignment horizontal="center" vertical="center"/>
      <protection locked="0"/>
    </xf>
    <xf numFmtId="183" fontId="124" fillId="0" borderId="0" xfId="0" applyNumberFormat="1" applyFont="1" applyFill="1" applyAlignment="1" applyProtection="1">
      <alignment horizontal="center" vertical="center" wrapText="1"/>
      <protection locked="0"/>
    </xf>
    <xf numFmtId="183" fontId="121" fillId="0" borderId="0" xfId="0" applyNumberFormat="1" applyFont="1" applyFill="1" applyAlignment="1" applyProtection="1">
      <alignment horizontal="center" vertical="center"/>
      <protection locked="0"/>
    </xf>
    <xf numFmtId="3" fontId="114" fillId="0" borderId="2" xfId="0" applyNumberFormat="1" applyFont="1" applyFill="1" applyBorder="1" applyAlignment="1" applyProtection="1">
      <alignment horizontal="center" vertical="center"/>
      <protection locked="0"/>
    </xf>
    <xf numFmtId="0" fontId="124" fillId="0" borderId="3" xfId="0" applyFont="1" applyFill="1" applyBorder="1" applyAlignment="1" applyProtection="1">
      <alignment horizontal="center" vertical="center"/>
      <protection locked="0"/>
    </xf>
    <xf numFmtId="0" fontId="125" fillId="0" borderId="14" xfId="0" applyFont="1" applyFill="1" applyBorder="1" applyAlignment="1" applyProtection="1">
      <alignment horizontal="center" vertical="center"/>
      <protection locked="0"/>
    </xf>
    <xf numFmtId="0" fontId="124" fillId="0" borderId="14" xfId="0" applyFont="1" applyFill="1" applyBorder="1" applyAlignment="1" applyProtection="1">
      <alignment horizontal="center" vertical="center"/>
      <protection locked="0"/>
    </xf>
    <xf numFmtId="0" fontId="124" fillId="0" borderId="14" xfId="0" applyFont="1" applyFill="1" applyBorder="1" applyAlignment="1" applyProtection="1">
      <alignment horizontal="center" vertical="center"/>
    </xf>
    <xf numFmtId="186" fontId="76" fillId="0" borderId="14" xfId="0" applyNumberFormat="1" applyFont="1" applyFill="1" applyBorder="1" applyAlignment="1" applyProtection="1">
      <alignment horizontal="center" vertical="center" wrapText="1" shrinkToFit="1"/>
    </xf>
    <xf numFmtId="0" fontId="125" fillId="0" borderId="2" xfId="0" applyFont="1" applyFill="1" applyBorder="1" applyAlignment="1" applyProtection="1">
      <alignment horizontal="center" vertical="center" wrapText="1" shrinkToFit="1"/>
      <protection locked="0"/>
    </xf>
    <xf numFmtId="3" fontId="124" fillId="0" borderId="2" xfId="0" applyNumberFormat="1" applyFont="1" applyFill="1" applyBorder="1" applyAlignment="1" applyProtection="1">
      <alignment horizontal="center" vertical="center"/>
      <protection locked="0"/>
    </xf>
    <xf numFmtId="188" fontId="166" fillId="0" borderId="14" xfId="0" applyNumberFormat="1" applyFont="1" applyFill="1" applyBorder="1" applyAlignment="1" applyProtection="1">
      <alignment horizontal="center" vertical="center" wrapText="1" shrinkToFit="1"/>
    </xf>
    <xf numFmtId="0" fontId="125" fillId="0" borderId="12" xfId="0" applyFont="1" applyFill="1" applyBorder="1" applyAlignment="1" applyProtection="1">
      <alignment horizontal="center" vertical="center" wrapText="1" shrinkToFit="1"/>
      <protection locked="0"/>
    </xf>
    <xf numFmtId="0" fontId="165" fillId="17" borderId="12" xfId="0" applyFont="1" applyFill="1" applyBorder="1" applyAlignment="1" applyProtection="1">
      <alignment horizontal="center" vertical="center" wrapText="1" shrinkToFit="1"/>
      <protection locked="0"/>
    </xf>
    <xf numFmtId="0" fontId="149" fillId="17" borderId="3" xfId="0" applyFont="1" applyFill="1" applyBorder="1" applyAlignment="1" applyProtection="1">
      <alignment horizontal="center" vertical="center"/>
      <protection locked="0"/>
    </xf>
    <xf numFmtId="0" fontId="165" fillId="17" borderId="14" xfId="0" applyFont="1" applyFill="1" applyBorder="1" applyAlignment="1" applyProtection="1">
      <alignment horizontal="center" vertical="center"/>
      <protection locked="0"/>
    </xf>
    <xf numFmtId="0" fontId="149" fillId="17" borderId="14" xfId="0" applyFont="1" applyFill="1" applyBorder="1" applyAlignment="1" applyProtection="1">
      <alignment horizontal="center" vertical="center"/>
      <protection locked="0"/>
    </xf>
    <xf numFmtId="0" fontId="149" fillId="17" borderId="14" xfId="0" applyFont="1" applyFill="1" applyBorder="1" applyAlignment="1" applyProtection="1">
      <alignment horizontal="center" vertical="center"/>
    </xf>
    <xf numFmtId="186" fontId="169" fillId="17" borderId="14" xfId="0" applyNumberFormat="1" applyFont="1" applyFill="1" applyBorder="1" applyAlignment="1" applyProtection="1">
      <alignment horizontal="center" vertical="center" wrapText="1" shrinkToFit="1"/>
    </xf>
    <xf numFmtId="188" fontId="149" fillId="17" borderId="14" xfId="0" applyNumberFormat="1" applyFont="1" applyFill="1" applyBorder="1" applyAlignment="1" applyProtection="1">
      <alignment horizontal="center" vertical="center" wrapText="1" shrinkToFit="1"/>
    </xf>
    <xf numFmtId="0" fontId="124" fillId="0" borderId="2" xfId="0" applyFont="1" applyFill="1" applyBorder="1" applyAlignment="1" applyProtection="1">
      <alignment horizontal="center" vertical="center"/>
    </xf>
    <xf numFmtId="183" fontId="76" fillId="0" borderId="2" xfId="0" applyNumberFormat="1" applyFont="1" applyFill="1" applyBorder="1" applyAlignment="1" applyProtection="1">
      <alignment horizontal="center" vertical="center"/>
    </xf>
    <xf numFmtId="183" fontId="124" fillId="0" borderId="2" xfId="0" applyNumberFormat="1" applyFont="1" applyFill="1" applyBorder="1" applyAlignment="1" applyProtection="1">
      <alignment horizontal="center" vertical="center" wrapText="1"/>
    </xf>
    <xf numFmtId="183" fontId="76" fillId="0" borderId="0" xfId="0" applyNumberFormat="1" applyFont="1" applyFill="1" applyAlignment="1" applyProtection="1">
      <alignment horizontal="center" vertical="center"/>
      <protection locked="0"/>
    </xf>
    <xf numFmtId="183" fontId="124" fillId="0" borderId="2" xfId="0" applyNumberFormat="1" applyFont="1" applyFill="1" applyBorder="1" applyAlignment="1" applyProtection="1">
      <alignment horizontal="center" vertical="center"/>
    </xf>
    <xf numFmtId="0" fontId="124" fillId="0" borderId="2" xfId="0" applyNumberFormat="1" applyFont="1" applyFill="1" applyBorder="1" applyAlignment="1" applyProtection="1">
      <alignment horizontal="center" vertical="center" wrapText="1"/>
    </xf>
    <xf numFmtId="183" fontId="149" fillId="17" borderId="2" xfId="0" applyNumberFormat="1" applyFont="1" applyFill="1" applyBorder="1" applyAlignment="1" applyProtection="1">
      <alignment horizontal="center" vertical="center"/>
    </xf>
    <xf numFmtId="188" fontId="165" fillId="17" borderId="14" xfId="0" applyNumberFormat="1" applyFont="1" applyFill="1" applyBorder="1" applyAlignment="1" applyProtection="1">
      <alignment horizontal="center" vertical="center" wrapText="1" shrinkToFit="1"/>
    </xf>
    <xf numFmtId="183" fontId="149" fillId="17" borderId="2" xfId="0" applyNumberFormat="1" applyFont="1" applyFill="1" applyBorder="1" applyAlignment="1" applyProtection="1">
      <alignment horizontal="center" vertical="center" wrapText="1"/>
    </xf>
    <xf numFmtId="0" fontId="149" fillId="17" borderId="2" xfId="0" applyNumberFormat="1" applyFont="1" applyFill="1" applyBorder="1" applyAlignment="1" applyProtection="1">
      <alignment horizontal="center" vertical="center" wrapText="1"/>
    </xf>
    <xf numFmtId="0" fontId="149" fillId="17" borderId="2" xfId="0" applyFont="1" applyFill="1" applyBorder="1" applyAlignment="1" applyProtection="1">
      <alignment horizontal="center" vertical="center"/>
    </xf>
    <xf numFmtId="188" fontId="170" fillId="17" borderId="14" xfId="0" applyNumberFormat="1" applyFont="1" applyFill="1" applyBorder="1" applyAlignment="1" applyProtection="1">
      <alignment horizontal="center" vertical="center" wrapText="1"/>
    </xf>
    <xf numFmtId="188" fontId="124" fillId="0" borderId="14" xfId="0" applyNumberFormat="1" applyFont="1" applyFill="1" applyBorder="1" applyAlignment="1" applyProtection="1">
      <alignment horizontal="center" vertical="center" wrapText="1"/>
    </xf>
    <xf numFmtId="188" fontId="124" fillId="0" borderId="2" xfId="0" applyNumberFormat="1" applyFont="1" applyFill="1" applyBorder="1" applyAlignment="1" applyProtection="1">
      <alignment horizontal="center" vertical="center" wrapText="1" shrinkToFit="1"/>
    </xf>
    <xf numFmtId="188" fontId="124" fillId="0" borderId="2" xfId="0" applyNumberFormat="1" applyFont="1" applyFill="1" applyBorder="1" applyAlignment="1" applyProtection="1">
      <alignment horizontal="center" vertical="center" wrapText="1"/>
    </xf>
    <xf numFmtId="0" fontId="125" fillId="0" borderId="0" xfId="0" applyFont="1" applyFill="1" applyAlignment="1" applyProtection="1">
      <alignment vertical="center" wrapText="1"/>
      <protection locked="0"/>
    </xf>
    <xf numFmtId="189" fontId="124" fillId="0" borderId="2" xfId="0" applyNumberFormat="1" applyFont="1" applyFill="1" applyBorder="1" applyAlignment="1" applyProtection="1">
      <alignment horizontal="center" vertical="center" wrapText="1" shrinkToFit="1"/>
    </xf>
    <xf numFmtId="181" fontId="124" fillId="0" borderId="2" xfId="0" applyNumberFormat="1" applyFont="1" applyFill="1" applyBorder="1" applyAlignment="1" applyProtection="1">
      <alignment horizontal="center" vertical="center"/>
    </xf>
    <xf numFmtId="0" fontId="124" fillId="0" borderId="2" xfId="0" applyNumberFormat="1" applyFont="1" applyFill="1" applyBorder="1" applyAlignment="1" applyProtection="1">
      <alignment horizontal="center" vertical="center" wrapText="1" shrinkToFit="1"/>
    </xf>
    <xf numFmtId="0" fontId="124" fillId="0" borderId="2" xfId="0" applyNumberFormat="1" applyFont="1" applyFill="1" applyBorder="1" applyAlignment="1" applyProtection="1">
      <alignment horizontal="center" vertical="center"/>
    </xf>
    <xf numFmtId="0" fontId="171" fillId="0" borderId="2" xfId="0" applyNumberFormat="1" applyFont="1" applyFill="1" applyBorder="1" applyAlignment="1" applyProtection="1">
      <alignment horizontal="center" vertical="center" wrapText="1" shrinkToFit="1"/>
    </xf>
    <xf numFmtId="183" fontId="152" fillId="0" borderId="2" xfId="0" applyNumberFormat="1" applyFont="1" applyFill="1" applyBorder="1" applyAlignment="1" applyProtection="1">
      <alignment horizontal="center" vertical="center"/>
    </xf>
    <xf numFmtId="189" fontId="149" fillId="17" borderId="2" xfId="0" applyNumberFormat="1" applyFont="1" applyFill="1" applyBorder="1" applyAlignment="1" applyProtection="1">
      <alignment horizontal="center" vertical="center" wrapText="1" shrinkToFit="1"/>
    </xf>
    <xf numFmtId="181" fontId="149" fillId="17" borderId="2" xfId="0" applyNumberFormat="1" applyFont="1" applyFill="1" applyBorder="1" applyAlignment="1" applyProtection="1">
      <alignment horizontal="center" vertical="center"/>
    </xf>
    <xf numFmtId="0" fontId="149" fillId="17" borderId="2" xfId="0" applyNumberFormat="1" applyFont="1" applyFill="1" applyBorder="1" applyAlignment="1" applyProtection="1">
      <alignment horizontal="center" vertical="center" wrapText="1" shrinkToFit="1"/>
    </xf>
    <xf numFmtId="0" fontId="149" fillId="17" borderId="2" xfId="0" applyNumberFormat="1" applyFont="1" applyFill="1" applyBorder="1" applyAlignment="1" applyProtection="1">
      <alignment horizontal="center" vertical="center"/>
    </xf>
    <xf numFmtId="183" fontId="160" fillId="17" borderId="2" xfId="0" applyNumberFormat="1" applyFont="1" applyFill="1" applyBorder="1" applyAlignment="1" applyProtection="1">
      <alignment horizontal="center" vertical="center"/>
    </xf>
    <xf numFmtId="183" fontId="149" fillId="17" borderId="14" xfId="0" applyNumberFormat="1" applyFont="1" applyFill="1" applyBorder="1" applyAlignment="1" applyProtection="1">
      <alignment horizontal="center" vertical="center" wrapText="1"/>
    </xf>
    <xf numFmtId="184" fontId="124" fillId="0" borderId="2" xfId="0" applyNumberFormat="1" applyFont="1" applyFill="1" applyBorder="1" applyAlignment="1" applyProtection="1">
      <alignment horizontal="center" vertical="center"/>
    </xf>
    <xf numFmtId="184" fontId="124" fillId="0" borderId="0" xfId="0" applyNumberFormat="1" applyFont="1" applyFill="1" applyAlignment="1" applyProtection="1">
      <alignment horizontal="center" vertical="center"/>
      <protection locked="0"/>
    </xf>
    <xf numFmtId="191" fontId="152" fillId="0" borderId="0" xfId="0" applyNumberFormat="1" applyFont="1" applyFill="1" applyAlignment="1" applyProtection="1">
      <alignment horizontal="center" vertical="center"/>
      <protection locked="0"/>
    </xf>
    <xf numFmtId="0" fontId="172" fillId="0" borderId="2" xfId="0" applyNumberFormat="1" applyFont="1" applyFill="1" applyBorder="1" applyAlignment="1" applyProtection="1">
      <alignment horizontal="center" vertical="center" wrapText="1" shrinkToFit="1"/>
      <protection locked="0"/>
    </xf>
    <xf numFmtId="183" fontId="151" fillId="0" borderId="0" xfId="0" applyNumberFormat="1" applyFont="1" applyFill="1" applyAlignment="1" applyProtection="1">
      <alignment horizontal="center" vertical="center"/>
      <protection locked="0"/>
    </xf>
    <xf numFmtId="0" fontId="121" fillId="0" borderId="2" xfId="0" applyNumberFormat="1" applyFont="1" applyFill="1" applyBorder="1" applyAlignment="1" applyProtection="1">
      <alignment horizontal="center" vertical="center" wrapText="1" shrinkToFit="1"/>
      <protection locked="0"/>
    </xf>
    <xf numFmtId="0" fontId="173" fillId="0" borderId="0" xfId="0" applyFont="1" applyFill="1" applyAlignment="1" applyProtection="1">
      <alignment horizontal="center" vertical="center"/>
      <protection locked="0"/>
    </xf>
    <xf numFmtId="183" fontId="125" fillId="0" borderId="14" xfId="0" applyNumberFormat="1" applyFont="1" applyFill="1" applyBorder="1" applyAlignment="1" applyProtection="1">
      <alignment horizontal="center" vertical="center" wrapText="1"/>
      <protection locked="0"/>
    </xf>
    <xf numFmtId="182" fontId="124" fillId="0" borderId="14" xfId="0" applyNumberFormat="1" applyFont="1" applyFill="1" applyBorder="1" applyAlignment="1" applyProtection="1">
      <alignment horizontal="center" vertical="center"/>
    </xf>
    <xf numFmtId="182" fontId="124" fillId="0" borderId="12" xfId="0" applyNumberFormat="1" applyFont="1" applyFill="1" applyBorder="1" applyAlignment="1" applyProtection="1">
      <alignment horizontal="center" vertical="center"/>
    </xf>
    <xf numFmtId="182" fontId="149" fillId="17" borderId="14" xfId="0" applyNumberFormat="1" applyFont="1" applyFill="1" applyBorder="1" applyAlignment="1" applyProtection="1">
      <alignment horizontal="center" vertical="center"/>
    </xf>
    <xf numFmtId="182" fontId="149" fillId="17" borderId="12" xfId="0" applyNumberFormat="1" applyFont="1" applyFill="1" applyBorder="1" applyAlignment="1" applyProtection="1">
      <alignment horizontal="center" vertical="center"/>
    </xf>
    <xf numFmtId="182" fontId="149" fillId="17" borderId="2" xfId="0" applyNumberFormat="1" applyFont="1" applyFill="1" applyBorder="1" applyAlignment="1" applyProtection="1">
      <alignment horizontal="center" vertical="center"/>
    </xf>
    <xf numFmtId="182" fontId="149" fillId="15" borderId="2" xfId="0" applyNumberFormat="1" applyFont="1" applyFill="1" applyBorder="1" applyAlignment="1" applyProtection="1">
      <alignment horizontal="center" vertical="center"/>
    </xf>
    <xf numFmtId="182" fontId="124" fillId="10" borderId="2" xfId="0" applyNumberFormat="1" applyFont="1" applyFill="1" applyBorder="1" applyAlignment="1" applyProtection="1">
      <alignment horizontal="center" vertical="center"/>
    </xf>
    <xf numFmtId="0" fontId="152" fillId="10" borderId="0" xfId="0" applyFont="1" applyFill="1" applyAlignment="1" applyProtection="1">
      <alignment horizontal="center" vertical="center"/>
      <protection locked="0"/>
    </xf>
    <xf numFmtId="182" fontId="124" fillId="10" borderId="0" xfId="0" applyNumberFormat="1" applyFont="1" applyFill="1" applyAlignment="1" applyProtection="1">
      <alignment horizontal="center" vertical="center"/>
      <protection locked="0"/>
    </xf>
    <xf numFmtId="182" fontId="121" fillId="15" borderId="12" xfId="0" applyNumberFormat="1" applyFont="1" applyFill="1" applyBorder="1" applyAlignment="1" applyProtection="1">
      <alignment horizontal="center" vertical="center"/>
    </xf>
    <xf numFmtId="0" fontId="121" fillId="15" borderId="0" xfId="0" applyFont="1" applyFill="1" applyAlignment="1" applyProtection="1">
      <alignment horizontal="center" vertical="center"/>
    </xf>
    <xf numFmtId="0" fontId="121" fillId="15" borderId="0" xfId="0" applyFont="1" applyFill="1" applyAlignment="1" applyProtection="1">
      <alignment horizontal="center" vertical="center"/>
      <protection locked="0"/>
    </xf>
    <xf numFmtId="0" fontId="124" fillId="15" borderId="2" xfId="0" applyFont="1" applyFill="1" applyBorder="1" applyAlignment="1" applyProtection="1">
      <alignment horizontal="center" vertical="center"/>
      <protection locked="0"/>
    </xf>
    <xf numFmtId="0" fontId="124" fillId="15" borderId="0" xfId="0" applyFont="1" applyFill="1" applyAlignment="1" applyProtection="1">
      <alignment horizontal="center" vertical="center"/>
    </xf>
    <xf numFmtId="0" fontId="124" fillId="15" borderId="0" xfId="0" applyFont="1" applyFill="1" applyAlignment="1" applyProtection="1">
      <alignment horizontal="center" vertical="center"/>
      <protection locked="0"/>
    </xf>
    <xf numFmtId="182" fontId="149" fillId="17" borderId="0" xfId="0" applyNumberFormat="1" applyFont="1" applyFill="1" applyAlignment="1" applyProtection="1">
      <alignment horizontal="center" vertical="center"/>
    </xf>
    <xf numFmtId="0" fontId="149" fillId="15" borderId="2" xfId="0" applyFont="1" applyFill="1" applyBorder="1" applyAlignment="1" applyProtection="1">
      <alignment horizontal="center" vertical="center"/>
      <protection locked="0"/>
    </xf>
    <xf numFmtId="0" fontId="149" fillId="15" borderId="0" xfId="0" applyFont="1" applyFill="1" applyAlignment="1" applyProtection="1">
      <alignment horizontal="center" vertical="center"/>
    </xf>
    <xf numFmtId="0" fontId="149" fillId="15" borderId="0" xfId="0" applyFont="1" applyFill="1" applyAlignment="1" applyProtection="1">
      <alignment horizontal="center" vertical="center"/>
      <protection locked="0"/>
    </xf>
    <xf numFmtId="0" fontId="121" fillId="15" borderId="2" xfId="0" applyFont="1" applyFill="1" applyBorder="1" applyAlignment="1" applyProtection="1">
      <alignment horizontal="center" vertical="center"/>
      <protection locked="0"/>
    </xf>
    <xf numFmtId="182" fontId="124" fillId="0" borderId="16" xfId="0" applyNumberFormat="1" applyFont="1" applyFill="1" applyBorder="1" applyAlignment="1" applyProtection="1">
      <alignment horizontal="center" vertical="center"/>
    </xf>
    <xf numFmtId="182" fontId="124" fillId="10" borderId="3" xfId="0" applyNumberFormat="1" applyFont="1" applyFill="1" applyBorder="1" applyAlignment="1" applyProtection="1">
      <alignment horizontal="center" vertical="center"/>
    </xf>
    <xf numFmtId="190" fontId="124" fillId="0" borderId="0" xfId="0" applyNumberFormat="1" applyFont="1" applyFill="1" applyAlignment="1" applyProtection="1">
      <alignment horizontal="center" vertical="center"/>
    </xf>
    <xf numFmtId="0" fontId="125" fillId="0" borderId="0" xfId="0" applyFont="1" applyFill="1" applyAlignment="1" applyProtection="1">
      <alignment horizontal="center" vertical="center" wrapText="1" shrinkToFit="1"/>
      <protection locked="0"/>
    </xf>
    <xf numFmtId="0" fontId="125" fillId="0" borderId="0" xfId="0" applyFont="1" applyFill="1" applyAlignment="1" applyProtection="1">
      <alignment horizontal="center" vertical="center"/>
      <protection locked="0"/>
    </xf>
    <xf numFmtId="0" fontId="114" fillId="0" borderId="3" xfId="0" applyFont="1" applyFill="1" applyBorder="1" applyAlignment="1" applyProtection="1" quotePrefix="1">
      <alignment horizontal="center" vertical="center" wrapText="1" shrinkToFit="1"/>
      <protection locked="0"/>
    </xf>
    <xf numFmtId="0" fontId="114" fillId="0" borderId="2" xfId="0" applyFont="1" applyFill="1" applyBorder="1" applyAlignment="1" applyProtection="1" quotePrefix="1">
      <alignment horizontal="center" vertical="center" wrapText="1" shrinkToFit="1"/>
      <protection locked="0"/>
    </xf>
    <xf numFmtId="0" fontId="114" fillId="0" borderId="2" xfId="0" applyFont="1" applyFill="1" applyBorder="1" applyAlignment="1" applyProtection="1" quotePrefix="1">
      <alignment horizontal="center" vertical="center" wrapText="1"/>
      <protection locked="0"/>
    </xf>
    <xf numFmtId="0" fontId="114" fillId="0" borderId="3" xfId="0" applyFont="1" applyFill="1" applyBorder="1" applyAlignment="1" applyProtection="1" quotePrefix="1">
      <alignment horizontal="center" vertical="center" wrapText="1"/>
      <protection locked="0"/>
    </xf>
    <xf numFmtId="0" fontId="114" fillId="14" borderId="3" xfId="0" applyFont="1" applyFill="1" applyBorder="1" applyAlignment="1" applyProtection="1" quotePrefix="1">
      <alignment horizontal="center" vertical="center" wrapText="1"/>
      <protection locked="0"/>
    </xf>
    <xf numFmtId="0" fontId="121" fillId="0" borderId="3" xfId="0" applyFont="1" applyFill="1" applyBorder="1" applyAlignment="1" applyProtection="1" quotePrefix="1">
      <alignment horizontal="center" vertical="center" wrapText="1"/>
      <protection locked="0"/>
    </xf>
    <xf numFmtId="0" fontId="124" fillId="0" borderId="3" xfId="0" applyFont="1" applyFill="1" applyBorder="1" applyAlignment="1" applyProtection="1" quotePrefix="1">
      <alignment horizontal="center" vertical="center" wrapText="1"/>
      <protection locked="0"/>
    </xf>
    <xf numFmtId="0" fontId="85" fillId="0" borderId="2" xfId="0" applyFont="1" applyFill="1" applyBorder="1" applyAlignment="1" applyProtection="1" quotePrefix="1">
      <alignment horizontal="center" vertical="center" wrapText="1"/>
      <protection locked="0"/>
    </xf>
    <xf numFmtId="0" fontId="85" fillId="0" borderId="14" xfId="0" applyFont="1" applyFill="1" applyBorder="1" applyAlignment="1" applyProtection="1" quotePrefix="1">
      <alignment horizontal="center" vertical="center" wrapText="1"/>
      <protection locked="0"/>
    </xf>
    <xf numFmtId="0" fontId="81" fillId="0" borderId="14" xfId="0" applyFont="1" applyFill="1" applyBorder="1" applyAlignment="1" applyProtection="1" quotePrefix="1">
      <alignment horizontal="center" vertical="center" wrapText="1" shrinkToFit="1"/>
      <protection locked="0"/>
    </xf>
    <xf numFmtId="0" fontId="52" fillId="0" borderId="2" xfId="0" applyFont="1" applyFill="1" applyBorder="1" applyAlignment="1" quotePrefix="1">
      <alignment horizontal="center" vertical="center" wrapText="1" shrinkToFit="1"/>
    </xf>
  </cellXfs>
  <cellStyles count="17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3 9" xfId="49"/>
    <cellStyle name="常规 3 14" xfId="50"/>
    <cellStyle name="计算 2" xfId="51"/>
    <cellStyle name="20% - 輔色4" xfId="52"/>
    <cellStyle name="40% - 輔色2" xfId="53"/>
    <cellStyle name="_H1241-1243三款公仔物料跟踪." xfId="54"/>
    <cellStyle name="_鱼仔物料跟踪" xfId="55"/>
    <cellStyle name="Input" xfId="56"/>
    <cellStyle name="40% - 强调文字颜色 4 2" xfId="57"/>
    <cellStyle name="輸入" xfId="58"/>
    <cellStyle name="Heading 3" xfId="59"/>
    <cellStyle name="警告文字" xfId="60"/>
    <cellStyle name="20% - 輔色2" xfId="61"/>
    <cellStyle name="一般" xfId="62"/>
    <cellStyle name="输出 2" xfId="63"/>
    <cellStyle name="20% - 輔色3" xfId="64"/>
    <cellStyle name="標題" xfId="65"/>
    <cellStyle name="20% - 輔色5" xfId="66"/>
    <cellStyle name="20% - 輔色6" xfId="67"/>
    <cellStyle name="合計" xfId="68"/>
    <cellStyle name="標題_10月16日Zuru Order Summary (Komax)" xfId="69"/>
    <cellStyle name="說明文字" xfId="70"/>
    <cellStyle name="20% - Accent4" xfId="71"/>
    <cellStyle name="20% - Accent2" xfId="72"/>
    <cellStyle name="20% - Accent3" xfId="73"/>
    <cellStyle name="20% - Accent5" xfId="74"/>
    <cellStyle name="20% - Accent6" xfId="75"/>
    <cellStyle name="常规 5 2 7" xfId="76"/>
    <cellStyle name=" 3]&#10;&#10;Zoomed=1&#10;&#10;Row=0&#10;&#10;Column=0&#10;&#10;Height=300&#10;&#10;Width=300&#10;&#10;FontName=細明體&#10;&#10;FontStyle=0&#10;&#10;FontSize=9&#10;&#10;PrtFontName=Co" xfId="77"/>
    <cellStyle name="Warning Text" xfId="78"/>
    <cellStyle name="_三款发声公仔PCB排期表" xfId="79"/>
    <cellStyle name="常规 2 2 6 21" xfId="80"/>
    <cellStyle name="20% - 輔色1" xfId="81"/>
    <cellStyle name="20% - Accent1" xfId="82"/>
    <cellStyle name="20% - 强调文字颜色 2 2" xfId="83"/>
    <cellStyle name="Heading 2" xfId="84"/>
    <cellStyle name="好_3月12日Zuru Order Summary (Komax)" xfId="85"/>
    <cellStyle name="40% - Accent1" xfId="86"/>
    <cellStyle name="40% - Accent2" xfId="87"/>
    <cellStyle name="40% - Accent3" xfId="88"/>
    <cellStyle name="40% - Accent6" xfId="89"/>
    <cellStyle name="40% - 輔色1" xfId="90"/>
    <cellStyle name="40% - 輔色3" xfId="91"/>
    <cellStyle name="40% - 輔色6" xfId="92"/>
    <cellStyle name="40% - 强调文字颜色 1 2" xfId="93"/>
    <cellStyle name="40% - 强调文字颜色 2 2" xfId="94"/>
    <cellStyle name="40% - 强调文字颜色 3 2" xfId="95"/>
    <cellStyle name="40% - 强调文字颜色 6 2" xfId="96"/>
    <cellStyle name="60% - Accent1" xfId="97"/>
    <cellStyle name="60% - Accent2" xfId="98"/>
    <cellStyle name="60% - Accent3" xfId="99"/>
    <cellStyle name="60% - Accent4" xfId="100"/>
    <cellStyle name="標題 1" xfId="101"/>
    <cellStyle name="强调文字颜色 4 2" xfId="102"/>
    <cellStyle name="60% - Accent5" xfId="103"/>
    <cellStyle name="標題 2" xfId="104"/>
    <cellStyle name="60% - Accent6" xfId="105"/>
    <cellStyle name="標題 3" xfId="106"/>
    <cellStyle name="60% - 輔色1" xfId="107"/>
    <cellStyle name="60% - 輔色2" xfId="108"/>
    <cellStyle name="60% - 輔色3" xfId="109"/>
    <cellStyle name="Good" xfId="110"/>
    <cellStyle name="60% - 輔色4" xfId="111"/>
    <cellStyle name="60% - 輔色5" xfId="112"/>
    <cellStyle name="60% - 輔色6" xfId="113"/>
    <cellStyle name="60% - 强调文字颜色 1 2" xfId="114"/>
    <cellStyle name="Heading 4" xfId="115"/>
    <cellStyle name="60% - 强调文字颜色 3 2" xfId="116"/>
    <cellStyle name="Neutral" xfId="117"/>
    <cellStyle name="常规 25 23" xfId="118"/>
    <cellStyle name="60% - 强调文字颜色 6 2" xfId="119"/>
    <cellStyle name="Accent1" xfId="120"/>
    <cellStyle name="Accent2" xfId="121"/>
    <cellStyle name="Accent3" xfId="122"/>
    <cellStyle name="Accent6" xfId="123"/>
    <cellStyle name="Bad" xfId="124"/>
    <cellStyle name="Calculation" xfId="125"/>
    <cellStyle name="Check Cell" xfId="126"/>
    <cellStyle name="ColLevel_0" xfId="127"/>
    <cellStyle name="Comma_PO (訂貨資料)" xfId="128"/>
    <cellStyle name="Explanatory Text" xfId="129"/>
    <cellStyle name="强调文字颜色 1 2" xfId="130"/>
    <cellStyle name="Heading 1" xfId="131"/>
    <cellStyle name="Linked Cell" xfId="132"/>
    <cellStyle name="常规_MA Inventory list" xfId="133"/>
    <cellStyle name="Total" xfId="134"/>
    <cellStyle name="差 2" xfId="135"/>
    <cellStyle name="百分比 2" xfId="136"/>
    <cellStyle name="壞_鱼仔成品完成" xfId="137"/>
    <cellStyle name="Title" xfId="138"/>
    <cellStyle name="常规 2" xfId="139"/>
    <cellStyle name="标题 5" xfId="140"/>
    <cellStyle name="Note" xfId="141"/>
    <cellStyle name="Output" xfId="142"/>
    <cellStyle name="THIN" xfId="143"/>
    <cellStyle name="标题 1 2" xfId="144"/>
    <cellStyle name="标题 2 2" xfId="145"/>
    <cellStyle name="标题 3 2" xfId="146"/>
    <cellStyle name="标题 4 2" xfId="147"/>
    <cellStyle name="標題 4" xfId="148"/>
    <cellStyle name="差_MA物料盘点" xfId="149"/>
    <cellStyle name="常规 130" xfId="150"/>
    <cellStyle name="一般_H-1231-01G雪芳公仔-Project status form (2)" xfId="151"/>
    <cellStyle name="好_H1232卡梅尔公仔" xfId="152"/>
    <cellStyle name="壞_10月18日Zuru Order Summary (Komax)" xfId="153"/>
    <cellStyle name="常规 30" xfId="154"/>
    <cellStyle name="常规 3" xfId="155"/>
    <cellStyle name="連結的儲存格" xfId="156"/>
    <cellStyle name="常规 5 6" xfId="157"/>
    <cellStyle name="檢查儲存格" xfId="158"/>
    <cellStyle name="常规 4" xfId="159"/>
    <cellStyle name="輔色1" xfId="160"/>
    <cellStyle name="輔色2" xfId="161"/>
    <cellStyle name="輔色3" xfId="162"/>
    <cellStyle name="輔色6" xfId="163"/>
    <cellStyle name="汇总 2" xfId="164"/>
    <cellStyle name="計算方式" xfId="165"/>
    <cellStyle name="链接单元格 2" xfId="166"/>
    <cellStyle name="千位分隔 2" xfId="167"/>
    <cellStyle name="千位分隔 2 2" xfId="168"/>
    <cellStyle name="强调文字颜色 2 2" xfId="169"/>
    <cellStyle name="强调文字颜色 3 2" xfId="170"/>
    <cellStyle name="强调文字颜色 6 2" xfId="171"/>
    <cellStyle name="輸出" xfId="172"/>
    <cellStyle name="中等" xfId="173"/>
    <cellStyle name="常规 6 2 2" xfId="174"/>
    <cellStyle name="常规 2 266" xfId="175"/>
  </cellStyles>
  <dxfs count="2">
    <dxf>
      <font>
        <color rgb="FF9C0006"/>
      </font>
      <fill>
        <patternFill patternType="solid">
          <bgColor rgb="FFFFC7CE"/>
        </patternFill>
      </fill>
    </dxf>
    <dxf>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1506E0"/>
      <color rgb="002727F0"/>
      <color rgb="00F4225D"/>
      <color rgb="000FB7FD"/>
      <color rgb="000000FF"/>
      <color rgb="0000B0F0"/>
      <color rgb="00FF0000"/>
      <color rgb="00FFFF00"/>
      <color rgb="00000000"/>
      <color rgb="000E2EF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16</xdr:col>
      <xdr:colOff>791845</xdr:colOff>
      <xdr:row>132</xdr:row>
      <xdr:rowOff>92710</xdr:rowOff>
    </xdr:from>
    <xdr:to>
      <xdr:col>20</xdr:col>
      <xdr:colOff>396240</xdr:colOff>
      <xdr:row>140</xdr:row>
      <xdr:rowOff>45085</xdr:rowOff>
    </xdr:to>
    <xdr:pic>
      <xdr:nvPicPr>
        <xdr:cNvPr id="2" name="图片 1" descr="3d747b2de17d00c0ab402bebe09f0b2"/>
        <xdr:cNvPicPr>
          <a:picLocks noChangeAspect="1"/>
        </xdr:cNvPicPr>
      </xdr:nvPicPr>
      <xdr:blipFill>
        <a:blip r:embed="rId1"/>
        <a:stretch>
          <a:fillRect/>
        </a:stretch>
      </xdr:blipFill>
      <xdr:spPr>
        <a:xfrm>
          <a:off x="13476605" y="28270835"/>
          <a:ext cx="4114800" cy="14224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xml"/><Relationship Id="rId1" Type="http://schemas.openxmlformats.org/officeDocument/2006/relationships/comments" Target="../comments6.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371"/>
  <sheetViews>
    <sheetView zoomScale="55" zoomScaleNormal="55" workbookViewId="0">
      <pane xSplit="15" ySplit="3" topLeftCell="P326" activePane="bottomRight" state="frozen"/>
      <selection/>
      <selection pane="topRight"/>
      <selection pane="bottomLeft"/>
      <selection pane="bottomRight" activeCell="P335" sqref="P335"/>
    </sheetView>
  </sheetViews>
  <sheetFormatPr defaultColWidth="9" defaultRowHeight="23" customHeight="1"/>
  <cols>
    <col min="1" max="1" width="23.125" style="1991" customWidth="1"/>
    <col min="2" max="2" width="16.1583333333333" style="1992" customWidth="1"/>
    <col min="3" max="3" width="12.275" style="1986" customWidth="1"/>
    <col min="4" max="4" width="17.6333333333333" style="1993" customWidth="1"/>
    <col min="5" max="5" width="16.1583333333333" style="1992" customWidth="1"/>
    <col min="6" max="6" width="18.5416666666667" style="1992" customWidth="1"/>
    <col min="7" max="7" width="18.5166666666667" style="1990" hidden="1" customWidth="1"/>
    <col min="8" max="8" width="17.2416666666667" style="1986" customWidth="1"/>
    <col min="9" max="9" width="12.7166666666667" style="1986" customWidth="1"/>
    <col min="10" max="10" width="13.575" style="1986" customWidth="1"/>
    <col min="11" max="11" width="8.925" style="1986" customWidth="1"/>
    <col min="12" max="12" width="10.3416666666667" style="1986" customWidth="1"/>
    <col min="13" max="13" width="10.7666666666667" style="1986" customWidth="1"/>
    <col min="14" max="14" width="21.0833333333333" style="1994" customWidth="1"/>
    <col min="15" max="15" width="21.0833333333333" style="1995" customWidth="1"/>
    <col min="16" max="16" width="17.0833333333333" style="1992" customWidth="1"/>
    <col min="17" max="17" width="14.3666666666667" style="1986" customWidth="1"/>
    <col min="18" max="18" width="20.7083333333333" style="1986" customWidth="1"/>
    <col min="19" max="20" width="12.9666666666667" style="1996" customWidth="1"/>
    <col min="21" max="21" width="26.725" style="1996" customWidth="1"/>
    <col min="22" max="22" width="17.85" style="1992" customWidth="1"/>
    <col min="23" max="23" width="30.3583333333333" style="1997" customWidth="1"/>
    <col min="24" max="24" width="12.025" style="1986" customWidth="1"/>
    <col min="25" max="25" width="13.3833333333333" style="1986" customWidth="1" outlineLevel="1"/>
    <col min="26" max="26" width="17.5" style="1998" customWidth="1" outlineLevel="1"/>
    <col min="27" max="27" width="19.625" style="1999" customWidth="1"/>
    <col min="28" max="28" width="10.875" style="1999" customWidth="1"/>
    <col min="29" max="29" width="7.875" style="1999" customWidth="1"/>
    <col min="30" max="30" width="8.75" style="2000" customWidth="1"/>
    <col min="31" max="32" width="10.875" style="1992" customWidth="1"/>
    <col min="33" max="33" width="7.29166666666667" style="1986" customWidth="1"/>
    <col min="34" max="36" width="8.725" style="2001" customWidth="1"/>
    <col min="37" max="37" width="8.35833333333333" style="2001" hidden="1" customWidth="1"/>
    <col min="38" max="38" width="11.45" style="2001" customWidth="1"/>
    <col min="39" max="39" width="7.5" style="2001" customWidth="1"/>
    <col min="40" max="45" width="7.5" style="2002" hidden="1" customWidth="1"/>
    <col min="46" max="46" width="9.80833333333333" style="2002" hidden="1" customWidth="1"/>
    <col min="47" max="48" width="7.5" style="2002" hidden="1" customWidth="1"/>
    <col min="49" max="51" width="10.9" style="2001" customWidth="1"/>
    <col min="52" max="52" width="11.2666666666667" style="2001" hidden="1" customWidth="1"/>
    <col min="53" max="55" width="7.5" style="2001" customWidth="1"/>
    <col min="56" max="56" width="9" style="1986" customWidth="1"/>
    <col min="57" max="57" width="8.29166666666667" style="1986" customWidth="1"/>
    <col min="58" max="16384" width="9" style="1986"/>
  </cols>
  <sheetData>
    <row r="1" s="1986" customFormat="1" ht="29" customHeight="1" spans="1:57">
      <c r="A1" s="2003" t="s">
        <v>0</v>
      </c>
      <c r="B1" s="2004"/>
      <c r="C1" s="2004"/>
      <c r="D1" s="2005"/>
      <c r="E1" s="2006"/>
      <c r="F1" s="2007"/>
      <c r="G1" s="2008"/>
      <c r="H1" s="2006"/>
      <c r="I1" s="2006"/>
      <c r="J1" s="2006"/>
      <c r="K1" s="2006"/>
      <c r="L1" s="2006"/>
      <c r="M1" s="2026"/>
      <c r="N1" s="2027"/>
      <c r="O1" s="2028"/>
      <c r="P1" s="2029"/>
      <c r="Q1" s="2026"/>
      <c r="R1" s="2026"/>
      <c r="S1" s="2045"/>
      <c r="T1" s="2045"/>
      <c r="U1" s="2045"/>
      <c r="V1" s="2033"/>
      <c r="W1" s="2046"/>
      <c r="X1" s="2026"/>
      <c r="Y1" s="2026"/>
      <c r="Z1" s="2026"/>
      <c r="AA1" s="2058"/>
      <c r="AB1" s="2058"/>
      <c r="AC1" s="2058"/>
      <c r="AD1" s="2059"/>
      <c r="AE1" s="2029"/>
      <c r="AF1" s="2029"/>
      <c r="AG1" s="2026"/>
      <c r="AH1" s="2026"/>
      <c r="AI1" s="2026"/>
      <c r="AJ1" s="2026"/>
      <c r="AK1" s="2074"/>
      <c r="AL1" s="2074"/>
      <c r="AM1" s="2074"/>
      <c r="AN1" s="2075"/>
      <c r="AO1" s="2075"/>
      <c r="AP1" s="2075"/>
      <c r="AQ1" s="2075"/>
      <c r="AR1" s="2075"/>
      <c r="AS1" s="2075"/>
      <c r="AT1" s="2075"/>
      <c r="AU1" s="2075"/>
      <c r="AV1" s="2075"/>
      <c r="AW1" s="2074"/>
      <c r="AX1" s="2074"/>
      <c r="AY1" s="2074"/>
      <c r="AZ1" s="2074"/>
      <c r="BA1" s="2074"/>
      <c r="BB1" s="2074"/>
      <c r="BC1" s="2074"/>
      <c r="BD1" s="1991"/>
      <c r="BE1" s="1991"/>
    </row>
    <row r="2" s="1986" customFormat="1" ht="40" customHeight="1" spans="1:57">
      <c r="A2" s="2009">
        <v>44982</v>
      </c>
      <c r="B2" s="2010"/>
      <c r="C2" s="2004"/>
      <c r="D2" s="2011"/>
      <c r="E2" s="2010"/>
      <c r="F2" s="2007"/>
      <c r="G2" s="2008"/>
      <c r="H2" s="2012"/>
      <c r="I2" s="2030"/>
      <c r="J2" s="2006"/>
      <c r="K2" s="2004"/>
      <c r="L2" s="2004"/>
      <c r="M2" s="2003"/>
      <c r="N2" s="2031"/>
      <c r="O2" s="2032"/>
      <c r="P2" s="2033"/>
      <c r="Q2" s="2003"/>
      <c r="R2" s="2003"/>
      <c r="S2" s="2047"/>
      <c r="T2" s="2047"/>
      <c r="U2" s="2033"/>
      <c r="V2" s="1991"/>
      <c r="W2" s="2048"/>
      <c r="X2" s="2049"/>
      <c r="Y2" s="2003"/>
      <c r="Z2" s="2060"/>
      <c r="AA2" s="2061"/>
      <c r="AB2" s="2061"/>
      <c r="AC2" s="2061"/>
      <c r="AD2" s="2062"/>
      <c r="AE2" s="2033"/>
      <c r="AF2" s="2033"/>
      <c r="AG2" s="2003"/>
      <c r="AH2" s="2076" t="s">
        <v>1</v>
      </c>
      <c r="AI2" s="2077"/>
      <c r="AJ2" s="2077"/>
      <c r="AK2" s="2078" t="s">
        <v>2</v>
      </c>
      <c r="AL2" s="2079"/>
      <c r="AM2" s="2080"/>
      <c r="AN2" s="2081" t="s">
        <v>3</v>
      </c>
      <c r="AO2" s="2081"/>
      <c r="AP2" s="2081"/>
      <c r="AQ2" s="2081" t="s">
        <v>4</v>
      </c>
      <c r="AR2" s="2081"/>
      <c r="AS2" s="2081"/>
      <c r="AT2" s="2081" t="s">
        <v>5</v>
      </c>
      <c r="AU2" s="2081"/>
      <c r="AV2" s="2081"/>
      <c r="AW2" s="2077" t="s">
        <v>6</v>
      </c>
      <c r="AX2" s="2077"/>
      <c r="AY2" s="2077"/>
      <c r="AZ2" s="2078" t="s">
        <v>7</v>
      </c>
      <c r="BA2" s="2076" t="s">
        <v>7</v>
      </c>
      <c r="BB2" s="2076"/>
      <c r="BC2" s="2076"/>
      <c r="BD2" s="1991"/>
      <c r="BE2" s="1991"/>
    </row>
    <row r="3" s="1987" customFormat="1" ht="69" customHeight="1" spans="1:57">
      <c r="A3" s="2013" t="s">
        <v>8</v>
      </c>
      <c r="B3" s="2014" t="s">
        <v>9</v>
      </c>
      <c r="C3" s="2014" t="s">
        <v>10</v>
      </c>
      <c r="D3" s="2015" t="s">
        <v>11</v>
      </c>
      <c r="E3" s="2014" t="s">
        <v>12</v>
      </c>
      <c r="F3" s="2016" t="s">
        <v>13</v>
      </c>
      <c r="G3" s="2017" t="s">
        <v>14</v>
      </c>
      <c r="H3" s="2016" t="s">
        <v>15</v>
      </c>
      <c r="I3" s="2014" t="s">
        <v>16</v>
      </c>
      <c r="J3" s="2016" t="s">
        <v>17</v>
      </c>
      <c r="K3" s="2014" t="s">
        <v>18</v>
      </c>
      <c r="L3" s="2014" t="s">
        <v>18</v>
      </c>
      <c r="M3" s="2013" t="s">
        <v>19</v>
      </c>
      <c r="N3" s="2034" t="s">
        <v>20</v>
      </c>
      <c r="O3" s="2035" t="s">
        <v>21</v>
      </c>
      <c r="P3" s="2013" t="s">
        <v>22</v>
      </c>
      <c r="Q3" s="2013" t="s">
        <v>23</v>
      </c>
      <c r="R3" s="2050" t="s">
        <v>24</v>
      </c>
      <c r="S3" s="2051" t="s">
        <v>25</v>
      </c>
      <c r="T3" s="2051" t="s">
        <v>26</v>
      </c>
      <c r="U3" s="2051" t="s">
        <v>27</v>
      </c>
      <c r="V3" s="2013" t="s">
        <v>28</v>
      </c>
      <c r="W3" s="2052" t="s">
        <v>29</v>
      </c>
      <c r="X3" s="2050" t="s">
        <v>30</v>
      </c>
      <c r="Y3" s="2013" t="s">
        <v>31</v>
      </c>
      <c r="Z3" s="2063" t="s">
        <v>32</v>
      </c>
      <c r="AA3" s="2052" t="s">
        <v>33</v>
      </c>
      <c r="AB3" s="2052" t="s">
        <v>34</v>
      </c>
      <c r="AC3" s="2052" t="s">
        <v>35</v>
      </c>
      <c r="AD3" s="2064" t="s">
        <v>36</v>
      </c>
      <c r="AE3" s="2052" t="s">
        <v>37</v>
      </c>
      <c r="AF3" s="2052" t="s">
        <v>38</v>
      </c>
      <c r="AG3" s="2064" t="s">
        <v>39</v>
      </c>
      <c r="AH3" s="2082" t="s">
        <v>40</v>
      </c>
      <c r="AI3" s="2082" t="s">
        <v>41</v>
      </c>
      <c r="AJ3" s="2082" t="s">
        <v>42</v>
      </c>
      <c r="AK3" s="2082" t="s">
        <v>43</v>
      </c>
      <c r="AL3" s="2082" t="s">
        <v>44</v>
      </c>
      <c r="AM3" s="2083" t="s">
        <v>45</v>
      </c>
      <c r="AN3" s="2083" t="s">
        <v>46</v>
      </c>
      <c r="AO3" s="2083" t="s">
        <v>41</v>
      </c>
      <c r="AP3" s="2083" t="s">
        <v>47</v>
      </c>
      <c r="AQ3" s="2082" t="s">
        <v>40</v>
      </c>
      <c r="AR3" s="2082" t="s">
        <v>48</v>
      </c>
      <c r="AS3" s="2082" t="s">
        <v>42</v>
      </c>
      <c r="AT3" s="2082" t="s">
        <v>40</v>
      </c>
      <c r="AU3" s="2082" t="s">
        <v>48</v>
      </c>
      <c r="AV3" s="2082" t="s">
        <v>42</v>
      </c>
      <c r="AW3" s="2082" t="s">
        <v>40</v>
      </c>
      <c r="AX3" s="2082" t="s">
        <v>48</v>
      </c>
      <c r="AY3" s="2082" t="s">
        <v>42</v>
      </c>
      <c r="AZ3" s="2091"/>
      <c r="BA3" s="2082" t="s">
        <v>40</v>
      </c>
      <c r="BB3" s="2082" t="s">
        <v>48</v>
      </c>
      <c r="BC3" s="2082" t="s">
        <v>42</v>
      </c>
      <c r="BD3" s="2092" t="s">
        <v>49</v>
      </c>
      <c r="BE3" s="2097" t="s">
        <v>50</v>
      </c>
    </row>
    <row r="4" s="1988" customFormat="1" ht="38" customHeight="1" spans="1:57">
      <c r="A4" s="2018">
        <v>45625</v>
      </c>
      <c r="B4" s="2019" t="s">
        <v>51</v>
      </c>
      <c r="C4" s="1989" t="s">
        <v>52</v>
      </c>
      <c r="D4" s="2020" t="s">
        <v>53</v>
      </c>
      <c r="E4" s="2021"/>
      <c r="F4" s="2019"/>
      <c r="G4" s="2022" t="s">
        <v>54</v>
      </c>
      <c r="H4" s="2023" t="s">
        <v>54</v>
      </c>
      <c r="I4" s="2036" t="s">
        <v>55</v>
      </c>
      <c r="J4" s="1989">
        <v>96</v>
      </c>
      <c r="K4" s="2037">
        <v>0</v>
      </c>
      <c r="L4" s="2038">
        <v>12</v>
      </c>
      <c r="M4" s="2039">
        <f t="shared" ref="M4:M65" si="0">J4/L4</f>
        <v>8</v>
      </c>
      <c r="N4" s="2040">
        <v>45642</v>
      </c>
      <c r="O4" s="2041">
        <v>45638</v>
      </c>
      <c r="P4" s="2042"/>
      <c r="Q4" s="1363" t="s">
        <v>56</v>
      </c>
      <c r="R4" s="1365"/>
      <c r="S4" s="1406" t="s">
        <v>57</v>
      </c>
      <c r="T4" s="1406"/>
      <c r="U4" s="1406" t="s">
        <v>58</v>
      </c>
      <c r="V4" s="1402" t="s">
        <v>59</v>
      </c>
      <c r="W4" s="2053" t="s">
        <v>60</v>
      </c>
      <c r="X4" s="2053" t="s">
        <v>61</v>
      </c>
      <c r="Y4" s="2065"/>
      <c r="Z4" s="2066"/>
      <c r="AA4" s="2067" t="s">
        <v>62</v>
      </c>
      <c r="AB4" s="2068">
        <v>96</v>
      </c>
      <c r="AC4" s="2068">
        <f t="shared" ref="AC4:AC67" si="1">AB4-J4</f>
        <v>0</v>
      </c>
      <c r="AD4" s="2069" t="s">
        <v>58</v>
      </c>
      <c r="AE4" s="2070" t="s">
        <v>63</v>
      </c>
      <c r="AF4" s="2070" t="s">
        <v>38</v>
      </c>
      <c r="AG4" s="2084"/>
      <c r="AH4" s="2073">
        <f>J4</f>
        <v>96</v>
      </c>
      <c r="AI4" s="2042"/>
      <c r="AJ4" s="2085"/>
      <c r="AK4" s="2086"/>
      <c r="AL4" s="2042">
        <f>J4</f>
        <v>96</v>
      </c>
      <c r="AM4" s="2087"/>
      <c r="AN4" s="2086"/>
      <c r="AO4" s="2086"/>
      <c r="AP4" s="2086"/>
      <c r="AQ4" s="2086"/>
      <c r="AR4" s="2086"/>
      <c r="AS4" s="2089"/>
      <c r="AT4" s="2086"/>
      <c r="AU4" s="2086"/>
      <c r="AV4" s="2086"/>
      <c r="AW4" s="2042">
        <f>J4</f>
        <v>96</v>
      </c>
      <c r="AX4" s="2042"/>
      <c r="AY4" s="2042"/>
      <c r="AZ4" s="2093"/>
      <c r="BA4" s="2042"/>
      <c r="BB4" s="2042"/>
      <c r="BC4" s="2042"/>
      <c r="BD4" s="2094">
        <f t="shared" ref="BD4:BD14" si="2">SUM(AH4:AJ4)</f>
        <v>96</v>
      </c>
      <c r="BE4" s="2094">
        <f t="shared" ref="BE4:BE14" si="3">BD4-J4</f>
        <v>0</v>
      </c>
    </row>
    <row r="5" s="1988" customFormat="1" ht="38" customHeight="1" spans="1:57">
      <c r="A5" s="2018">
        <v>45625</v>
      </c>
      <c r="B5" s="2019" t="s">
        <v>51</v>
      </c>
      <c r="C5" s="1989" t="s">
        <v>52</v>
      </c>
      <c r="D5" s="2020" t="s">
        <v>53</v>
      </c>
      <c r="E5" s="2021"/>
      <c r="F5" s="2019"/>
      <c r="G5" s="2024" t="s">
        <v>64</v>
      </c>
      <c r="H5" s="2023" t="s">
        <v>64</v>
      </c>
      <c r="I5" s="2036" t="s">
        <v>65</v>
      </c>
      <c r="J5" s="1989">
        <v>96</v>
      </c>
      <c r="K5" s="2037">
        <v>0</v>
      </c>
      <c r="L5" s="2038">
        <v>12</v>
      </c>
      <c r="M5" s="2039">
        <f t="shared" si="0"/>
        <v>8</v>
      </c>
      <c r="N5" s="2040">
        <v>45642</v>
      </c>
      <c r="O5" s="2041">
        <v>45638</v>
      </c>
      <c r="P5" s="2042"/>
      <c r="Q5" s="1363" t="s">
        <v>56</v>
      </c>
      <c r="R5" s="1365"/>
      <c r="S5" s="1406" t="s">
        <v>57</v>
      </c>
      <c r="T5" s="1406"/>
      <c r="U5" s="1406" t="s">
        <v>58</v>
      </c>
      <c r="V5" s="1402" t="s">
        <v>59</v>
      </c>
      <c r="W5" s="2053" t="s">
        <v>60</v>
      </c>
      <c r="X5" s="2053" t="s">
        <v>61</v>
      </c>
      <c r="Y5" s="2065"/>
      <c r="Z5" s="2066"/>
      <c r="AA5" s="2067" t="s">
        <v>62</v>
      </c>
      <c r="AB5" s="2068">
        <v>96</v>
      </c>
      <c r="AC5" s="2068">
        <f t="shared" si="1"/>
        <v>0</v>
      </c>
      <c r="AD5" s="2069" t="s">
        <v>58</v>
      </c>
      <c r="AE5" s="2070" t="s">
        <v>63</v>
      </c>
      <c r="AF5" s="2070" t="s">
        <v>38</v>
      </c>
      <c r="AG5" s="2084"/>
      <c r="AH5" s="2073"/>
      <c r="AI5" s="2042">
        <f>J5</f>
        <v>96</v>
      </c>
      <c r="AJ5" s="2085"/>
      <c r="AK5" s="2086"/>
      <c r="AL5" s="2042">
        <f>J5</f>
        <v>96</v>
      </c>
      <c r="AM5" s="2087"/>
      <c r="AN5" s="2086"/>
      <c r="AO5" s="2086"/>
      <c r="AP5" s="2086"/>
      <c r="AQ5" s="2086"/>
      <c r="AR5" s="2086"/>
      <c r="AS5" s="2089"/>
      <c r="AT5" s="2086"/>
      <c r="AU5" s="2086"/>
      <c r="AV5" s="2086"/>
      <c r="AW5" s="2042"/>
      <c r="AX5" s="2042">
        <f>J5</f>
        <v>96</v>
      </c>
      <c r="AY5" s="2042"/>
      <c r="AZ5" s="2093"/>
      <c r="BA5" s="2042"/>
      <c r="BB5" s="2042"/>
      <c r="BC5" s="2042"/>
      <c r="BD5" s="2094">
        <f t="shared" si="2"/>
        <v>96</v>
      </c>
      <c r="BE5" s="2094">
        <f t="shared" si="3"/>
        <v>0</v>
      </c>
    </row>
    <row r="6" s="1988" customFormat="1" ht="38" customHeight="1" spans="1:57">
      <c r="A6" s="2018">
        <v>45625</v>
      </c>
      <c r="B6" s="2019" t="s">
        <v>51</v>
      </c>
      <c r="C6" s="1989" t="s">
        <v>52</v>
      </c>
      <c r="D6" s="2020" t="s">
        <v>53</v>
      </c>
      <c r="E6" s="2021"/>
      <c r="F6" s="2019"/>
      <c r="G6" s="2021" t="s">
        <v>66</v>
      </c>
      <c r="H6" s="2023" t="s">
        <v>66</v>
      </c>
      <c r="I6" s="2036" t="s">
        <v>67</v>
      </c>
      <c r="J6" s="1989">
        <v>96</v>
      </c>
      <c r="K6" s="2037">
        <v>0</v>
      </c>
      <c r="L6" s="2038">
        <v>12</v>
      </c>
      <c r="M6" s="2039">
        <f t="shared" si="0"/>
        <v>8</v>
      </c>
      <c r="N6" s="2040">
        <v>45642</v>
      </c>
      <c r="O6" s="2041">
        <v>45638</v>
      </c>
      <c r="P6" s="2042"/>
      <c r="Q6" s="1363" t="s">
        <v>56</v>
      </c>
      <c r="R6" s="1365"/>
      <c r="S6" s="1406" t="s">
        <v>57</v>
      </c>
      <c r="T6" s="1406"/>
      <c r="U6" s="1406" t="s">
        <v>58</v>
      </c>
      <c r="V6" s="1402" t="s">
        <v>59</v>
      </c>
      <c r="W6" s="2053" t="s">
        <v>60</v>
      </c>
      <c r="X6" s="2053" t="s">
        <v>61</v>
      </c>
      <c r="Y6" s="2065"/>
      <c r="Z6" s="2066"/>
      <c r="AA6" s="2067" t="s">
        <v>62</v>
      </c>
      <c r="AB6" s="2068">
        <v>96</v>
      </c>
      <c r="AC6" s="2068">
        <f t="shared" si="1"/>
        <v>0</v>
      </c>
      <c r="AD6" s="2069" t="s">
        <v>58</v>
      </c>
      <c r="AE6" s="2070" t="s">
        <v>63</v>
      </c>
      <c r="AF6" s="2070" t="s">
        <v>38</v>
      </c>
      <c r="AG6" s="2084"/>
      <c r="AH6" s="2073"/>
      <c r="AI6" s="2042"/>
      <c r="AJ6" s="2085">
        <f>J6</f>
        <v>96</v>
      </c>
      <c r="AK6" s="2086"/>
      <c r="AL6" s="2042">
        <f>J6</f>
        <v>96</v>
      </c>
      <c r="AM6" s="2087"/>
      <c r="AN6" s="2086"/>
      <c r="AO6" s="2086"/>
      <c r="AP6" s="2086"/>
      <c r="AQ6" s="2086"/>
      <c r="AR6" s="2086"/>
      <c r="AS6" s="2089"/>
      <c r="AT6" s="2086"/>
      <c r="AU6" s="2086"/>
      <c r="AV6" s="2086"/>
      <c r="AW6" s="2042"/>
      <c r="AX6" s="2042"/>
      <c r="AY6" s="2042">
        <f>J6</f>
        <v>96</v>
      </c>
      <c r="AZ6" s="2093"/>
      <c r="BA6" s="2042"/>
      <c r="BB6" s="2042"/>
      <c r="BC6" s="2042"/>
      <c r="BD6" s="2094">
        <f t="shared" si="2"/>
        <v>96</v>
      </c>
      <c r="BE6" s="2094">
        <f t="shared" si="3"/>
        <v>0</v>
      </c>
    </row>
    <row r="7" s="1988" customFormat="1" ht="38" customHeight="1" spans="1:57">
      <c r="A7" s="2018">
        <v>45575</v>
      </c>
      <c r="B7" s="2019" t="s">
        <v>68</v>
      </c>
      <c r="C7" s="1989" t="s">
        <v>69</v>
      </c>
      <c r="D7" s="2020">
        <v>4500147031</v>
      </c>
      <c r="E7" s="2021" t="s">
        <v>70</v>
      </c>
      <c r="F7" s="2019" t="s">
        <v>71</v>
      </c>
      <c r="G7" s="2023" t="s">
        <v>72</v>
      </c>
      <c r="H7" s="2023" t="s">
        <v>54</v>
      </c>
      <c r="I7" s="2036" t="s">
        <v>55</v>
      </c>
      <c r="J7" s="1989">
        <v>240</v>
      </c>
      <c r="K7" s="2037">
        <v>0</v>
      </c>
      <c r="L7" s="2038">
        <v>12</v>
      </c>
      <c r="M7" s="2039">
        <f t="shared" si="0"/>
        <v>20</v>
      </c>
      <c r="N7" s="2040">
        <v>45643</v>
      </c>
      <c r="O7" s="2041">
        <v>45639</v>
      </c>
      <c r="P7" s="2042" t="s">
        <v>73</v>
      </c>
      <c r="Q7" s="1363" t="s">
        <v>56</v>
      </c>
      <c r="R7" s="1365" t="s">
        <v>74</v>
      </c>
      <c r="S7" s="1406" t="s">
        <v>75</v>
      </c>
      <c r="T7" s="1406">
        <v>45616</v>
      </c>
      <c r="U7" s="1406" t="s">
        <v>76</v>
      </c>
      <c r="V7" s="2054" t="s">
        <v>77</v>
      </c>
      <c r="W7" s="2053" t="s">
        <v>78</v>
      </c>
      <c r="X7" s="2053" t="s">
        <v>79</v>
      </c>
      <c r="Y7" s="2065">
        <v>3.9118</v>
      </c>
      <c r="Z7" s="2066">
        <f t="shared" ref="Z7:Z70" si="4">Y7*J7</f>
        <v>938.832</v>
      </c>
      <c r="AA7" s="2068" t="s">
        <v>80</v>
      </c>
      <c r="AB7" s="2068">
        <v>240</v>
      </c>
      <c r="AC7" s="2068">
        <f t="shared" si="1"/>
        <v>0</v>
      </c>
      <c r="AD7" s="2069" t="s">
        <v>81</v>
      </c>
      <c r="AE7" s="2071" t="s">
        <v>63</v>
      </c>
      <c r="AF7" s="2070" t="s">
        <v>38</v>
      </c>
      <c r="AG7" s="2084"/>
      <c r="AH7" s="2073">
        <f>J7</f>
        <v>240</v>
      </c>
      <c r="AI7" s="2042"/>
      <c r="AJ7" s="2085"/>
      <c r="AK7" s="2086"/>
      <c r="AL7" s="2042"/>
      <c r="AM7" s="2087">
        <f>J7</f>
        <v>240</v>
      </c>
      <c r="AN7" s="2086"/>
      <c r="AO7" s="2086"/>
      <c r="AP7" s="2086"/>
      <c r="AQ7" s="2086"/>
      <c r="AR7" s="2086"/>
      <c r="AS7" s="2089"/>
      <c r="AT7" s="2086"/>
      <c r="AU7" s="2086"/>
      <c r="AV7" s="2086"/>
      <c r="AW7" s="2042">
        <f>J7</f>
        <v>240</v>
      </c>
      <c r="AX7" s="2094"/>
      <c r="AY7" s="2073"/>
      <c r="AZ7" s="2095"/>
      <c r="BA7" s="2042"/>
      <c r="BB7" s="2042"/>
      <c r="BC7" s="2042"/>
      <c r="BD7" s="2094">
        <f t="shared" si="2"/>
        <v>240</v>
      </c>
      <c r="BE7" s="2094">
        <f t="shared" si="3"/>
        <v>0</v>
      </c>
    </row>
    <row r="8" s="1988" customFormat="1" ht="38" customHeight="1" spans="1:57">
      <c r="A8" s="2018">
        <v>45575</v>
      </c>
      <c r="B8" s="2019" t="s">
        <v>68</v>
      </c>
      <c r="C8" s="1989" t="s">
        <v>69</v>
      </c>
      <c r="D8" s="2020">
        <v>4500147031</v>
      </c>
      <c r="E8" s="2021" t="s">
        <v>70</v>
      </c>
      <c r="F8" s="2019" t="s">
        <v>82</v>
      </c>
      <c r="G8" s="2024" t="s">
        <v>83</v>
      </c>
      <c r="H8" s="2023" t="s">
        <v>64</v>
      </c>
      <c r="I8" s="2036" t="s">
        <v>65</v>
      </c>
      <c r="J8" s="1989">
        <v>240</v>
      </c>
      <c r="K8" s="2037">
        <v>0</v>
      </c>
      <c r="L8" s="2038">
        <v>12</v>
      </c>
      <c r="M8" s="2039">
        <f t="shared" si="0"/>
        <v>20</v>
      </c>
      <c r="N8" s="2040">
        <v>45643</v>
      </c>
      <c r="O8" s="2041">
        <v>45639</v>
      </c>
      <c r="P8" s="2042" t="s">
        <v>73</v>
      </c>
      <c r="Q8" s="1363" t="s">
        <v>56</v>
      </c>
      <c r="R8" s="1365" t="s">
        <v>74</v>
      </c>
      <c r="S8" s="1406" t="s">
        <v>75</v>
      </c>
      <c r="T8" s="1406">
        <v>45616</v>
      </c>
      <c r="U8" s="1406" t="s">
        <v>76</v>
      </c>
      <c r="V8" s="2054" t="s">
        <v>84</v>
      </c>
      <c r="W8" s="2053" t="s">
        <v>85</v>
      </c>
      <c r="X8" s="2053" t="s">
        <v>79</v>
      </c>
      <c r="Y8" s="2065">
        <v>4.0344</v>
      </c>
      <c r="Z8" s="2066">
        <f t="shared" si="4"/>
        <v>968.256</v>
      </c>
      <c r="AA8" s="2068" t="s">
        <v>80</v>
      </c>
      <c r="AB8" s="2068">
        <v>240</v>
      </c>
      <c r="AC8" s="2068">
        <f t="shared" si="1"/>
        <v>0</v>
      </c>
      <c r="AD8" s="2069" t="s">
        <v>81</v>
      </c>
      <c r="AE8" s="2071" t="s">
        <v>63</v>
      </c>
      <c r="AF8" s="2070" t="s">
        <v>38</v>
      </c>
      <c r="AG8" s="2084"/>
      <c r="AH8" s="2073"/>
      <c r="AI8" s="2042">
        <f>J8</f>
        <v>240</v>
      </c>
      <c r="AJ8" s="2085"/>
      <c r="AK8" s="2086"/>
      <c r="AL8" s="2042"/>
      <c r="AM8" s="2087">
        <f>J8</f>
        <v>240</v>
      </c>
      <c r="AN8" s="2086"/>
      <c r="AO8" s="2086"/>
      <c r="AP8" s="2086"/>
      <c r="AQ8" s="2086"/>
      <c r="AR8" s="2086"/>
      <c r="AS8" s="2089"/>
      <c r="AT8" s="2086"/>
      <c r="AU8" s="2086"/>
      <c r="AV8" s="2086"/>
      <c r="AW8" s="2042"/>
      <c r="AX8" s="2042">
        <f>J8</f>
        <v>240</v>
      </c>
      <c r="AY8" s="2042"/>
      <c r="AZ8" s="2095"/>
      <c r="BA8" s="2042"/>
      <c r="BB8" s="2042"/>
      <c r="BC8" s="2042"/>
      <c r="BD8" s="2094">
        <f t="shared" si="2"/>
        <v>240</v>
      </c>
      <c r="BE8" s="2094">
        <f t="shared" si="3"/>
        <v>0</v>
      </c>
    </row>
    <row r="9" s="1988" customFormat="1" ht="38" customHeight="1" spans="1:57">
      <c r="A9" s="2018">
        <v>45575</v>
      </c>
      <c r="B9" s="2019" t="s">
        <v>68</v>
      </c>
      <c r="C9" s="1989" t="s">
        <v>69</v>
      </c>
      <c r="D9" s="2020">
        <v>4500147031</v>
      </c>
      <c r="E9" s="2021" t="s">
        <v>70</v>
      </c>
      <c r="F9" s="2019" t="s">
        <v>86</v>
      </c>
      <c r="G9" s="2023" t="s">
        <v>87</v>
      </c>
      <c r="H9" s="2023" t="s">
        <v>66</v>
      </c>
      <c r="I9" s="2036" t="s">
        <v>67</v>
      </c>
      <c r="J9" s="1989">
        <v>240</v>
      </c>
      <c r="K9" s="2037">
        <v>0</v>
      </c>
      <c r="L9" s="2038">
        <v>12</v>
      </c>
      <c r="M9" s="2039">
        <f t="shared" si="0"/>
        <v>20</v>
      </c>
      <c r="N9" s="2040">
        <v>45643</v>
      </c>
      <c r="O9" s="2041">
        <v>45639</v>
      </c>
      <c r="P9" s="2042" t="s">
        <v>73</v>
      </c>
      <c r="Q9" s="1363" t="s">
        <v>56</v>
      </c>
      <c r="R9" s="1365" t="s">
        <v>74</v>
      </c>
      <c r="S9" s="1406" t="s">
        <v>75</v>
      </c>
      <c r="T9" s="1406">
        <v>45616</v>
      </c>
      <c r="U9" s="1406" t="s">
        <v>76</v>
      </c>
      <c r="V9" s="2054" t="s">
        <v>88</v>
      </c>
      <c r="W9" s="2053" t="s">
        <v>89</v>
      </c>
      <c r="X9" s="2053" t="s">
        <v>79</v>
      </c>
      <c r="Y9" s="2065">
        <v>3.7168</v>
      </c>
      <c r="Z9" s="2066">
        <f t="shared" si="4"/>
        <v>892.032</v>
      </c>
      <c r="AA9" s="2068" t="s">
        <v>80</v>
      </c>
      <c r="AB9" s="2068">
        <v>240</v>
      </c>
      <c r="AC9" s="2068">
        <f t="shared" si="1"/>
        <v>0</v>
      </c>
      <c r="AD9" s="2069" t="s">
        <v>81</v>
      </c>
      <c r="AE9" s="2070" t="s">
        <v>63</v>
      </c>
      <c r="AF9" s="2070" t="s">
        <v>38</v>
      </c>
      <c r="AG9" s="2084"/>
      <c r="AH9" s="2073"/>
      <c r="AI9" s="2042"/>
      <c r="AJ9" s="2085">
        <f>J9</f>
        <v>240</v>
      </c>
      <c r="AK9" s="2086"/>
      <c r="AL9" s="2042"/>
      <c r="AM9" s="2087">
        <f>J9</f>
        <v>240</v>
      </c>
      <c r="AN9" s="2086"/>
      <c r="AO9" s="2086"/>
      <c r="AP9" s="2086"/>
      <c r="AQ9" s="2086"/>
      <c r="AR9" s="2086"/>
      <c r="AS9" s="2089"/>
      <c r="AT9" s="2086"/>
      <c r="AU9" s="2086"/>
      <c r="AV9" s="2086"/>
      <c r="AW9" s="2042"/>
      <c r="AX9" s="2042"/>
      <c r="AY9" s="2042">
        <f>J9</f>
        <v>240</v>
      </c>
      <c r="AZ9" s="2095"/>
      <c r="BA9" s="2042"/>
      <c r="BB9" s="2042"/>
      <c r="BC9" s="2042"/>
      <c r="BD9" s="2094">
        <f t="shared" si="2"/>
        <v>240</v>
      </c>
      <c r="BE9" s="2094">
        <f t="shared" si="3"/>
        <v>0</v>
      </c>
    </row>
    <row r="10" s="1988" customFormat="1" ht="38" customHeight="1" spans="1:57">
      <c r="A10" s="2018">
        <v>45590</v>
      </c>
      <c r="B10" s="2019" t="s">
        <v>90</v>
      </c>
      <c r="C10" s="1989" t="s">
        <v>91</v>
      </c>
      <c r="D10" s="2020">
        <v>4500148810</v>
      </c>
      <c r="E10" s="2324" t="s">
        <v>92</v>
      </c>
      <c r="F10" s="2019" t="s">
        <v>93</v>
      </c>
      <c r="G10" s="2019" t="s">
        <v>94</v>
      </c>
      <c r="H10" s="2023" t="s">
        <v>94</v>
      </c>
      <c r="I10" s="2036" t="s">
        <v>55</v>
      </c>
      <c r="J10" s="1989">
        <v>3740</v>
      </c>
      <c r="K10" s="2037">
        <v>0</v>
      </c>
      <c r="L10" s="2038">
        <v>2</v>
      </c>
      <c r="M10" s="2039">
        <f t="shared" si="0"/>
        <v>1870</v>
      </c>
      <c r="N10" s="2040">
        <v>45646</v>
      </c>
      <c r="O10" s="2041">
        <v>45642</v>
      </c>
      <c r="P10" s="2042" t="s">
        <v>95</v>
      </c>
      <c r="Q10" s="1363" t="s">
        <v>56</v>
      </c>
      <c r="R10" s="1365" t="s">
        <v>96</v>
      </c>
      <c r="S10" s="1406" t="s">
        <v>97</v>
      </c>
      <c r="T10" s="1406"/>
      <c r="U10" s="1406" t="s">
        <v>98</v>
      </c>
      <c r="V10" s="1402" t="s">
        <v>99</v>
      </c>
      <c r="W10" s="2053" t="s">
        <v>100</v>
      </c>
      <c r="X10" s="2053" t="s">
        <v>101</v>
      </c>
      <c r="Y10" s="2065">
        <v>3.514</v>
      </c>
      <c r="Z10" s="2066">
        <f t="shared" si="4"/>
        <v>13142.36</v>
      </c>
      <c r="AA10" s="2068" t="s">
        <v>102</v>
      </c>
      <c r="AB10" s="2068">
        <v>3740</v>
      </c>
      <c r="AC10" s="2068">
        <f t="shared" si="1"/>
        <v>0</v>
      </c>
      <c r="AD10" s="2069" t="s">
        <v>81</v>
      </c>
      <c r="AE10" s="2070" t="s">
        <v>63</v>
      </c>
      <c r="AF10" s="2070" t="s">
        <v>38</v>
      </c>
      <c r="AG10" s="2084"/>
      <c r="AH10" s="2073">
        <f>J10</f>
        <v>3740</v>
      </c>
      <c r="AI10" s="2042"/>
      <c r="AJ10" s="2085"/>
      <c r="AK10" s="2086"/>
      <c r="AL10" s="2042">
        <f>J10</f>
        <v>3740</v>
      </c>
      <c r="AM10" s="2087"/>
      <c r="AN10" s="2086"/>
      <c r="AO10" s="2086"/>
      <c r="AP10" s="2086"/>
      <c r="AQ10" s="2086"/>
      <c r="AR10" s="2086"/>
      <c r="AS10" s="2089"/>
      <c r="AT10" s="2086"/>
      <c r="AU10" s="2086"/>
      <c r="AV10" s="2086"/>
      <c r="AW10" s="2042"/>
      <c r="AX10" s="2042"/>
      <c r="AY10" s="2042"/>
      <c r="AZ10" s="2093"/>
      <c r="BA10" s="2042">
        <f>J10</f>
        <v>3740</v>
      </c>
      <c r="BB10" s="2042"/>
      <c r="BC10" s="2042"/>
      <c r="BD10" s="2094">
        <f t="shared" si="2"/>
        <v>3740</v>
      </c>
      <c r="BE10" s="2094">
        <f t="shared" si="3"/>
        <v>0</v>
      </c>
    </row>
    <row r="11" s="1988" customFormat="1" ht="38" customHeight="1" spans="1:57">
      <c r="A11" s="2018">
        <v>45590</v>
      </c>
      <c r="B11" s="2019" t="s">
        <v>90</v>
      </c>
      <c r="C11" s="1989" t="s">
        <v>91</v>
      </c>
      <c r="D11" s="2020">
        <v>4500148811</v>
      </c>
      <c r="E11" s="2324" t="s">
        <v>103</v>
      </c>
      <c r="F11" s="2019" t="s">
        <v>104</v>
      </c>
      <c r="G11" s="2019" t="s">
        <v>94</v>
      </c>
      <c r="H11" s="2023" t="s">
        <v>94</v>
      </c>
      <c r="I11" s="2036" t="s">
        <v>55</v>
      </c>
      <c r="J11" s="1989">
        <v>4108</v>
      </c>
      <c r="K11" s="2037">
        <v>0</v>
      </c>
      <c r="L11" s="2038">
        <v>2</v>
      </c>
      <c r="M11" s="2039">
        <f t="shared" si="0"/>
        <v>2054</v>
      </c>
      <c r="N11" s="2040">
        <v>45646</v>
      </c>
      <c r="O11" s="2041">
        <v>45642</v>
      </c>
      <c r="P11" s="2042" t="s">
        <v>95</v>
      </c>
      <c r="Q11" s="1363" t="s">
        <v>56</v>
      </c>
      <c r="R11" s="1365" t="s">
        <v>105</v>
      </c>
      <c r="S11" s="1406" t="s">
        <v>97</v>
      </c>
      <c r="T11" s="1406"/>
      <c r="U11" s="1406" t="s">
        <v>98</v>
      </c>
      <c r="V11" s="1402" t="s">
        <v>99</v>
      </c>
      <c r="W11" s="2053" t="s">
        <v>100</v>
      </c>
      <c r="X11" s="2053" t="s">
        <v>101</v>
      </c>
      <c r="Y11" s="2065">
        <v>3.514</v>
      </c>
      <c r="Z11" s="2066">
        <f t="shared" si="4"/>
        <v>14435.512</v>
      </c>
      <c r="AA11" s="2068" t="s">
        <v>106</v>
      </c>
      <c r="AB11" s="2068">
        <v>4108</v>
      </c>
      <c r="AC11" s="2068">
        <f t="shared" si="1"/>
        <v>0</v>
      </c>
      <c r="AD11" s="2069" t="s">
        <v>81</v>
      </c>
      <c r="AE11" s="2070" t="s">
        <v>63</v>
      </c>
      <c r="AF11" s="2070" t="s">
        <v>38</v>
      </c>
      <c r="AG11" s="2084"/>
      <c r="AH11" s="2073">
        <f>J11</f>
        <v>4108</v>
      </c>
      <c r="AI11" s="2042"/>
      <c r="AJ11" s="2085"/>
      <c r="AK11" s="2086"/>
      <c r="AL11" s="2042">
        <f>J11</f>
        <v>4108</v>
      </c>
      <c r="AM11" s="2087"/>
      <c r="AN11" s="2086"/>
      <c r="AO11" s="2086"/>
      <c r="AP11" s="2086"/>
      <c r="AQ11" s="2086"/>
      <c r="AR11" s="2086"/>
      <c r="AS11" s="2089"/>
      <c r="AT11" s="2086"/>
      <c r="AU11" s="2086"/>
      <c r="AV11" s="2086"/>
      <c r="AW11" s="2042"/>
      <c r="AX11" s="2042"/>
      <c r="AY11" s="2042"/>
      <c r="AZ11" s="2093"/>
      <c r="BA11" s="2042">
        <f>J11</f>
        <v>4108</v>
      </c>
      <c r="BB11" s="2042"/>
      <c r="BC11" s="2042"/>
      <c r="BD11" s="2094">
        <f t="shared" si="2"/>
        <v>4108</v>
      </c>
      <c r="BE11" s="2094">
        <f t="shared" si="3"/>
        <v>0</v>
      </c>
    </row>
    <row r="12" s="1988" customFormat="1" ht="38" customHeight="1" spans="1:57">
      <c r="A12" s="2018">
        <v>45590</v>
      </c>
      <c r="B12" s="2019" t="s">
        <v>90</v>
      </c>
      <c r="C12" s="1989" t="s">
        <v>91</v>
      </c>
      <c r="D12" s="2020">
        <v>4500148812</v>
      </c>
      <c r="E12" s="2324" t="s">
        <v>107</v>
      </c>
      <c r="F12" s="2019" t="s">
        <v>108</v>
      </c>
      <c r="G12" s="2019" t="s">
        <v>94</v>
      </c>
      <c r="H12" s="2023" t="s">
        <v>94</v>
      </c>
      <c r="I12" s="2036" t="s">
        <v>55</v>
      </c>
      <c r="J12" s="1989">
        <v>2922</v>
      </c>
      <c r="K12" s="2037">
        <v>0</v>
      </c>
      <c r="L12" s="2038">
        <v>2</v>
      </c>
      <c r="M12" s="2039">
        <f t="shared" si="0"/>
        <v>1461</v>
      </c>
      <c r="N12" s="2040">
        <v>45646</v>
      </c>
      <c r="O12" s="2041">
        <v>45642</v>
      </c>
      <c r="P12" s="2042" t="s">
        <v>95</v>
      </c>
      <c r="Q12" s="1363" t="s">
        <v>56</v>
      </c>
      <c r="R12" s="1365" t="s">
        <v>109</v>
      </c>
      <c r="S12" s="1406" t="s">
        <v>97</v>
      </c>
      <c r="T12" s="1406"/>
      <c r="U12" s="1406" t="s">
        <v>98</v>
      </c>
      <c r="V12" s="1402" t="s">
        <v>99</v>
      </c>
      <c r="W12" s="2053" t="s">
        <v>100</v>
      </c>
      <c r="X12" s="2053" t="s">
        <v>101</v>
      </c>
      <c r="Y12" s="2065">
        <v>3.5075</v>
      </c>
      <c r="Z12" s="2066">
        <f t="shared" si="4"/>
        <v>10248.915</v>
      </c>
      <c r="AA12" s="2068" t="s">
        <v>110</v>
      </c>
      <c r="AB12" s="2068">
        <f>1422+1500</f>
        <v>2922</v>
      </c>
      <c r="AC12" s="2068">
        <f t="shared" si="1"/>
        <v>0</v>
      </c>
      <c r="AD12" s="2069" t="s">
        <v>81</v>
      </c>
      <c r="AE12" s="2070" t="s">
        <v>63</v>
      </c>
      <c r="AF12" s="2070" t="s">
        <v>38</v>
      </c>
      <c r="AG12" s="2084"/>
      <c r="AH12" s="2073">
        <f>J12</f>
        <v>2922</v>
      </c>
      <c r="AI12" s="2042"/>
      <c r="AJ12" s="2085"/>
      <c r="AK12" s="2086"/>
      <c r="AL12" s="2042">
        <f>J12</f>
        <v>2922</v>
      </c>
      <c r="AM12" s="2087"/>
      <c r="AN12" s="2086"/>
      <c r="AO12" s="2086"/>
      <c r="AP12" s="2086"/>
      <c r="AQ12" s="2086"/>
      <c r="AR12" s="2086"/>
      <c r="AS12" s="2089"/>
      <c r="AT12" s="2086"/>
      <c r="AU12" s="2086"/>
      <c r="AV12" s="2086"/>
      <c r="AW12" s="2042"/>
      <c r="AX12" s="2042"/>
      <c r="AY12" s="2042"/>
      <c r="AZ12" s="2093"/>
      <c r="BA12" s="2042">
        <f>J12</f>
        <v>2922</v>
      </c>
      <c r="BB12" s="2042"/>
      <c r="BC12" s="2042"/>
      <c r="BD12" s="2094">
        <f t="shared" si="2"/>
        <v>2922</v>
      </c>
      <c r="BE12" s="2094">
        <f t="shared" si="3"/>
        <v>0</v>
      </c>
    </row>
    <row r="13" s="1988" customFormat="1" ht="38" customHeight="1" spans="1:57">
      <c r="A13" s="2018">
        <v>45602</v>
      </c>
      <c r="B13" s="2019" t="s">
        <v>111</v>
      </c>
      <c r="C13" s="1989" t="s">
        <v>112</v>
      </c>
      <c r="D13" s="2020">
        <v>4500150264</v>
      </c>
      <c r="E13" s="2021" t="s">
        <v>113</v>
      </c>
      <c r="F13" s="2019" t="s">
        <v>114</v>
      </c>
      <c r="G13" s="2024" t="s">
        <v>64</v>
      </c>
      <c r="H13" s="2023" t="s">
        <v>64</v>
      </c>
      <c r="I13" s="2036" t="s">
        <v>65</v>
      </c>
      <c r="J13" s="1989">
        <v>756</v>
      </c>
      <c r="K13" s="2037">
        <v>0</v>
      </c>
      <c r="L13" s="2038">
        <v>12</v>
      </c>
      <c r="M13" s="2039">
        <f t="shared" si="0"/>
        <v>63</v>
      </c>
      <c r="N13" s="2040">
        <v>45652</v>
      </c>
      <c r="O13" s="2041">
        <v>45649</v>
      </c>
      <c r="P13" s="2042"/>
      <c r="Q13" s="1363" t="s">
        <v>56</v>
      </c>
      <c r="R13" s="1365" t="s">
        <v>115</v>
      </c>
      <c r="S13" s="1406" t="s">
        <v>116</v>
      </c>
      <c r="T13" s="1406"/>
      <c r="U13" s="1406" t="s">
        <v>117</v>
      </c>
      <c r="V13" s="1402" t="s">
        <v>118</v>
      </c>
      <c r="W13" s="2053" t="s">
        <v>119</v>
      </c>
      <c r="X13" s="2053" t="s">
        <v>120</v>
      </c>
      <c r="Y13" s="2065">
        <v>4.0344</v>
      </c>
      <c r="Z13" s="2066">
        <f t="shared" si="4"/>
        <v>3050.0064</v>
      </c>
      <c r="AA13" s="2068" t="s">
        <v>121</v>
      </c>
      <c r="AB13" s="2068">
        <v>756</v>
      </c>
      <c r="AC13" s="2068">
        <f t="shared" si="1"/>
        <v>0</v>
      </c>
      <c r="AD13" s="2069" t="s">
        <v>81</v>
      </c>
      <c r="AE13" s="2070" t="s">
        <v>63</v>
      </c>
      <c r="AF13" s="2070" t="s">
        <v>38</v>
      </c>
      <c r="AG13" s="2084"/>
      <c r="AH13" s="2073"/>
      <c r="AI13" s="2042">
        <f>J13</f>
        <v>756</v>
      </c>
      <c r="AJ13" s="2085"/>
      <c r="AK13" s="2086"/>
      <c r="AL13" s="2042">
        <f>J13</f>
        <v>756</v>
      </c>
      <c r="AM13" s="2087"/>
      <c r="AN13" s="2086"/>
      <c r="AO13" s="2086"/>
      <c r="AP13" s="2086"/>
      <c r="AQ13" s="2086"/>
      <c r="AR13" s="2086"/>
      <c r="AS13" s="2089"/>
      <c r="AT13" s="2086"/>
      <c r="AU13" s="2086"/>
      <c r="AV13" s="2086"/>
      <c r="AW13" s="2042"/>
      <c r="AX13" s="2042">
        <f>J13</f>
        <v>756</v>
      </c>
      <c r="AY13" s="2042"/>
      <c r="AZ13" s="2093"/>
      <c r="BA13" s="2042"/>
      <c r="BB13" s="2042"/>
      <c r="BC13" s="2042"/>
      <c r="BD13" s="2094">
        <f t="shared" si="2"/>
        <v>756</v>
      </c>
      <c r="BE13" s="2094">
        <f t="shared" si="3"/>
        <v>0</v>
      </c>
    </row>
    <row r="14" s="1988" customFormat="1" ht="38" customHeight="1" spans="1:57">
      <c r="A14" s="2018">
        <v>45596</v>
      </c>
      <c r="B14" s="2019" t="s">
        <v>122</v>
      </c>
      <c r="C14" s="1989" t="s">
        <v>123</v>
      </c>
      <c r="D14" s="2020">
        <v>4500149773</v>
      </c>
      <c r="E14" s="2021">
        <v>4400444865</v>
      </c>
      <c r="F14" s="2019" t="s">
        <v>124</v>
      </c>
      <c r="G14" s="2023" t="s">
        <v>125</v>
      </c>
      <c r="H14" s="2023" t="s">
        <v>54</v>
      </c>
      <c r="I14" s="2036" t="s">
        <v>55</v>
      </c>
      <c r="J14" s="1989">
        <v>3000</v>
      </c>
      <c r="K14" s="2037">
        <v>0</v>
      </c>
      <c r="L14" s="2038">
        <v>12</v>
      </c>
      <c r="M14" s="2039">
        <f t="shared" si="0"/>
        <v>250</v>
      </c>
      <c r="N14" s="2040">
        <v>45653</v>
      </c>
      <c r="O14" s="2041">
        <v>45649</v>
      </c>
      <c r="P14" s="2042"/>
      <c r="Q14" s="1363" t="s">
        <v>56</v>
      </c>
      <c r="R14" s="1365" t="s">
        <v>126</v>
      </c>
      <c r="S14" s="1406" t="s">
        <v>127</v>
      </c>
      <c r="T14" s="1406"/>
      <c r="U14" s="1406" t="s">
        <v>128</v>
      </c>
      <c r="V14" s="2054" t="s">
        <v>129</v>
      </c>
      <c r="W14" s="2053" t="s">
        <v>130</v>
      </c>
      <c r="X14" s="2053" t="s">
        <v>131</v>
      </c>
      <c r="Y14" s="2065">
        <v>3.4606</v>
      </c>
      <c r="Z14" s="2066">
        <f t="shared" si="4"/>
        <v>10381.8</v>
      </c>
      <c r="AA14" s="2068" t="s">
        <v>132</v>
      </c>
      <c r="AB14" s="2068">
        <f>2208+792</f>
        <v>3000</v>
      </c>
      <c r="AC14" s="2068">
        <f t="shared" si="1"/>
        <v>0</v>
      </c>
      <c r="AD14" s="2069" t="s">
        <v>81</v>
      </c>
      <c r="AE14" s="2070" t="s">
        <v>63</v>
      </c>
      <c r="AF14" s="2070" t="s">
        <v>38</v>
      </c>
      <c r="AG14" s="2084"/>
      <c r="AH14" s="2073">
        <f>J14</f>
        <v>3000</v>
      </c>
      <c r="AI14" s="2042"/>
      <c r="AJ14" s="2085"/>
      <c r="AK14" s="2086"/>
      <c r="AL14" s="2042"/>
      <c r="AM14" s="2087">
        <f>J14</f>
        <v>3000</v>
      </c>
      <c r="AN14" s="2086"/>
      <c r="AO14" s="2086"/>
      <c r="AP14" s="2086"/>
      <c r="AQ14" s="2086"/>
      <c r="AR14" s="2086"/>
      <c r="AS14" s="2089"/>
      <c r="AT14" s="2086"/>
      <c r="AU14" s="2086"/>
      <c r="AV14" s="2086"/>
      <c r="AW14" s="2042">
        <f>J14</f>
        <v>3000</v>
      </c>
      <c r="AX14" s="2042"/>
      <c r="AY14" s="2042"/>
      <c r="AZ14" s="2093"/>
      <c r="BA14" s="2042"/>
      <c r="BB14" s="2042"/>
      <c r="BC14" s="2042"/>
      <c r="BD14" s="2094">
        <f t="shared" si="2"/>
        <v>3000</v>
      </c>
      <c r="BE14" s="2094">
        <f t="shared" si="3"/>
        <v>0</v>
      </c>
    </row>
    <row r="15" s="1988" customFormat="1" ht="36" customHeight="1" spans="1:57">
      <c r="A15" s="2018">
        <v>45623</v>
      </c>
      <c r="B15" s="2019" t="s">
        <v>133</v>
      </c>
      <c r="C15" s="1723" t="s">
        <v>91</v>
      </c>
      <c r="D15" s="2025">
        <v>4500152570</v>
      </c>
      <c r="E15" s="2021" t="s">
        <v>134</v>
      </c>
      <c r="F15" s="2019" t="s">
        <v>135</v>
      </c>
      <c r="G15" s="2022" t="s">
        <v>54</v>
      </c>
      <c r="H15" s="2023" t="s">
        <v>54</v>
      </c>
      <c r="I15" s="2036" t="s">
        <v>55</v>
      </c>
      <c r="J15" s="1989">
        <v>804</v>
      </c>
      <c r="K15" s="2037">
        <v>0</v>
      </c>
      <c r="L15" s="2038">
        <v>12</v>
      </c>
      <c r="M15" s="2039">
        <f t="shared" si="0"/>
        <v>67</v>
      </c>
      <c r="N15" s="2040">
        <v>45651</v>
      </c>
      <c r="O15" s="2040">
        <v>45647</v>
      </c>
      <c r="P15" s="2042"/>
      <c r="Q15" s="1363" t="s">
        <v>56</v>
      </c>
      <c r="R15" s="1363"/>
      <c r="S15" s="1406">
        <v>45623</v>
      </c>
      <c r="T15" s="1406"/>
      <c r="U15" s="1406" t="s">
        <v>136</v>
      </c>
      <c r="V15" s="1402" t="s">
        <v>137</v>
      </c>
      <c r="W15" s="2055" t="s">
        <v>138</v>
      </c>
      <c r="X15" s="2056" t="s">
        <v>139</v>
      </c>
      <c r="Y15" s="2065">
        <v>3.9118</v>
      </c>
      <c r="Z15" s="2066">
        <f t="shared" si="4"/>
        <v>3145.0872</v>
      </c>
      <c r="AA15" s="2068" t="s">
        <v>140</v>
      </c>
      <c r="AB15" s="2072">
        <v>804</v>
      </c>
      <c r="AC15" s="2068">
        <f t="shared" si="1"/>
        <v>0</v>
      </c>
      <c r="AD15" s="2069" t="s">
        <v>81</v>
      </c>
      <c r="AE15" s="2070" t="s">
        <v>63</v>
      </c>
      <c r="AF15" s="2070" t="s">
        <v>38</v>
      </c>
      <c r="AG15" s="2084"/>
      <c r="AH15" s="2073">
        <f>J15</f>
        <v>804</v>
      </c>
      <c r="AI15" s="2042"/>
      <c r="AJ15" s="2085"/>
      <c r="AK15" s="2086"/>
      <c r="AL15" s="2042">
        <f>J15</f>
        <v>804</v>
      </c>
      <c r="AM15" s="2087"/>
      <c r="AN15" s="2086"/>
      <c r="AO15" s="2086"/>
      <c r="AP15" s="2086"/>
      <c r="AQ15" s="2086"/>
      <c r="AR15" s="2086"/>
      <c r="AS15" s="2089"/>
      <c r="AT15" s="2086"/>
      <c r="AU15" s="2086"/>
      <c r="AV15" s="2086"/>
      <c r="AW15" s="2042">
        <f>J15</f>
        <v>804</v>
      </c>
      <c r="AX15" s="2042"/>
      <c r="AY15" s="2042"/>
      <c r="AZ15" s="2093"/>
      <c r="BA15" s="2042"/>
      <c r="BB15" s="2042"/>
      <c r="BC15" s="2042"/>
      <c r="BD15" s="2094">
        <f t="shared" ref="BD15:BD26" si="5">SUM(AH15:AJ15)</f>
        <v>804</v>
      </c>
      <c r="BE15" s="2094">
        <f t="shared" ref="BE15:BE26" si="6">BD15-J15</f>
        <v>0</v>
      </c>
    </row>
    <row r="16" s="1988" customFormat="1" ht="38" customHeight="1" spans="1:57">
      <c r="A16" s="2018">
        <v>45590</v>
      </c>
      <c r="B16" s="2019" t="s">
        <v>90</v>
      </c>
      <c r="C16" s="1989" t="s">
        <v>91</v>
      </c>
      <c r="D16" s="2020">
        <v>4500148814</v>
      </c>
      <c r="E16" s="2324" t="s">
        <v>141</v>
      </c>
      <c r="F16" s="2019" t="s">
        <v>142</v>
      </c>
      <c r="G16" s="2019" t="s">
        <v>94</v>
      </c>
      <c r="H16" s="2023" t="s">
        <v>94</v>
      </c>
      <c r="I16" s="2036" t="s">
        <v>55</v>
      </c>
      <c r="J16" s="1989">
        <v>2888</v>
      </c>
      <c r="K16" s="2037">
        <v>0</v>
      </c>
      <c r="L16" s="2038">
        <v>2</v>
      </c>
      <c r="M16" s="2039">
        <f t="shared" si="0"/>
        <v>1444</v>
      </c>
      <c r="N16" s="2040">
        <v>45653</v>
      </c>
      <c r="O16" s="2041">
        <v>45649</v>
      </c>
      <c r="P16" s="2042" t="s">
        <v>143</v>
      </c>
      <c r="Q16" s="1363" t="s">
        <v>56</v>
      </c>
      <c r="R16" s="1365" t="s">
        <v>109</v>
      </c>
      <c r="S16" s="1406" t="s">
        <v>97</v>
      </c>
      <c r="T16" s="1406"/>
      <c r="U16" s="1406" t="s">
        <v>144</v>
      </c>
      <c r="V16" s="1402" t="s">
        <v>99</v>
      </c>
      <c r="W16" s="2053" t="s">
        <v>100</v>
      </c>
      <c r="X16" s="2053" t="s">
        <v>101</v>
      </c>
      <c r="Y16" s="2065">
        <v>3.6259</v>
      </c>
      <c r="Z16" s="2066">
        <f t="shared" si="4"/>
        <v>10471.5992</v>
      </c>
      <c r="AA16" s="2068" t="s">
        <v>145</v>
      </c>
      <c r="AB16" s="2072">
        <v>2888</v>
      </c>
      <c r="AC16" s="2068">
        <f t="shared" si="1"/>
        <v>0</v>
      </c>
      <c r="AD16" s="2069" t="s">
        <v>81</v>
      </c>
      <c r="AE16" s="2070" t="s">
        <v>63</v>
      </c>
      <c r="AF16" s="2070" t="s">
        <v>38</v>
      </c>
      <c r="AG16" s="2084"/>
      <c r="AH16" s="2073">
        <f>J16</f>
        <v>2888</v>
      </c>
      <c r="AI16" s="2042"/>
      <c r="AJ16" s="2085"/>
      <c r="AK16" s="2086"/>
      <c r="AL16" s="2042">
        <f>J16</f>
        <v>2888</v>
      </c>
      <c r="AM16" s="2087"/>
      <c r="AN16" s="2086"/>
      <c r="AO16" s="2086"/>
      <c r="AP16" s="2086"/>
      <c r="AQ16" s="2086"/>
      <c r="AR16" s="2086"/>
      <c r="AS16" s="2089"/>
      <c r="AT16" s="2086"/>
      <c r="AU16" s="2086"/>
      <c r="AV16" s="2086"/>
      <c r="AW16" s="2042"/>
      <c r="AX16" s="2042"/>
      <c r="AY16" s="2042"/>
      <c r="AZ16" s="2093"/>
      <c r="BA16" s="2042">
        <f>J16</f>
        <v>2888</v>
      </c>
      <c r="BB16" s="2042"/>
      <c r="BC16" s="2042"/>
      <c r="BD16" s="2094">
        <f t="shared" si="5"/>
        <v>2888</v>
      </c>
      <c r="BE16" s="2094">
        <f t="shared" si="6"/>
        <v>0</v>
      </c>
    </row>
    <row r="17" s="1988" customFormat="1" ht="36" customHeight="1" spans="1:57">
      <c r="A17" s="2018">
        <v>45623</v>
      </c>
      <c r="B17" s="2019" t="s">
        <v>133</v>
      </c>
      <c r="C17" s="1723" t="s">
        <v>91</v>
      </c>
      <c r="D17" s="2025">
        <v>4500152572</v>
      </c>
      <c r="E17" s="2021" t="s">
        <v>146</v>
      </c>
      <c r="F17" s="2019" t="s">
        <v>147</v>
      </c>
      <c r="G17" s="2022" t="s">
        <v>54</v>
      </c>
      <c r="H17" s="2023" t="s">
        <v>54</v>
      </c>
      <c r="I17" s="2036" t="s">
        <v>55</v>
      </c>
      <c r="J17" s="1989">
        <v>996</v>
      </c>
      <c r="K17" s="2037">
        <v>0</v>
      </c>
      <c r="L17" s="2038">
        <v>12</v>
      </c>
      <c r="M17" s="2039">
        <f t="shared" si="0"/>
        <v>83</v>
      </c>
      <c r="N17" s="2040">
        <v>45657</v>
      </c>
      <c r="O17" s="2040">
        <v>45653</v>
      </c>
      <c r="P17" s="2042"/>
      <c r="Q17" s="1363" t="s">
        <v>56</v>
      </c>
      <c r="R17" s="1363" t="s">
        <v>148</v>
      </c>
      <c r="S17" s="1406">
        <v>45623</v>
      </c>
      <c r="T17" s="1406"/>
      <c r="U17" s="1406" t="s">
        <v>136</v>
      </c>
      <c r="V17" s="1402" t="s">
        <v>137</v>
      </c>
      <c r="W17" s="2055" t="s">
        <v>149</v>
      </c>
      <c r="X17" s="2056" t="s">
        <v>139</v>
      </c>
      <c r="Y17" s="2065">
        <v>3.8242</v>
      </c>
      <c r="Z17" s="2066">
        <f t="shared" si="4"/>
        <v>3808.9032</v>
      </c>
      <c r="AA17" s="2068" t="s">
        <v>150</v>
      </c>
      <c r="AB17" s="2072">
        <v>996</v>
      </c>
      <c r="AC17" s="2068">
        <f t="shared" si="1"/>
        <v>0</v>
      </c>
      <c r="AD17" s="2069" t="s">
        <v>81</v>
      </c>
      <c r="AE17" s="2070" t="s">
        <v>63</v>
      </c>
      <c r="AF17" s="2070" t="s">
        <v>38</v>
      </c>
      <c r="AG17" s="2084"/>
      <c r="AH17" s="2073">
        <f t="shared" ref="AH15:AH24" si="7">J17</f>
        <v>996</v>
      </c>
      <c r="AI17" s="2042"/>
      <c r="AJ17" s="2085"/>
      <c r="AK17" s="2086"/>
      <c r="AL17" s="2042">
        <f t="shared" ref="AL17:AL24" si="8">J17</f>
        <v>996</v>
      </c>
      <c r="AM17" s="2087"/>
      <c r="AN17" s="2086"/>
      <c r="AO17" s="2086"/>
      <c r="AP17" s="2086"/>
      <c r="AQ17" s="2086"/>
      <c r="AR17" s="2086"/>
      <c r="AS17" s="2089"/>
      <c r="AT17" s="2086"/>
      <c r="AU17" s="2086"/>
      <c r="AV17" s="2086"/>
      <c r="AW17" s="2042">
        <f>J17</f>
        <v>996</v>
      </c>
      <c r="AX17" s="2042"/>
      <c r="AY17" s="2042"/>
      <c r="AZ17" s="2093"/>
      <c r="BA17" s="2042"/>
      <c r="BB17" s="2042"/>
      <c r="BC17" s="2042"/>
      <c r="BD17" s="2094">
        <f t="shared" si="5"/>
        <v>996</v>
      </c>
      <c r="BE17" s="2094">
        <f t="shared" si="6"/>
        <v>0</v>
      </c>
    </row>
    <row r="18" s="1988" customFormat="1" ht="36" customHeight="1" spans="1:57">
      <c r="A18" s="2018">
        <v>45623</v>
      </c>
      <c r="B18" s="2019" t="s">
        <v>133</v>
      </c>
      <c r="C18" s="1723" t="s">
        <v>91</v>
      </c>
      <c r="D18" s="2025">
        <v>4500152573</v>
      </c>
      <c r="E18" s="2021" t="s">
        <v>151</v>
      </c>
      <c r="F18" s="2019" t="s">
        <v>152</v>
      </c>
      <c r="G18" s="2022" t="s">
        <v>54</v>
      </c>
      <c r="H18" s="2023" t="s">
        <v>54</v>
      </c>
      <c r="I18" s="2036" t="s">
        <v>55</v>
      </c>
      <c r="J18" s="1989">
        <v>1200</v>
      </c>
      <c r="K18" s="2037">
        <v>0</v>
      </c>
      <c r="L18" s="2038">
        <v>12</v>
      </c>
      <c r="M18" s="2039">
        <f t="shared" si="0"/>
        <v>100</v>
      </c>
      <c r="N18" s="2040">
        <v>45657</v>
      </c>
      <c r="O18" s="2040">
        <v>45653</v>
      </c>
      <c r="P18" s="2042"/>
      <c r="Q18" s="1363" t="s">
        <v>56</v>
      </c>
      <c r="R18" s="1363" t="s">
        <v>148</v>
      </c>
      <c r="S18" s="1406">
        <v>45623</v>
      </c>
      <c r="T18" s="1406"/>
      <c r="U18" s="1406" t="s">
        <v>136</v>
      </c>
      <c r="V18" s="1402" t="s">
        <v>137</v>
      </c>
      <c r="W18" s="2055" t="s">
        <v>149</v>
      </c>
      <c r="X18" s="2056" t="s">
        <v>139</v>
      </c>
      <c r="Y18" s="2065">
        <v>3.4616</v>
      </c>
      <c r="Z18" s="2066">
        <f t="shared" si="4"/>
        <v>4153.92</v>
      </c>
      <c r="AA18" s="2068" t="s">
        <v>153</v>
      </c>
      <c r="AB18" s="2072">
        <v>1200</v>
      </c>
      <c r="AC18" s="2068">
        <f t="shared" si="1"/>
        <v>0</v>
      </c>
      <c r="AD18" s="2069" t="s">
        <v>81</v>
      </c>
      <c r="AE18" s="2070" t="s">
        <v>63</v>
      </c>
      <c r="AF18" s="2070" t="s">
        <v>38</v>
      </c>
      <c r="AG18" s="2084"/>
      <c r="AH18" s="2073">
        <f t="shared" si="7"/>
        <v>1200</v>
      </c>
      <c r="AI18" s="2042"/>
      <c r="AJ18" s="2085"/>
      <c r="AK18" s="2086"/>
      <c r="AL18" s="2042">
        <f t="shared" si="8"/>
        <v>1200</v>
      </c>
      <c r="AM18" s="2087"/>
      <c r="AN18" s="2086"/>
      <c r="AO18" s="2086"/>
      <c r="AP18" s="2086"/>
      <c r="AQ18" s="2086"/>
      <c r="AR18" s="2086"/>
      <c r="AS18" s="2089"/>
      <c r="AT18" s="2086"/>
      <c r="AU18" s="2086"/>
      <c r="AV18" s="2086"/>
      <c r="AW18" s="2042">
        <f>J18</f>
        <v>1200</v>
      </c>
      <c r="AX18" s="2042"/>
      <c r="AY18" s="2042"/>
      <c r="AZ18" s="2093"/>
      <c r="BA18" s="2042"/>
      <c r="BB18" s="2042"/>
      <c r="BC18" s="2042"/>
      <c r="BD18" s="2094">
        <f t="shared" si="5"/>
        <v>1200</v>
      </c>
      <c r="BE18" s="2094">
        <f t="shared" si="6"/>
        <v>0</v>
      </c>
    </row>
    <row r="19" s="1988" customFormat="1" ht="36" customHeight="1" spans="1:57">
      <c r="A19" s="2018">
        <v>45623</v>
      </c>
      <c r="B19" s="2019" t="s">
        <v>133</v>
      </c>
      <c r="C19" s="1723" t="s">
        <v>91</v>
      </c>
      <c r="D19" s="2025">
        <v>4500152575</v>
      </c>
      <c r="E19" s="2021" t="s">
        <v>151</v>
      </c>
      <c r="F19" s="2019" t="s">
        <v>154</v>
      </c>
      <c r="G19" s="2022" t="s">
        <v>54</v>
      </c>
      <c r="H19" s="2023" t="s">
        <v>54</v>
      </c>
      <c r="I19" s="2036" t="s">
        <v>55</v>
      </c>
      <c r="J19" s="1989">
        <v>1200</v>
      </c>
      <c r="K19" s="2037">
        <v>0</v>
      </c>
      <c r="L19" s="2038">
        <v>12</v>
      </c>
      <c r="M19" s="2039">
        <f t="shared" si="0"/>
        <v>100</v>
      </c>
      <c r="N19" s="2040">
        <v>45657</v>
      </c>
      <c r="O19" s="2040">
        <v>45653</v>
      </c>
      <c r="P19" s="2042"/>
      <c r="Q19" s="1363" t="s">
        <v>56</v>
      </c>
      <c r="R19" s="1363" t="s">
        <v>148</v>
      </c>
      <c r="S19" s="1406">
        <v>45623</v>
      </c>
      <c r="T19" s="1406"/>
      <c r="U19" s="1406" t="s">
        <v>136</v>
      </c>
      <c r="V19" s="1402" t="s">
        <v>137</v>
      </c>
      <c r="W19" s="2055" t="s">
        <v>149</v>
      </c>
      <c r="X19" s="2056" t="s">
        <v>139</v>
      </c>
      <c r="Y19" s="2065">
        <v>3.5492</v>
      </c>
      <c r="Z19" s="2066">
        <f t="shared" si="4"/>
        <v>4259.04</v>
      </c>
      <c r="AA19" s="2068" t="s">
        <v>155</v>
      </c>
      <c r="AB19" s="2072">
        <v>1200</v>
      </c>
      <c r="AC19" s="2068">
        <f t="shared" si="1"/>
        <v>0</v>
      </c>
      <c r="AD19" s="2069" t="s">
        <v>81</v>
      </c>
      <c r="AE19" s="2070" t="s">
        <v>63</v>
      </c>
      <c r="AF19" s="2070" t="s">
        <v>38</v>
      </c>
      <c r="AG19" s="2084"/>
      <c r="AH19" s="2073">
        <f t="shared" si="7"/>
        <v>1200</v>
      </c>
      <c r="AI19" s="2042"/>
      <c r="AJ19" s="2085"/>
      <c r="AK19" s="2086"/>
      <c r="AL19" s="2042">
        <f t="shared" si="8"/>
        <v>1200</v>
      </c>
      <c r="AM19" s="2087"/>
      <c r="AN19" s="2086"/>
      <c r="AO19" s="2086"/>
      <c r="AP19" s="2086"/>
      <c r="AQ19" s="2086"/>
      <c r="AR19" s="2086"/>
      <c r="AS19" s="2089"/>
      <c r="AT19" s="2086"/>
      <c r="AU19" s="2086"/>
      <c r="AV19" s="2086"/>
      <c r="AW19" s="2042">
        <f>J19</f>
        <v>1200</v>
      </c>
      <c r="AX19" s="2042"/>
      <c r="AY19" s="2042"/>
      <c r="AZ19" s="2093"/>
      <c r="BA19" s="2042"/>
      <c r="BB19" s="2042"/>
      <c r="BC19" s="2042"/>
      <c r="BD19" s="2094">
        <f t="shared" si="5"/>
        <v>1200</v>
      </c>
      <c r="BE19" s="2094">
        <f t="shared" si="6"/>
        <v>0</v>
      </c>
    </row>
    <row r="20" s="1988" customFormat="1" ht="36" customHeight="1" spans="1:57">
      <c r="A20" s="2018">
        <v>45623</v>
      </c>
      <c r="B20" s="2019" t="s">
        <v>133</v>
      </c>
      <c r="C20" s="1723" t="s">
        <v>91</v>
      </c>
      <c r="D20" s="2025">
        <v>4500152574</v>
      </c>
      <c r="E20" s="2021" t="s">
        <v>146</v>
      </c>
      <c r="F20" s="2019" t="s">
        <v>156</v>
      </c>
      <c r="G20" s="2022" t="s">
        <v>54</v>
      </c>
      <c r="H20" s="2023" t="s">
        <v>54</v>
      </c>
      <c r="I20" s="2036" t="s">
        <v>55</v>
      </c>
      <c r="J20" s="1989">
        <v>996</v>
      </c>
      <c r="K20" s="2037">
        <v>0</v>
      </c>
      <c r="L20" s="2038">
        <v>12</v>
      </c>
      <c r="M20" s="2039">
        <f t="shared" si="0"/>
        <v>83</v>
      </c>
      <c r="N20" s="2040">
        <v>45657</v>
      </c>
      <c r="O20" s="2040">
        <v>45653</v>
      </c>
      <c r="P20" s="2042"/>
      <c r="Q20" s="1363" t="s">
        <v>56</v>
      </c>
      <c r="R20" s="1363" t="s">
        <v>148</v>
      </c>
      <c r="S20" s="1406">
        <v>45623</v>
      </c>
      <c r="T20" s="1406"/>
      <c r="U20" s="1406" t="s">
        <v>136</v>
      </c>
      <c r="V20" s="1402" t="s">
        <v>137</v>
      </c>
      <c r="W20" s="2055" t="s">
        <v>149</v>
      </c>
      <c r="X20" s="2056" t="s">
        <v>139</v>
      </c>
      <c r="Y20" s="2065">
        <v>3.8242</v>
      </c>
      <c r="Z20" s="2066">
        <f t="shared" si="4"/>
        <v>3808.9032</v>
      </c>
      <c r="AA20" s="2068" t="s">
        <v>157</v>
      </c>
      <c r="AB20" s="2072">
        <v>996</v>
      </c>
      <c r="AC20" s="2068">
        <f t="shared" si="1"/>
        <v>0</v>
      </c>
      <c r="AD20" s="2069" t="s">
        <v>81</v>
      </c>
      <c r="AE20" s="2070" t="s">
        <v>63</v>
      </c>
      <c r="AF20" s="2070" t="s">
        <v>38</v>
      </c>
      <c r="AG20" s="2084"/>
      <c r="AH20" s="2073">
        <f t="shared" si="7"/>
        <v>996</v>
      </c>
      <c r="AI20" s="2042"/>
      <c r="AJ20" s="2085"/>
      <c r="AK20" s="2086"/>
      <c r="AL20" s="2042">
        <f t="shared" si="8"/>
        <v>996</v>
      </c>
      <c r="AM20" s="2087"/>
      <c r="AN20" s="2086"/>
      <c r="AO20" s="2086"/>
      <c r="AP20" s="2086"/>
      <c r="AQ20" s="2086"/>
      <c r="AR20" s="2086"/>
      <c r="AS20" s="2089"/>
      <c r="AT20" s="2086"/>
      <c r="AU20" s="2086"/>
      <c r="AV20" s="2086"/>
      <c r="AW20" s="2042">
        <f>J20</f>
        <v>996</v>
      </c>
      <c r="AX20" s="2042"/>
      <c r="AY20" s="2042"/>
      <c r="AZ20" s="2093"/>
      <c r="BA20" s="2042"/>
      <c r="BB20" s="2042"/>
      <c r="BC20" s="2042"/>
      <c r="BD20" s="2094">
        <f t="shared" si="5"/>
        <v>996</v>
      </c>
      <c r="BE20" s="2094">
        <f t="shared" si="6"/>
        <v>0</v>
      </c>
    </row>
    <row r="21" s="1988" customFormat="1" ht="38" customHeight="1" spans="1:57">
      <c r="A21" s="2018">
        <v>45590</v>
      </c>
      <c r="B21" s="2019" t="s">
        <v>90</v>
      </c>
      <c r="C21" s="1989" t="s">
        <v>91</v>
      </c>
      <c r="D21" s="2020">
        <v>4500149172</v>
      </c>
      <c r="E21" s="2324" t="s">
        <v>158</v>
      </c>
      <c r="F21" s="2019" t="s">
        <v>159</v>
      </c>
      <c r="G21" s="2019" t="s">
        <v>94</v>
      </c>
      <c r="H21" s="2023" t="s">
        <v>94</v>
      </c>
      <c r="I21" s="2036" t="s">
        <v>55</v>
      </c>
      <c r="J21" s="1989">
        <v>4712</v>
      </c>
      <c r="K21" s="2037">
        <v>0</v>
      </c>
      <c r="L21" s="2038">
        <v>2</v>
      </c>
      <c r="M21" s="2039">
        <f t="shared" si="0"/>
        <v>2356</v>
      </c>
      <c r="N21" s="2040">
        <v>45659</v>
      </c>
      <c r="O21" s="2041">
        <v>45656</v>
      </c>
      <c r="P21" s="2043" t="s">
        <v>160</v>
      </c>
      <c r="Q21" s="1363" t="s">
        <v>56</v>
      </c>
      <c r="R21" s="1365" t="s">
        <v>161</v>
      </c>
      <c r="S21" s="1406" t="s">
        <v>97</v>
      </c>
      <c r="T21" s="1406"/>
      <c r="U21" s="1406" t="s">
        <v>144</v>
      </c>
      <c r="V21" s="1402" t="s">
        <v>99</v>
      </c>
      <c r="W21" s="2053" t="s">
        <v>100</v>
      </c>
      <c r="X21" s="2053" t="s">
        <v>101</v>
      </c>
      <c r="Y21" s="2065">
        <v>3.514</v>
      </c>
      <c r="Z21" s="2066">
        <f t="shared" si="4"/>
        <v>16557.968</v>
      </c>
      <c r="AA21" s="2068" t="s">
        <v>162</v>
      </c>
      <c r="AB21" s="2068">
        <v>4712</v>
      </c>
      <c r="AC21" s="2068">
        <f t="shared" si="1"/>
        <v>0</v>
      </c>
      <c r="AD21" s="2069" t="s">
        <v>81</v>
      </c>
      <c r="AE21" s="2070" t="s">
        <v>63</v>
      </c>
      <c r="AF21" s="2070" t="s">
        <v>38</v>
      </c>
      <c r="AG21" s="2084"/>
      <c r="AH21" s="2073">
        <f t="shared" si="7"/>
        <v>4712</v>
      </c>
      <c r="AI21" s="2042"/>
      <c r="AJ21" s="2085"/>
      <c r="AK21" s="2086"/>
      <c r="AL21" s="2042">
        <f t="shared" si="8"/>
        <v>4712</v>
      </c>
      <c r="AM21" s="2087"/>
      <c r="AN21" s="2086"/>
      <c r="AO21" s="2086"/>
      <c r="AP21" s="2086"/>
      <c r="AQ21" s="2086"/>
      <c r="AR21" s="2086"/>
      <c r="AS21" s="2089"/>
      <c r="AT21" s="2086"/>
      <c r="AU21" s="2086"/>
      <c r="AV21" s="2086"/>
      <c r="AW21" s="2042"/>
      <c r="AX21" s="2042"/>
      <c r="AY21" s="2042"/>
      <c r="AZ21" s="2093"/>
      <c r="BA21" s="2042">
        <f>J21</f>
        <v>4712</v>
      </c>
      <c r="BB21" s="2042"/>
      <c r="BC21" s="2042"/>
      <c r="BD21" s="2094">
        <f t="shared" si="5"/>
        <v>4712</v>
      </c>
      <c r="BE21" s="2094">
        <f t="shared" si="6"/>
        <v>0</v>
      </c>
    </row>
    <row r="22" s="1988" customFormat="1" ht="38" customHeight="1" spans="1:57">
      <c r="A22" s="2018">
        <v>45624</v>
      </c>
      <c r="B22" s="2019" t="s">
        <v>90</v>
      </c>
      <c r="C22" s="1989" t="s">
        <v>91</v>
      </c>
      <c r="D22" s="2020">
        <v>4500152364</v>
      </c>
      <c r="E22" s="2324" t="s">
        <v>163</v>
      </c>
      <c r="F22" s="2019" t="s">
        <v>164</v>
      </c>
      <c r="G22" s="2019" t="s">
        <v>94</v>
      </c>
      <c r="H22" s="2023" t="s">
        <v>94</v>
      </c>
      <c r="I22" s="2036" t="s">
        <v>55</v>
      </c>
      <c r="J22" s="2044">
        <v>980</v>
      </c>
      <c r="K22" s="2037">
        <v>0</v>
      </c>
      <c r="L22" s="2038">
        <v>2</v>
      </c>
      <c r="M22" s="2039">
        <f t="shared" si="0"/>
        <v>490</v>
      </c>
      <c r="N22" s="2040">
        <v>45659</v>
      </c>
      <c r="O22" s="2041">
        <v>45656</v>
      </c>
      <c r="P22" s="2043" t="s">
        <v>160</v>
      </c>
      <c r="Q22" s="1363" t="s">
        <v>56</v>
      </c>
      <c r="R22" s="1365" t="s">
        <v>165</v>
      </c>
      <c r="S22" s="1406" t="s">
        <v>97</v>
      </c>
      <c r="T22" s="1406"/>
      <c r="U22" s="1406" t="s">
        <v>144</v>
      </c>
      <c r="V22" s="1402" t="s">
        <v>99</v>
      </c>
      <c r="W22" s="2053" t="s">
        <v>166</v>
      </c>
      <c r="X22" s="2053" t="s">
        <v>101</v>
      </c>
      <c r="Y22" s="2065">
        <v>4.0771</v>
      </c>
      <c r="Z22" s="2066">
        <f t="shared" si="4"/>
        <v>3995.558</v>
      </c>
      <c r="AA22" s="2068" t="s">
        <v>167</v>
      </c>
      <c r="AB22" s="2068">
        <v>980</v>
      </c>
      <c r="AC22" s="2068">
        <f t="shared" si="1"/>
        <v>0</v>
      </c>
      <c r="AD22" s="2069" t="s">
        <v>81</v>
      </c>
      <c r="AE22" s="2070" t="s">
        <v>63</v>
      </c>
      <c r="AF22" s="2070" t="s">
        <v>38</v>
      </c>
      <c r="AG22" s="2084"/>
      <c r="AH22" s="2073">
        <f t="shared" si="7"/>
        <v>980</v>
      </c>
      <c r="AI22" s="2042"/>
      <c r="AJ22" s="2085"/>
      <c r="AK22" s="2086"/>
      <c r="AL22" s="2042">
        <f t="shared" si="8"/>
        <v>980</v>
      </c>
      <c r="AM22" s="2087"/>
      <c r="AN22" s="2086"/>
      <c r="AO22" s="2086"/>
      <c r="AP22" s="2086"/>
      <c r="AQ22" s="2086"/>
      <c r="AR22" s="2086"/>
      <c r="AS22" s="2089"/>
      <c r="AT22" s="2086"/>
      <c r="AU22" s="2086"/>
      <c r="AV22" s="2086"/>
      <c r="AW22" s="2042"/>
      <c r="AX22" s="2042"/>
      <c r="AY22" s="2042"/>
      <c r="AZ22" s="2093"/>
      <c r="BA22" s="2042">
        <f>J22</f>
        <v>980</v>
      </c>
      <c r="BB22" s="2042"/>
      <c r="BC22" s="2042"/>
      <c r="BD22" s="2094">
        <f t="shared" si="5"/>
        <v>980</v>
      </c>
      <c r="BE22" s="2094">
        <f t="shared" si="6"/>
        <v>0</v>
      </c>
    </row>
    <row r="23" s="1988" customFormat="1" ht="38" customHeight="1" spans="1:57">
      <c r="A23" s="2018">
        <v>45624</v>
      </c>
      <c r="B23" s="2019" t="s">
        <v>90</v>
      </c>
      <c r="C23" s="1989" t="s">
        <v>91</v>
      </c>
      <c r="D23" s="2020">
        <v>4500152363</v>
      </c>
      <c r="E23" s="2324" t="s">
        <v>168</v>
      </c>
      <c r="F23" s="2019" t="s">
        <v>169</v>
      </c>
      <c r="G23" s="2019" t="s">
        <v>94</v>
      </c>
      <c r="H23" s="2023" t="s">
        <v>94</v>
      </c>
      <c r="I23" s="2036" t="s">
        <v>55</v>
      </c>
      <c r="J23" s="2044">
        <v>1182</v>
      </c>
      <c r="K23" s="2037">
        <v>0</v>
      </c>
      <c r="L23" s="2038">
        <v>2</v>
      </c>
      <c r="M23" s="2039">
        <f t="shared" si="0"/>
        <v>591</v>
      </c>
      <c r="N23" s="2040">
        <v>45659</v>
      </c>
      <c r="O23" s="2041">
        <v>45656</v>
      </c>
      <c r="P23" s="2043" t="s">
        <v>160</v>
      </c>
      <c r="Q23" s="1363" t="s">
        <v>56</v>
      </c>
      <c r="R23" s="1365" t="s">
        <v>170</v>
      </c>
      <c r="S23" s="1406" t="s">
        <v>97</v>
      </c>
      <c r="T23" s="1406"/>
      <c r="U23" s="1406" t="s">
        <v>144</v>
      </c>
      <c r="V23" s="1402" t="s">
        <v>99</v>
      </c>
      <c r="W23" s="2053" t="s">
        <v>171</v>
      </c>
      <c r="X23" s="2053" t="s">
        <v>101</v>
      </c>
      <c r="Y23" s="2065">
        <v>3.7145</v>
      </c>
      <c r="Z23" s="2066">
        <f t="shared" si="4"/>
        <v>4390.539</v>
      </c>
      <c r="AA23" s="2068" t="s">
        <v>172</v>
      </c>
      <c r="AB23" s="2068">
        <v>1182</v>
      </c>
      <c r="AC23" s="2068">
        <f t="shared" si="1"/>
        <v>0</v>
      </c>
      <c r="AD23" s="2069" t="s">
        <v>81</v>
      </c>
      <c r="AE23" s="2070" t="s">
        <v>63</v>
      </c>
      <c r="AF23" s="2070" t="s">
        <v>38</v>
      </c>
      <c r="AG23" s="2084"/>
      <c r="AH23" s="2073">
        <f t="shared" si="7"/>
        <v>1182</v>
      </c>
      <c r="AI23" s="2042"/>
      <c r="AJ23" s="2085"/>
      <c r="AK23" s="2086"/>
      <c r="AL23" s="2042">
        <f t="shared" si="8"/>
        <v>1182</v>
      </c>
      <c r="AM23" s="2087"/>
      <c r="AN23" s="2086"/>
      <c r="AO23" s="2086"/>
      <c r="AP23" s="2086"/>
      <c r="AQ23" s="2086"/>
      <c r="AR23" s="2086"/>
      <c r="AS23" s="2089"/>
      <c r="AT23" s="2086"/>
      <c r="AU23" s="2086"/>
      <c r="AV23" s="2086"/>
      <c r="AW23" s="2042"/>
      <c r="AX23" s="2042"/>
      <c r="AY23" s="2042"/>
      <c r="AZ23" s="2093"/>
      <c r="BA23" s="2042">
        <f>J23</f>
        <v>1182</v>
      </c>
      <c r="BB23" s="2042"/>
      <c r="BC23" s="2042"/>
      <c r="BD23" s="2094">
        <f t="shared" si="5"/>
        <v>1182</v>
      </c>
      <c r="BE23" s="2094">
        <f t="shared" si="6"/>
        <v>0</v>
      </c>
    </row>
    <row r="24" s="1988" customFormat="1" ht="38" customHeight="1" spans="1:57">
      <c r="A24" s="2018">
        <v>45624</v>
      </c>
      <c r="B24" s="2019" t="s">
        <v>90</v>
      </c>
      <c r="C24" s="1989" t="s">
        <v>91</v>
      </c>
      <c r="D24" s="2020">
        <v>4500152365</v>
      </c>
      <c r="E24" s="2324" t="s">
        <v>173</v>
      </c>
      <c r="F24" s="2019" t="s">
        <v>174</v>
      </c>
      <c r="G24" s="2019" t="s">
        <v>94</v>
      </c>
      <c r="H24" s="2023" t="s">
        <v>94</v>
      </c>
      <c r="I24" s="2036" t="s">
        <v>55</v>
      </c>
      <c r="J24" s="2044">
        <v>1352</v>
      </c>
      <c r="K24" s="2037">
        <v>0</v>
      </c>
      <c r="L24" s="2038">
        <v>2</v>
      </c>
      <c r="M24" s="2039">
        <f t="shared" si="0"/>
        <v>676</v>
      </c>
      <c r="N24" s="2040">
        <v>45659</v>
      </c>
      <c r="O24" s="2041">
        <v>45656</v>
      </c>
      <c r="P24" s="2043" t="s">
        <v>160</v>
      </c>
      <c r="Q24" s="1363" t="s">
        <v>56</v>
      </c>
      <c r="R24" s="1365" t="s">
        <v>175</v>
      </c>
      <c r="S24" s="1406" t="s">
        <v>97</v>
      </c>
      <c r="T24" s="1406"/>
      <c r="U24" s="1406" t="s">
        <v>144</v>
      </c>
      <c r="V24" s="1402" t="s">
        <v>99</v>
      </c>
      <c r="W24" s="2053" t="s">
        <v>171</v>
      </c>
      <c r="X24" s="2053" t="s">
        <v>101</v>
      </c>
      <c r="Y24" s="2065">
        <v>3.7145</v>
      </c>
      <c r="Z24" s="2066">
        <f t="shared" si="4"/>
        <v>5022.004</v>
      </c>
      <c r="AA24" s="2068" t="s">
        <v>176</v>
      </c>
      <c r="AB24" s="2068">
        <v>1352</v>
      </c>
      <c r="AC24" s="2068">
        <f t="shared" si="1"/>
        <v>0</v>
      </c>
      <c r="AD24" s="2069" t="s">
        <v>81</v>
      </c>
      <c r="AE24" s="2070" t="s">
        <v>63</v>
      </c>
      <c r="AF24" s="2070" t="s">
        <v>38</v>
      </c>
      <c r="AG24" s="2084"/>
      <c r="AH24" s="2073">
        <f t="shared" si="7"/>
        <v>1352</v>
      </c>
      <c r="AI24" s="2042"/>
      <c r="AJ24" s="2085"/>
      <c r="AK24" s="2086"/>
      <c r="AL24" s="2042">
        <f t="shared" si="8"/>
        <v>1352</v>
      </c>
      <c r="AM24" s="2087"/>
      <c r="AN24" s="2086"/>
      <c r="AO24" s="2086"/>
      <c r="AP24" s="2086"/>
      <c r="AQ24" s="2086"/>
      <c r="AR24" s="2086"/>
      <c r="AS24" s="2089"/>
      <c r="AT24" s="2086"/>
      <c r="AU24" s="2086"/>
      <c r="AV24" s="2086"/>
      <c r="AW24" s="2042"/>
      <c r="AX24" s="2042"/>
      <c r="AY24" s="2042"/>
      <c r="AZ24" s="2093"/>
      <c r="BA24" s="2042">
        <f>J24</f>
        <v>1352</v>
      </c>
      <c r="BB24" s="2042"/>
      <c r="BC24" s="2042"/>
      <c r="BD24" s="2094">
        <f t="shared" si="5"/>
        <v>1352</v>
      </c>
      <c r="BE24" s="2094">
        <f t="shared" si="6"/>
        <v>0</v>
      </c>
    </row>
    <row r="25" s="1988" customFormat="1" ht="38" customHeight="1" spans="1:57">
      <c r="A25" s="2018">
        <v>45625</v>
      </c>
      <c r="B25" s="2019" t="s">
        <v>177</v>
      </c>
      <c r="C25" s="1989" t="s">
        <v>178</v>
      </c>
      <c r="D25" s="2020">
        <v>4500153056</v>
      </c>
      <c r="E25" s="2021">
        <v>4400452589</v>
      </c>
      <c r="F25" s="2019" t="s">
        <v>179</v>
      </c>
      <c r="G25" s="2019" t="s">
        <v>180</v>
      </c>
      <c r="H25" s="2023" t="s">
        <v>66</v>
      </c>
      <c r="I25" s="2036" t="s">
        <v>67</v>
      </c>
      <c r="J25" s="1989">
        <v>708</v>
      </c>
      <c r="K25" s="2037">
        <v>0</v>
      </c>
      <c r="L25" s="2038">
        <v>12</v>
      </c>
      <c r="M25" s="2039">
        <f t="shared" si="0"/>
        <v>59</v>
      </c>
      <c r="N25" s="2040">
        <v>45659</v>
      </c>
      <c r="O25" s="2041">
        <v>45656</v>
      </c>
      <c r="P25" s="2043"/>
      <c r="Q25" s="1363" t="s">
        <v>56</v>
      </c>
      <c r="R25" s="1365" t="s">
        <v>96</v>
      </c>
      <c r="S25" s="1406" t="s">
        <v>181</v>
      </c>
      <c r="T25" s="1406"/>
      <c r="U25" s="1406" t="s">
        <v>182</v>
      </c>
      <c r="V25" s="1402" t="s">
        <v>183</v>
      </c>
      <c r="W25" s="2053" t="s">
        <v>184</v>
      </c>
      <c r="X25" s="2053" t="s">
        <v>131</v>
      </c>
      <c r="Y25" s="2065">
        <v>3.7168</v>
      </c>
      <c r="Z25" s="2066">
        <f t="shared" si="4"/>
        <v>2631.4944</v>
      </c>
      <c r="AA25" s="2068" t="s">
        <v>185</v>
      </c>
      <c r="AB25" s="2068">
        <v>708</v>
      </c>
      <c r="AC25" s="2068">
        <f t="shared" si="1"/>
        <v>0</v>
      </c>
      <c r="AD25" s="2069" t="s">
        <v>81</v>
      </c>
      <c r="AE25" s="2070" t="s">
        <v>63</v>
      </c>
      <c r="AF25" s="2070" t="s">
        <v>38</v>
      </c>
      <c r="AG25" s="2084"/>
      <c r="AH25" s="2073"/>
      <c r="AI25" s="2042"/>
      <c r="AJ25" s="2085">
        <f>J25</f>
        <v>708</v>
      </c>
      <c r="AK25" s="2086"/>
      <c r="AL25" s="2042"/>
      <c r="AM25" s="2087">
        <f>J25</f>
        <v>708</v>
      </c>
      <c r="AN25" s="2086"/>
      <c r="AO25" s="2086"/>
      <c r="AP25" s="2086"/>
      <c r="AQ25" s="2086"/>
      <c r="AR25" s="2086"/>
      <c r="AS25" s="2089"/>
      <c r="AT25" s="2086"/>
      <c r="AU25" s="2086"/>
      <c r="AV25" s="2086"/>
      <c r="AW25" s="2042"/>
      <c r="AX25" s="2042"/>
      <c r="AY25" s="2042">
        <f>J25</f>
        <v>708</v>
      </c>
      <c r="AZ25" s="2093"/>
      <c r="BA25" s="2042"/>
      <c r="BB25" s="2042"/>
      <c r="BC25" s="2042"/>
      <c r="BD25" s="2094">
        <f t="shared" si="5"/>
        <v>708</v>
      </c>
      <c r="BE25" s="2094">
        <f t="shared" si="6"/>
        <v>0</v>
      </c>
    </row>
    <row r="26" s="1988" customFormat="1" ht="38" customHeight="1" spans="1:57">
      <c r="A26" s="2018">
        <v>45590</v>
      </c>
      <c r="B26" s="2019" t="s">
        <v>90</v>
      </c>
      <c r="C26" s="1989" t="s">
        <v>91</v>
      </c>
      <c r="D26" s="2020">
        <v>4500149173</v>
      </c>
      <c r="E26" s="2021">
        <v>870169769</v>
      </c>
      <c r="F26" s="2019" t="s">
        <v>186</v>
      </c>
      <c r="G26" s="2019" t="s">
        <v>94</v>
      </c>
      <c r="H26" s="2023" t="s">
        <v>94</v>
      </c>
      <c r="I26" s="2036" t="s">
        <v>55</v>
      </c>
      <c r="J26" s="1989">
        <v>3530</v>
      </c>
      <c r="K26" s="2037">
        <v>0</v>
      </c>
      <c r="L26" s="2038">
        <v>2</v>
      </c>
      <c r="M26" s="2039">
        <f t="shared" si="0"/>
        <v>1765</v>
      </c>
      <c r="N26" s="2040">
        <v>45663</v>
      </c>
      <c r="O26" s="2041">
        <v>45659</v>
      </c>
      <c r="P26" s="2043" t="s">
        <v>187</v>
      </c>
      <c r="Q26" s="1363" t="s">
        <v>56</v>
      </c>
      <c r="R26" s="1365" t="s">
        <v>175</v>
      </c>
      <c r="S26" s="1406" t="s">
        <v>97</v>
      </c>
      <c r="T26" s="1406"/>
      <c r="U26" s="1406" t="s">
        <v>144</v>
      </c>
      <c r="V26" s="1402" t="s">
        <v>99</v>
      </c>
      <c r="W26" s="2053" t="s">
        <v>100</v>
      </c>
      <c r="X26" s="2053" t="s">
        <v>101</v>
      </c>
      <c r="Y26" s="2065">
        <v>3.514</v>
      </c>
      <c r="Z26" s="2066">
        <f t="shared" si="4"/>
        <v>12404.42</v>
      </c>
      <c r="AA26" s="2068" t="s">
        <v>188</v>
      </c>
      <c r="AB26" s="2068">
        <f>3526+4</f>
        <v>3530</v>
      </c>
      <c r="AC26" s="2068">
        <f t="shared" si="1"/>
        <v>0</v>
      </c>
      <c r="AD26" s="2069" t="s">
        <v>81</v>
      </c>
      <c r="AE26" s="2070" t="s">
        <v>63</v>
      </c>
      <c r="AF26" s="2070" t="s">
        <v>38</v>
      </c>
      <c r="AG26" s="2084"/>
      <c r="AH26" s="2073">
        <f t="shared" ref="AH26:AH33" si="9">J26</f>
        <v>3530</v>
      </c>
      <c r="AI26" s="2042"/>
      <c r="AJ26" s="2085"/>
      <c r="AK26" s="2086"/>
      <c r="AL26" s="2042">
        <f t="shared" ref="AL26:AL38" si="10">J26</f>
        <v>3530</v>
      </c>
      <c r="AM26" s="2087"/>
      <c r="AN26" s="2086"/>
      <c r="AO26" s="2086"/>
      <c r="AP26" s="2086"/>
      <c r="AQ26" s="2086"/>
      <c r="AR26" s="2086"/>
      <c r="AS26" s="2089"/>
      <c r="AT26" s="2086"/>
      <c r="AU26" s="2086"/>
      <c r="AV26" s="2086"/>
      <c r="AW26" s="2042"/>
      <c r="AX26" s="2042"/>
      <c r="AY26" s="2042"/>
      <c r="AZ26" s="2093"/>
      <c r="BA26" s="2042">
        <f>J26</f>
        <v>3530</v>
      </c>
      <c r="BB26" s="2042"/>
      <c r="BC26" s="2042"/>
      <c r="BD26" s="2094">
        <f t="shared" ref="BD26:BD89" si="11">SUM(AH26:AJ26)</f>
        <v>3530</v>
      </c>
      <c r="BE26" s="2094">
        <f t="shared" ref="BE26:BE89" si="12">BD26-J26</f>
        <v>0</v>
      </c>
    </row>
    <row r="27" s="1988" customFormat="1" ht="38" customHeight="1" spans="1:57">
      <c r="A27" s="2018">
        <v>45590</v>
      </c>
      <c r="B27" s="2019" t="s">
        <v>90</v>
      </c>
      <c r="C27" s="1989" t="s">
        <v>91</v>
      </c>
      <c r="D27" s="2020">
        <v>4500149174</v>
      </c>
      <c r="E27" s="2324" t="s">
        <v>189</v>
      </c>
      <c r="F27" s="2019" t="s">
        <v>190</v>
      </c>
      <c r="G27" s="2019" t="s">
        <v>94</v>
      </c>
      <c r="H27" s="2023" t="s">
        <v>94</v>
      </c>
      <c r="I27" s="2036" t="s">
        <v>55</v>
      </c>
      <c r="J27" s="1989">
        <v>1630</v>
      </c>
      <c r="K27" s="2037">
        <v>0</v>
      </c>
      <c r="L27" s="2038">
        <v>2</v>
      </c>
      <c r="M27" s="2039">
        <f t="shared" si="0"/>
        <v>815</v>
      </c>
      <c r="N27" s="2040">
        <v>45663</v>
      </c>
      <c r="O27" s="2041">
        <v>45659</v>
      </c>
      <c r="P27" s="2043" t="s">
        <v>187</v>
      </c>
      <c r="Q27" s="1363" t="s">
        <v>56</v>
      </c>
      <c r="R27" s="1365" t="s">
        <v>191</v>
      </c>
      <c r="S27" s="1406" t="s">
        <v>97</v>
      </c>
      <c r="T27" s="1406"/>
      <c r="U27" s="1406" t="s">
        <v>144</v>
      </c>
      <c r="V27" s="1402" t="s">
        <v>99</v>
      </c>
      <c r="W27" s="2053" t="s">
        <v>100</v>
      </c>
      <c r="X27" s="2053" t="s">
        <v>101</v>
      </c>
      <c r="Y27" s="2065">
        <v>3.7145</v>
      </c>
      <c r="Z27" s="2066">
        <f t="shared" si="4"/>
        <v>6054.635</v>
      </c>
      <c r="AA27" s="2068" t="s">
        <v>192</v>
      </c>
      <c r="AB27" s="2068">
        <v>1630</v>
      </c>
      <c r="AC27" s="2068">
        <f t="shared" si="1"/>
        <v>0</v>
      </c>
      <c r="AD27" s="2069" t="s">
        <v>81</v>
      </c>
      <c r="AE27" s="2070" t="s">
        <v>63</v>
      </c>
      <c r="AF27" s="2070" t="s">
        <v>38</v>
      </c>
      <c r="AG27" s="2084"/>
      <c r="AH27" s="2073">
        <f t="shared" si="9"/>
        <v>1630</v>
      </c>
      <c r="AI27" s="2042"/>
      <c r="AJ27" s="2085"/>
      <c r="AK27" s="2086"/>
      <c r="AL27" s="2042">
        <f t="shared" si="10"/>
        <v>1630</v>
      </c>
      <c r="AM27" s="2087"/>
      <c r="AN27" s="2086"/>
      <c r="AO27" s="2086"/>
      <c r="AP27" s="2086"/>
      <c r="AQ27" s="2086"/>
      <c r="AR27" s="2086"/>
      <c r="AS27" s="2089"/>
      <c r="AT27" s="2086"/>
      <c r="AU27" s="2086"/>
      <c r="AV27" s="2086"/>
      <c r="AW27" s="2042"/>
      <c r="AX27" s="2042"/>
      <c r="AY27" s="2042"/>
      <c r="AZ27" s="2093"/>
      <c r="BA27" s="2042">
        <f>J27</f>
        <v>1630</v>
      </c>
      <c r="BB27" s="2042"/>
      <c r="BC27" s="2042"/>
      <c r="BD27" s="2094">
        <f t="shared" si="11"/>
        <v>1630</v>
      </c>
      <c r="BE27" s="2094">
        <f t="shared" si="12"/>
        <v>0</v>
      </c>
    </row>
    <row r="28" s="1988" customFormat="1" ht="38" customHeight="1" spans="1:57">
      <c r="A28" s="2018">
        <v>45590</v>
      </c>
      <c r="B28" s="2019" t="s">
        <v>90</v>
      </c>
      <c r="C28" s="1989" t="s">
        <v>91</v>
      </c>
      <c r="D28" s="2020">
        <v>4500149176</v>
      </c>
      <c r="E28" s="2324" t="s">
        <v>193</v>
      </c>
      <c r="F28" s="2019" t="s">
        <v>194</v>
      </c>
      <c r="G28" s="2019" t="s">
        <v>94</v>
      </c>
      <c r="H28" s="2023" t="s">
        <v>94</v>
      </c>
      <c r="I28" s="2036" t="s">
        <v>55</v>
      </c>
      <c r="J28" s="1989">
        <v>5496</v>
      </c>
      <c r="K28" s="2037">
        <v>0</v>
      </c>
      <c r="L28" s="2038">
        <v>2</v>
      </c>
      <c r="M28" s="2039">
        <f t="shared" si="0"/>
        <v>2748</v>
      </c>
      <c r="N28" s="2040">
        <v>45663</v>
      </c>
      <c r="O28" s="2041">
        <v>45659</v>
      </c>
      <c r="P28" s="2043" t="s">
        <v>187</v>
      </c>
      <c r="Q28" s="1363" t="s">
        <v>56</v>
      </c>
      <c r="R28" s="1365" t="s">
        <v>175</v>
      </c>
      <c r="S28" s="1406" t="s">
        <v>97</v>
      </c>
      <c r="T28" s="1406"/>
      <c r="U28" s="1406" t="s">
        <v>144</v>
      </c>
      <c r="V28" s="1402" t="s">
        <v>99</v>
      </c>
      <c r="W28" s="2053" t="s">
        <v>100</v>
      </c>
      <c r="X28" s="2053" t="s">
        <v>101</v>
      </c>
      <c r="Y28" s="2065">
        <v>3.4312</v>
      </c>
      <c r="Z28" s="2066">
        <f t="shared" si="4"/>
        <v>18857.8752</v>
      </c>
      <c r="AA28" s="2068" t="s">
        <v>195</v>
      </c>
      <c r="AB28" s="2068">
        <v>5496</v>
      </c>
      <c r="AC28" s="2068">
        <f t="shared" si="1"/>
        <v>0</v>
      </c>
      <c r="AD28" s="2069" t="s">
        <v>81</v>
      </c>
      <c r="AE28" s="2070" t="s">
        <v>63</v>
      </c>
      <c r="AF28" s="2070" t="s">
        <v>38</v>
      </c>
      <c r="AG28" s="2084"/>
      <c r="AH28" s="2073">
        <f t="shared" si="9"/>
        <v>5496</v>
      </c>
      <c r="AI28" s="2042"/>
      <c r="AJ28" s="2085"/>
      <c r="AK28" s="2086"/>
      <c r="AL28" s="2042">
        <f t="shared" si="10"/>
        <v>5496</v>
      </c>
      <c r="AM28" s="2087"/>
      <c r="AN28" s="2086"/>
      <c r="AO28" s="2086"/>
      <c r="AP28" s="2086"/>
      <c r="AQ28" s="2086"/>
      <c r="AR28" s="2086"/>
      <c r="AS28" s="2089"/>
      <c r="AT28" s="2086"/>
      <c r="AU28" s="2086"/>
      <c r="AV28" s="2086"/>
      <c r="AW28" s="2042"/>
      <c r="AX28" s="2042"/>
      <c r="AY28" s="2042"/>
      <c r="AZ28" s="2093"/>
      <c r="BA28" s="2042">
        <f t="shared" ref="BA26:BA32" si="13">J28</f>
        <v>5496</v>
      </c>
      <c r="BB28" s="2042"/>
      <c r="BC28" s="2042"/>
      <c r="BD28" s="2094">
        <f t="shared" si="11"/>
        <v>5496</v>
      </c>
      <c r="BE28" s="2094">
        <f t="shared" si="12"/>
        <v>0</v>
      </c>
    </row>
    <row r="29" s="1988" customFormat="1" ht="38" customHeight="1" spans="1:57">
      <c r="A29" s="2018">
        <v>45590</v>
      </c>
      <c r="B29" s="2019" t="s">
        <v>90</v>
      </c>
      <c r="C29" s="1989" t="s">
        <v>91</v>
      </c>
      <c r="D29" s="2020">
        <v>4500149177</v>
      </c>
      <c r="E29" s="2324" t="s">
        <v>196</v>
      </c>
      <c r="F29" s="2019" t="s">
        <v>197</v>
      </c>
      <c r="G29" s="2019" t="s">
        <v>94</v>
      </c>
      <c r="H29" s="2023" t="s">
        <v>94</v>
      </c>
      <c r="I29" s="2036" t="s">
        <v>55</v>
      </c>
      <c r="J29" s="1989">
        <v>3370</v>
      </c>
      <c r="K29" s="2037">
        <v>0</v>
      </c>
      <c r="L29" s="2038">
        <v>2</v>
      </c>
      <c r="M29" s="2039">
        <f t="shared" si="0"/>
        <v>1685</v>
      </c>
      <c r="N29" s="2040">
        <v>45663</v>
      </c>
      <c r="O29" s="2041">
        <v>45659</v>
      </c>
      <c r="P29" s="2043" t="s">
        <v>187</v>
      </c>
      <c r="Q29" s="1363" t="s">
        <v>56</v>
      </c>
      <c r="R29" s="1365" t="s">
        <v>175</v>
      </c>
      <c r="S29" s="1406" t="s">
        <v>97</v>
      </c>
      <c r="T29" s="1406"/>
      <c r="U29" s="1406" t="s">
        <v>144</v>
      </c>
      <c r="V29" s="1402" t="s">
        <v>99</v>
      </c>
      <c r="W29" s="2053" t="s">
        <v>100</v>
      </c>
      <c r="X29" s="2053" t="s">
        <v>101</v>
      </c>
      <c r="Y29" s="2065">
        <v>3.514</v>
      </c>
      <c r="Z29" s="2066">
        <f t="shared" si="4"/>
        <v>11842.18</v>
      </c>
      <c r="AA29" s="2068" t="s">
        <v>198</v>
      </c>
      <c r="AB29" s="2068">
        <f>2970+400</f>
        <v>3370</v>
      </c>
      <c r="AC29" s="2068">
        <f t="shared" si="1"/>
        <v>0</v>
      </c>
      <c r="AD29" s="2069" t="s">
        <v>81</v>
      </c>
      <c r="AE29" s="2070" t="s">
        <v>63</v>
      </c>
      <c r="AF29" s="2070" t="s">
        <v>38</v>
      </c>
      <c r="AG29" s="2084"/>
      <c r="AH29" s="2073">
        <f t="shared" si="9"/>
        <v>3370</v>
      </c>
      <c r="AI29" s="2042"/>
      <c r="AJ29" s="2085"/>
      <c r="AK29" s="2086"/>
      <c r="AL29" s="2042">
        <f t="shared" si="10"/>
        <v>3370</v>
      </c>
      <c r="AM29" s="2087"/>
      <c r="AN29" s="2086"/>
      <c r="AO29" s="2086"/>
      <c r="AP29" s="2086"/>
      <c r="AQ29" s="2086"/>
      <c r="AR29" s="2086"/>
      <c r="AS29" s="2089"/>
      <c r="AT29" s="2086"/>
      <c r="AU29" s="2086"/>
      <c r="AV29" s="2086"/>
      <c r="AW29" s="2042"/>
      <c r="AX29" s="2042"/>
      <c r="AY29" s="2042"/>
      <c r="AZ29" s="2093"/>
      <c r="BA29" s="2042">
        <f t="shared" si="13"/>
        <v>3370</v>
      </c>
      <c r="BB29" s="2042"/>
      <c r="BC29" s="2042"/>
      <c r="BD29" s="2094">
        <f t="shared" si="11"/>
        <v>3370</v>
      </c>
      <c r="BE29" s="2094">
        <f t="shared" si="12"/>
        <v>0</v>
      </c>
    </row>
    <row r="30" s="1988" customFormat="1" ht="38" customHeight="1" spans="1:57">
      <c r="A30" s="2018">
        <v>45590</v>
      </c>
      <c r="B30" s="2019" t="s">
        <v>90</v>
      </c>
      <c r="C30" s="1989" t="s">
        <v>91</v>
      </c>
      <c r="D30" s="2020">
        <v>4500149178</v>
      </c>
      <c r="E30" s="2324" t="s">
        <v>199</v>
      </c>
      <c r="F30" s="2019" t="s">
        <v>200</v>
      </c>
      <c r="G30" s="2019" t="s">
        <v>94</v>
      </c>
      <c r="H30" s="2023" t="s">
        <v>94</v>
      </c>
      <c r="I30" s="2036" t="s">
        <v>55</v>
      </c>
      <c r="J30" s="1989">
        <v>4364</v>
      </c>
      <c r="K30" s="2037">
        <v>0</v>
      </c>
      <c r="L30" s="2038">
        <v>2</v>
      </c>
      <c r="M30" s="2039">
        <f t="shared" si="0"/>
        <v>2182</v>
      </c>
      <c r="N30" s="2040">
        <v>45663</v>
      </c>
      <c r="O30" s="2041">
        <v>45659</v>
      </c>
      <c r="P30" s="2043" t="s">
        <v>187</v>
      </c>
      <c r="Q30" s="1363" t="s">
        <v>56</v>
      </c>
      <c r="R30" s="1365" t="s">
        <v>175</v>
      </c>
      <c r="S30" s="1406" t="s">
        <v>97</v>
      </c>
      <c r="T30" s="1406"/>
      <c r="U30" s="1406" t="s">
        <v>144</v>
      </c>
      <c r="V30" s="1402" t="s">
        <v>99</v>
      </c>
      <c r="W30" s="2053" t="s">
        <v>100</v>
      </c>
      <c r="X30" s="2053" t="s">
        <v>101</v>
      </c>
      <c r="Y30" s="2065">
        <v>3.514</v>
      </c>
      <c r="Z30" s="2066">
        <f t="shared" si="4"/>
        <v>15335.096</v>
      </c>
      <c r="AA30" s="2068" t="s">
        <v>201</v>
      </c>
      <c r="AB30" s="2068">
        <v>4364</v>
      </c>
      <c r="AC30" s="2068">
        <f t="shared" si="1"/>
        <v>0</v>
      </c>
      <c r="AD30" s="2069" t="s">
        <v>81</v>
      </c>
      <c r="AE30" s="2070" t="s">
        <v>63</v>
      </c>
      <c r="AF30" s="2070" t="s">
        <v>38</v>
      </c>
      <c r="AG30" s="2084"/>
      <c r="AH30" s="2073">
        <f t="shared" si="9"/>
        <v>4364</v>
      </c>
      <c r="AI30" s="2042"/>
      <c r="AJ30" s="2085"/>
      <c r="AK30" s="2086"/>
      <c r="AL30" s="2042">
        <f t="shared" si="10"/>
        <v>4364</v>
      </c>
      <c r="AM30" s="2087"/>
      <c r="AN30" s="2086"/>
      <c r="AO30" s="2086"/>
      <c r="AP30" s="2086"/>
      <c r="AQ30" s="2086"/>
      <c r="AR30" s="2086"/>
      <c r="AS30" s="2089"/>
      <c r="AT30" s="2086"/>
      <c r="AU30" s="2086"/>
      <c r="AV30" s="2086"/>
      <c r="AW30" s="2042"/>
      <c r="AX30" s="2042"/>
      <c r="AY30" s="2042"/>
      <c r="AZ30" s="2093"/>
      <c r="BA30" s="2042">
        <f t="shared" si="13"/>
        <v>4364</v>
      </c>
      <c r="BB30" s="2042"/>
      <c r="BC30" s="2042"/>
      <c r="BD30" s="2094">
        <f t="shared" si="11"/>
        <v>4364</v>
      </c>
      <c r="BE30" s="2094">
        <f t="shared" si="12"/>
        <v>0</v>
      </c>
    </row>
    <row r="31" s="1988" customFormat="1" ht="38" customHeight="1" spans="1:57">
      <c r="A31" s="2018">
        <v>45590</v>
      </c>
      <c r="B31" s="2019" t="s">
        <v>90</v>
      </c>
      <c r="C31" s="1989" t="s">
        <v>91</v>
      </c>
      <c r="D31" s="2020">
        <v>4500149179</v>
      </c>
      <c r="E31" s="2324" t="s">
        <v>202</v>
      </c>
      <c r="F31" s="2019" t="s">
        <v>203</v>
      </c>
      <c r="G31" s="2019" t="s">
        <v>94</v>
      </c>
      <c r="H31" s="2023" t="s">
        <v>94</v>
      </c>
      <c r="I31" s="2036" t="s">
        <v>55</v>
      </c>
      <c r="J31" s="1989">
        <v>4792</v>
      </c>
      <c r="K31" s="2037">
        <v>0</v>
      </c>
      <c r="L31" s="2038">
        <v>2</v>
      </c>
      <c r="M31" s="2039">
        <f t="shared" si="0"/>
        <v>2396</v>
      </c>
      <c r="N31" s="2040">
        <v>45663</v>
      </c>
      <c r="O31" s="2041">
        <v>45659</v>
      </c>
      <c r="P31" s="2043" t="s">
        <v>187</v>
      </c>
      <c r="Q31" s="1363" t="s">
        <v>56</v>
      </c>
      <c r="R31" s="1365" t="s">
        <v>165</v>
      </c>
      <c r="S31" s="1406" t="s">
        <v>97</v>
      </c>
      <c r="T31" s="1406"/>
      <c r="U31" s="1406" t="s">
        <v>144</v>
      </c>
      <c r="V31" s="1402" t="s">
        <v>99</v>
      </c>
      <c r="W31" s="2053" t="s">
        <v>100</v>
      </c>
      <c r="X31" s="2053" t="s">
        <v>101</v>
      </c>
      <c r="Y31" s="2065">
        <v>3.514</v>
      </c>
      <c r="Z31" s="2066">
        <f t="shared" si="4"/>
        <v>16839.088</v>
      </c>
      <c r="AA31" s="2068" t="s">
        <v>204</v>
      </c>
      <c r="AB31" s="2068">
        <v>4792</v>
      </c>
      <c r="AC31" s="2068">
        <f t="shared" si="1"/>
        <v>0</v>
      </c>
      <c r="AD31" s="2069" t="s">
        <v>81</v>
      </c>
      <c r="AE31" s="2070" t="s">
        <v>63</v>
      </c>
      <c r="AF31" s="2070" t="s">
        <v>38</v>
      </c>
      <c r="AG31" s="2084"/>
      <c r="AH31" s="2073">
        <f t="shared" si="9"/>
        <v>4792</v>
      </c>
      <c r="AI31" s="2042"/>
      <c r="AJ31" s="2085"/>
      <c r="AK31" s="2086"/>
      <c r="AL31" s="2042">
        <f t="shared" si="10"/>
        <v>4792</v>
      </c>
      <c r="AM31" s="2087"/>
      <c r="AN31" s="2086"/>
      <c r="AO31" s="2086"/>
      <c r="AP31" s="2086"/>
      <c r="AQ31" s="2086"/>
      <c r="AR31" s="2086"/>
      <c r="AS31" s="2089"/>
      <c r="AT31" s="2086"/>
      <c r="AU31" s="2086"/>
      <c r="AV31" s="2086"/>
      <c r="AW31" s="2042"/>
      <c r="AX31" s="2042"/>
      <c r="AY31" s="2042"/>
      <c r="AZ31" s="2093"/>
      <c r="BA31" s="2042">
        <f t="shared" si="13"/>
        <v>4792</v>
      </c>
      <c r="BB31" s="2042"/>
      <c r="BC31" s="2042"/>
      <c r="BD31" s="2094">
        <f t="shared" si="11"/>
        <v>4792</v>
      </c>
      <c r="BE31" s="2094">
        <f t="shared" si="12"/>
        <v>0</v>
      </c>
    </row>
    <row r="32" s="1988" customFormat="1" ht="38" customHeight="1" spans="1:57">
      <c r="A32" s="2018">
        <v>45590</v>
      </c>
      <c r="B32" s="2019" t="s">
        <v>90</v>
      </c>
      <c r="C32" s="1989" t="s">
        <v>91</v>
      </c>
      <c r="D32" s="2020">
        <v>4500149180</v>
      </c>
      <c r="E32" s="2324" t="s">
        <v>205</v>
      </c>
      <c r="F32" s="2019" t="s">
        <v>206</v>
      </c>
      <c r="G32" s="2019" t="s">
        <v>94</v>
      </c>
      <c r="H32" s="2023" t="s">
        <v>94</v>
      </c>
      <c r="I32" s="2036" t="s">
        <v>55</v>
      </c>
      <c r="J32" s="1989">
        <v>3408</v>
      </c>
      <c r="K32" s="2037">
        <v>0</v>
      </c>
      <c r="L32" s="2038">
        <v>2</v>
      </c>
      <c r="M32" s="2039">
        <f t="shared" si="0"/>
        <v>1704</v>
      </c>
      <c r="N32" s="2040">
        <v>45663</v>
      </c>
      <c r="O32" s="2041">
        <v>45659</v>
      </c>
      <c r="P32" s="2043" t="s">
        <v>187</v>
      </c>
      <c r="Q32" s="1363" t="s">
        <v>56</v>
      </c>
      <c r="R32" s="1365" t="s">
        <v>207</v>
      </c>
      <c r="S32" s="1406" t="s">
        <v>97</v>
      </c>
      <c r="T32" s="1406"/>
      <c r="U32" s="1406" t="s">
        <v>144</v>
      </c>
      <c r="V32" s="1402" t="s">
        <v>99</v>
      </c>
      <c r="W32" s="2053" t="s">
        <v>100</v>
      </c>
      <c r="X32" s="2053" t="s">
        <v>101</v>
      </c>
      <c r="Y32" s="2065">
        <v>3.514</v>
      </c>
      <c r="Z32" s="2066">
        <f t="shared" si="4"/>
        <v>11975.712</v>
      </c>
      <c r="AA32" s="2068" t="s">
        <v>208</v>
      </c>
      <c r="AB32" s="2068">
        <v>3408</v>
      </c>
      <c r="AC32" s="2068">
        <f t="shared" si="1"/>
        <v>0</v>
      </c>
      <c r="AD32" s="2069" t="s">
        <v>81</v>
      </c>
      <c r="AE32" s="2070" t="s">
        <v>63</v>
      </c>
      <c r="AF32" s="2070" t="s">
        <v>38</v>
      </c>
      <c r="AG32" s="2084"/>
      <c r="AH32" s="2073">
        <f t="shared" si="9"/>
        <v>3408</v>
      </c>
      <c r="AI32" s="2042"/>
      <c r="AJ32" s="2085"/>
      <c r="AK32" s="2086"/>
      <c r="AL32" s="2042">
        <f t="shared" si="10"/>
        <v>3408</v>
      </c>
      <c r="AM32" s="2087"/>
      <c r="AN32" s="2086"/>
      <c r="AO32" s="2086"/>
      <c r="AP32" s="2086"/>
      <c r="AQ32" s="2086"/>
      <c r="AR32" s="2086"/>
      <c r="AS32" s="2089"/>
      <c r="AT32" s="2086"/>
      <c r="AU32" s="2086"/>
      <c r="AV32" s="2086"/>
      <c r="AW32" s="2042"/>
      <c r="AX32" s="2042"/>
      <c r="AY32" s="2042"/>
      <c r="AZ32" s="2093"/>
      <c r="BA32" s="2042">
        <f t="shared" si="13"/>
        <v>3408</v>
      </c>
      <c r="BB32" s="2042"/>
      <c r="BC32" s="2042"/>
      <c r="BD32" s="2094">
        <f t="shared" si="11"/>
        <v>3408</v>
      </c>
      <c r="BE32" s="2094">
        <f t="shared" si="12"/>
        <v>0</v>
      </c>
    </row>
    <row r="33" s="1988" customFormat="1" ht="36" customHeight="1" spans="1:57">
      <c r="A33" s="2018">
        <v>45623</v>
      </c>
      <c r="B33" s="2019" t="s">
        <v>209</v>
      </c>
      <c r="C33" s="1723" t="s">
        <v>91</v>
      </c>
      <c r="D33" s="2020">
        <v>4500152379</v>
      </c>
      <c r="E33" s="2021" t="s">
        <v>210</v>
      </c>
      <c r="F33" s="2019" t="s">
        <v>211</v>
      </c>
      <c r="G33" s="2023" t="s">
        <v>212</v>
      </c>
      <c r="H33" s="2023" t="s">
        <v>213</v>
      </c>
      <c r="I33" s="2036" t="s">
        <v>214</v>
      </c>
      <c r="J33" s="1989">
        <v>160</v>
      </c>
      <c r="K33" s="2037">
        <v>0</v>
      </c>
      <c r="L33" s="2038">
        <v>4</v>
      </c>
      <c r="M33" s="2039">
        <f t="shared" si="0"/>
        <v>40</v>
      </c>
      <c r="N33" s="2040">
        <v>45664</v>
      </c>
      <c r="O33" s="2040">
        <v>45660</v>
      </c>
      <c r="P33" s="2042"/>
      <c r="Q33" s="1363" t="s">
        <v>215</v>
      </c>
      <c r="R33" s="1363" t="s">
        <v>216</v>
      </c>
      <c r="S33" s="1406"/>
      <c r="T33" s="1406"/>
      <c r="U33" s="1406" t="s">
        <v>217</v>
      </c>
      <c r="V33" s="1402" t="s">
        <v>218</v>
      </c>
      <c r="W33" s="2055" t="s">
        <v>219</v>
      </c>
      <c r="X33" s="2056" t="s">
        <v>220</v>
      </c>
      <c r="Y33" s="2065">
        <v>4.0861</v>
      </c>
      <c r="Z33" s="2066">
        <f t="shared" si="4"/>
        <v>653.776</v>
      </c>
      <c r="AA33" s="2068" t="s">
        <v>221</v>
      </c>
      <c r="AB33" s="2068">
        <v>160</v>
      </c>
      <c r="AC33" s="2068">
        <f t="shared" si="1"/>
        <v>0</v>
      </c>
      <c r="AD33" s="2069" t="s">
        <v>81</v>
      </c>
      <c r="AE33" s="2070" t="s">
        <v>63</v>
      </c>
      <c r="AF33" s="2070" t="s">
        <v>38</v>
      </c>
      <c r="AG33" s="2084"/>
      <c r="AH33" s="2042"/>
      <c r="AI33" s="2042"/>
      <c r="AJ33" s="2085">
        <f>J33</f>
        <v>160</v>
      </c>
      <c r="AK33" s="2086"/>
      <c r="AL33" s="2042">
        <f t="shared" si="10"/>
        <v>160</v>
      </c>
      <c r="AM33" s="2087"/>
      <c r="AN33" s="2086"/>
      <c r="AO33" s="2086"/>
      <c r="AP33" s="2086"/>
      <c r="AQ33" s="2086"/>
      <c r="AR33" s="2086"/>
      <c r="AS33" s="2089"/>
      <c r="AT33" s="2086"/>
      <c r="AU33" s="2086"/>
      <c r="AV33" s="2086"/>
      <c r="AW33" s="2042"/>
      <c r="AX33" s="2042"/>
      <c r="AY33" s="2042">
        <f>J33</f>
        <v>160</v>
      </c>
      <c r="AZ33" s="2093"/>
      <c r="BA33" s="2042"/>
      <c r="BB33" s="2042"/>
      <c r="BC33" s="2042"/>
      <c r="BD33" s="2094">
        <f t="shared" si="11"/>
        <v>160</v>
      </c>
      <c r="BE33" s="2094">
        <f t="shared" si="12"/>
        <v>0</v>
      </c>
    </row>
    <row r="34" s="1988" customFormat="1" ht="36" customHeight="1" spans="1:57">
      <c r="A34" s="2018">
        <v>45623</v>
      </c>
      <c r="B34" s="2019" t="s">
        <v>209</v>
      </c>
      <c r="C34" s="1723" t="s">
        <v>91</v>
      </c>
      <c r="D34" s="2020">
        <v>4500152379</v>
      </c>
      <c r="E34" s="2021" t="s">
        <v>222</v>
      </c>
      <c r="F34" s="2019" t="s">
        <v>223</v>
      </c>
      <c r="G34" s="2023" t="s">
        <v>212</v>
      </c>
      <c r="H34" s="2023" t="s">
        <v>213</v>
      </c>
      <c r="I34" s="2036" t="s">
        <v>214</v>
      </c>
      <c r="J34" s="1989">
        <v>48</v>
      </c>
      <c r="K34" s="2037">
        <v>0</v>
      </c>
      <c r="L34" s="2038">
        <v>4</v>
      </c>
      <c r="M34" s="2039">
        <f t="shared" si="0"/>
        <v>12</v>
      </c>
      <c r="N34" s="2040">
        <v>45664</v>
      </c>
      <c r="O34" s="2040">
        <v>45660</v>
      </c>
      <c r="P34" s="2042"/>
      <c r="Q34" s="1363" t="s">
        <v>215</v>
      </c>
      <c r="R34" s="1363" t="s">
        <v>216</v>
      </c>
      <c r="S34" s="1406"/>
      <c r="T34" s="1406"/>
      <c r="U34" s="1406" t="s">
        <v>217</v>
      </c>
      <c r="V34" s="1402" t="s">
        <v>218</v>
      </c>
      <c r="W34" s="2055" t="s">
        <v>219</v>
      </c>
      <c r="X34" s="2056" t="s">
        <v>220</v>
      </c>
      <c r="Y34" s="2065">
        <v>4.0861</v>
      </c>
      <c r="Z34" s="2066">
        <f t="shared" si="4"/>
        <v>196.1328</v>
      </c>
      <c r="AA34" s="2068" t="s">
        <v>221</v>
      </c>
      <c r="AB34" s="2068">
        <v>48</v>
      </c>
      <c r="AC34" s="2068">
        <f t="shared" si="1"/>
        <v>0</v>
      </c>
      <c r="AD34" s="2069" t="s">
        <v>81</v>
      </c>
      <c r="AE34" s="2070" t="s">
        <v>63</v>
      </c>
      <c r="AF34" s="2070" t="s">
        <v>38</v>
      </c>
      <c r="AG34" s="2084"/>
      <c r="AH34" s="2042"/>
      <c r="AI34" s="2042"/>
      <c r="AJ34" s="2085">
        <f>J34</f>
        <v>48</v>
      </c>
      <c r="AK34" s="2086"/>
      <c r="AL34" s="2042">
        <f t="shared" si="10"/>
        <v>48</v>
      </c>
      <c r="AM34" s="2087"/>
      <c r="AN34" s="2086"/>
      <c r="AO34" s="2086"/>
      <c r="AP34" s="2086"/>
      <c r="AQ34" s="2086"/>
      <c r="AR34" s="2086"/>
      <c r="AS34" s="2089"/>
      <c r="AT34" s="2086"/>
      <c r="AU34" s="2086"/>
      <c r="AV34" s="2086"/>
      <c r="AW34" s="2042"/>
      <c r="AX34" s="2042"/>
      <c r="AY34" s="2042">
        <f>J34</f>
        <v>48</v>
      </c>
      <c r="AZ34" s="2093"/>
      <c r="BA34" s="2042"/>
      <c r="BB34" s="2042"/>
      <c r="BC34" s="2042"/>
      <c r="BD34" s="2094">
        <f t="shared" si="11"/>
        <v>48</v>
      </c>
      <c r="BE34" s="2094">
        <f t="shared" si="12"/>
        <v>0</v>
      </c>
    </row>
    <row r="35" s="1988" customFormat="1" ht="36" customHeight="1" spans="1:57">
      <c r="A35" s="2018">
        <v>45623</v>
      </c>
      <c r="B35" s="2019" t="s">
        <v>209</v>
      </c>
      <c r="C35" s="1723" t="s">
        <v>91</v>
      </c>
      <c r="D35" s="2020">
        <v>4500152379</v>
      </c>
      <c r="E35" s="2021" t="s">
        <v>224</v>
      </c>
      <c r="F35" s="2019" t="s">
        <v>225</v>
      </c>
      <c r="G35" s="2023" t="s">
        <v>212</v>
      </c>
      <c r="H35" s="2023" t="s">
        <v>213</v>
      </c>
      <c r="I35" s="2036" t="s">
        <v>214</v>
      </c>
      <c r="J35" s="1989">
        <v>208</v>
      </c>
      <c r="K35" s="2037">
        <v>0</v>
      </c>
      <c r="L35" s="2038">
        <v>4</v>
      </c>
      <c r="M35" s="2039">
        <f t="shared" si="0"/>
        <v>52</v>
      </c>
      <c r="N35" s="2040">
        <v>45664</v>
      </c>
      <c r="O35" s="2040">
        <v>45660</v>
      </c>
      <c r="P35" s="2042"/>
      <c r="Q35" s="1363" t="s">
        <v>215</v>
      </c>
      <c r="R35" s="1363" t="s">
        <v>216</v>
      </c>
      <c r="S35" s="1406"/>
      <c r="T35" s="1406"/>
      <c r="U35" s="1406" t="s">
        <v>217</v>
      </c>
      <c r="V35" s="1402" t="s">
        <v>218</v>
      </c>
      <c r="W35" s="2055" t="s">
        <v>219</v>
      </c>
      <c r="X35" s="2056" t="s">
        <v>220</v>
      </c>
      <c r="Y35" s="2065">
        <v>4.0861</v>
      </c>
      <c r="Z35" s="2066">
        <f t="shared" si="4"/>
        <v>849.9088</v>
      </c>
      <c r="AA35" s="2068" t="s">
        <v>221</v>
      </c>
      <c r="AB35" s="2068">
        <v>208</v>
      </c>
      <c r="AC35" s="2068">
        <f t="shared" si="1"/>
        <v>0</v>
      </c>
      <c r="AD35" s="2069" t="s">
        <v>81</v>
      </c>
      <c r="AE35" s="2070" t="s">
        <v>63</v>
      </c>
      <c r="AF35" s="2070" t="s">
        <v>38</v>
      </c>
      <c r="AG35" s="2084"/>
      <c r="AH35" s="2042"/>
      <c r="AI35" s="2042"/>
      <c r="AJ35" s="2085">
        <f>J35</f>
        <v>208</v>
      </c>
      <c r="AK35" s="2086"/>
      <c r="AL35" s="2042">
        <f t="shared" si="10"/>
        <v>208</v>
      </c>
      <c r="AM35" s="2087"/>
      <c r="AN35" s="2086"/>
      <c r="AO35" s="2086"/>
      <c r="AP35" s="2086"/>
      <c r="AQ35" s="2086"/>
      <c r="AR35" s="2086"/>
      <c r="AS35" s="2089"/>
      <c r="AT35" s="2086"/>
      <c r="AU35" s="2086"/>
      <c r="AV35" s="2086"/>
      <c r="AW35" s="2042"/>
      <c r="AX35" s="2042"/>
      <c r="AY35" s="2042">
        <f>J35</f>
        <v>208</v>
      </c>
      <c r="AZ35" s="2093"/>
      <c r="BA35" s="2042"/>
      <c r="BB35" s="2042"/>
      <c r="BC35" s="2042"/>
      <c r="BD35" s="2094">
        <f t="shared" si="11"/>
        <v>208</v>
      </c>
      <c r="BE35" s="2094">
        <f t="shared" si="12"/>
        <v>0</v>
      </c>
    </row>
    <row r="36" s="1988" customFormat="1" ht="36" customHeight="1" spans="1:57">
      <c r="A36" s="2018">
        <v>45623</v>
      </c>
      <c r="B36" s="2019" t="s">
        <v>209</v>
      </c>
      <c r="C36" s="1723" t="s">
        <v>91</v>
      </c>
      <c r="D36" s="2020">
        <v>4500152657</v>
      </c>
      <c r="E36" s="2021" t="s">
        <v>226</v>
      </c>
      <c r="F36" s="2019" t="s">
        <v>227</v>
      </c>
      <c r="G36" s="2023" t="s">
        <v>212</v>
      </c>
      <c r="H36" s="2023" t="s">
        <v>213</v>
      </c>
      <c r="I36" s="2036" t="s">
        <v>214</v>
      </c>
      <c r="J36" s="1989">
        <v>512</v>
      </c>
      <c r="K36" s="2037">
        <v>0</v>
      </c>
      <c r="L36" s="2038">
        <v>4</v>
      </c>
      <c r="M36" s="2039">
        <f t="shared" si="0"/>
        <v>128</v>
      </c>
      <c r="N36" s="2040">
        <v>45664</v>
      </c>
      <c r="O36" s="2040">
        <v>45660</v>
      </c>
      <c r="P36" s="2042"/>
      <c r="Q36" s="1363" t="s">
        <v>215</v>
      </c>
      <c r="R36" s="1363" t="s">
        <v>228</v>
      </c>
      <c r="S36" s="1406"/>
      <c r="T36" s="1406"/>
      <c r="U36" s="1406" t="s">
        <v>217</v>
      </c>
      <c r="V36" s="1402" t="s">
        <v>218</v>
      </c>
      <c r="W36" s="2055" t="s">
        <v>219</v>
      </c>
      <c r="X36" s="2056" t="s">
        <v>220</v>
      </c>
      <c r="Y36" s="2065">
        <v>3.9511</v>
      </c>
      <c r="Z36" s="2066">
        <f t="shared" si="4"/>
        <v>2022.9632</v>
      </c>
      <c r="AA36" s="2068" t="s">
        <v>229</v>
      </c>
      <c r="AB36" s="2068">
        <v>512</v>
      </c>
      <c r="AC36" s="2068">
        <f t="shared" si="1"/>
        <v>0</v>
      </c>
      <c r="AD36" s="2069" t="s">
        <v>81</v>
      </c>
      <c r="AE36" s="2070" t="s">
        <v>63</v>
      </c>
      <c r="AF36" s="2070" t="s">
        <v>38</v>
      </c>
      <c r="AG36" s="2084"/>
      <c r="AH36" s="2042"/>
      <c r="AI36" s="2042"/>
      <c r="AJ36" s="2085">
        <f>J36</f>
        <v>512</v>
      </c>
      <c r="AK36" s="2086"/>
      <c r="AL36" s="2042">
        <f t="shared" si="10"/>
        <v>512</v>
      </c>
      <c r="AM36" s="2087"/>
      <c r="AN36" s="2086"/>
      <c r="AO36" s="2086"/>
      <c r="AP36" s="2086"/>
      <c r="AQ36" s="2086"/>
      <c r="AR36" s="2086"/>
      <c r="AS36" s="2089"/>
      <c r="AT36" s="2086"/>
      <c r="AU36" s="2086"/>
      <c r="AV36" s="2086"/>
      <c r="AW36" s="2042"/>
      <c r="AX36" s="2042"/>
      <c r="AY36" s="2042">
        <f>J36</f>
        <v>512</v>
      </c>
      <c r="AZ36" s="2093"/>
      <c r="BA36" s="2042"/>
      <c r="BB36" s="2042"/>
      <c r="BC36" s="2042"/>
      <c r="BD36" s="2094">
        <f t="shared" si="11"/>
        <v>512</v>
      </c>
      <c r="BE36" s="2094">
        <f t="shared" si="12"/>
        <v>0</v>
      </c>
    </row>
    <row r="37" s="1988" customFormat="1" ht="38" customHeight="1" spans="1:57">
      <c r="A37" s="2018">
        <v>45603</v>
      </c>
      <c r="B37" s="2019" t="s">
        <v>230</v>
      </c>
      <c r="C37" s="1989" t="s">
        <v>91</v>
      </c>
      <c r="D37" s="2020">
        <v>4500150300</v>
      </c>
      <c r="E37" s="2021">
        <v>60188336</v>
      </c>
      <c r="F37" s="2019" t="s">
        <v>231</v>
      </c>
      <c r="G37" s="2021" t="s">
        <v>54</v>
      </c>
      <c r="H37" s="2023" t="s">
        <v>54</v>
      </c>
      <c r="I37" s="2036" t="s">
        <v>55</v>
      </c>
      <c r="J37" s="1989">
        <v>4992</v>
      </c>
      <c r="K37" s="2037">
        <v>0</v>
      </c>
      <c r="L37" s="2038">
        <v>12</v>
      </c>
      <c r="M37" s="2039">
        <f t="shared" si="0"/>
        <v>416</v>
      </c>
      <c r="N37" s="2040">
        <v>45664</v>
      </c>
      <c r="O37" s="2041">
        <v>45660</v>
      </c>
      <c r="P37" s="2042"/>
      <c r="Q37" s="1363" t="s">
        <v>56</v>
      </c>
      <c r="R37" s="1365" t="s">
        <v>232</v>
      </c>
      <c r="S37" s="1406" t="s">
        <v>233</v>
      </c>
      <c r="T37" s="1406"/>
      <c r="U37" s="1406" t="s">
        <v>234</v>
      </c>
      <c r="V37" s="1402" t="s">
        <v>235</v>
      </c>
      <c r="W37" s="2053" t="s">
        <v>236</v>
      </c>
      <c r="X37" s="2053" t="s">
        <v>237</v>
      </c>
      <c r="Y37" s="2065">
        <v>3.3487</v>
      </c>
      <c r="Z37" s="2066">
        <f t="shared" si="4"/>
        <v>16716.7104</v>
      </c>
      <c r="AA37" s="2068" t="s">
        <v>238</v>
      </c>
      <c r="AB37" s="2068">
        <f>540+408+2472+1212+360</f>
        <v>4992</v>
      </c>
      <c r="AC37" s="2068">
        <f t="shared" si="1"/>
        <v>0</v>
      </c>
      <c r="AD37" s="2069" t="s">
        <v>81</v>
      </c>
      <c r="AE37" s="2070" t="s">
        <v>63</v>
      </c>
      <c r="AF37" s="2070" t="s">
        <v>38</v>
      </c>
      <c r="AG37" s="2084"/>
      <c r="AH37" s="2073">
        <f>J37</f>
        <v>4992</v>
      </c>
      <c r="AI37" s="2042"/>
      <c r="AJ37" s="2085"/>
      <c r="AK37" s="2088"/>
      <c r="AL37" s="2042">
        <f t="shared" si="10"/>
        <v>4992</v>
      </c>
      <c r="AM37" s="2087"/>
      <c r="AN37" s="2088"/>
      <c r="AO37" s="2088"/>
      <c r="AP37" s="2088"/>
      <c r="AQ37" s="2088"/>
      <c r="AR37" s="2088"/>
      <c r="AS37" s="2090"/>
      <c r="AT37" s="2088"/>
      <c r="AU37" s="2088"/>
      <c r="AV37" s="2088"/>
      <c r="AW37" s="2042">
        <f>J37</f>
        <v>4992</v>
      </c>
      <c r="AX37" s="2042"/>
      <c r="AY37" s="2042"/>
      <c r="AZ37" s="2096"/>
      <c r="BA37" s="2042"/>
      <c r="BB37" s="2042"/>
      <c r="BC37" s="2042"/>
      <c r="BD37" s="2094">
        <f t="shared" si="11"/>
        <v>4992</v>
      </c>
      <c r="BE37" s="2094">
        <f t="shared" si="12"/>
        <v>0</v>
      </c>
    </row>
    <row r="38" s="1988" customFormat="1" ht="38" customHeight="1" spans="1:57">
      <c r="A38" s="2018">
        <v>45603</v>
      </c>
      <c r="B38" s="2019" t="s">
        <v>230</v>
      </c>
      <c r="C38" s="1989" t="s">
        <v>91</v>
      </c>
      <c r="D38" s="2020">
        <v>4500150300</v>
      </c>
      <c r="E38" s="2021">
        <v>60188336</v>
      </c>
      <c r="F38" s="2019" t="s">
        <v>239</v>
      </c>
      <c r="G38" s="2021" t="s">
        <v>66</v>
      </c>
      <c r="H38" s="2023" t="s">
        <v>66</v>
      </c>
      <c r="I38" s="2036" t="s">
        <v>67</v>
      </c>
      <c r="J38" s="1989">
        <v>2496</v>
      </c>
      <c r="K38" s="2037">
        <v>0</v>
      </c>
      <c r="L38" s="2038">
        <v>12</v>
      </c>
      <c r="M38" s="2039">
        <f t="shared" si="0"/>
        <v>208</v>
      </c>
      <c r="N38" s="2040">
        <v>45664</v>
      </c>
      <c r="O38" s="2041">
        <v>45660</v>
      </c>
      <c r="P38" s="2042"/>
      <c r="Q38" s="1363" t="s">
        <v>56</v>
      </c>
      <c r="R38" s="1365" t="s">
        <v>232</v>
      </c>
      <c r="S38" s="1406" t="s">
        <v>116</v>
      </c>
      <c r="T38" s="1406"/>
      <c r="U38" s="1406" t="s">
        <v>234</v>
      </c>
      <c r="V38" s="1402" t="s">
        <v>235</v>
      </c>
      <c r="W38" s="2053" t="s">
        <v>236</v>
      </c>
      <c r="X38" s="2053" t="s">
        <v>237</v>
      </c>
      <c r="Y38" s="2065">
        <v>3.0492</v>
      </c>
      <c r="Z38" s="2066">
        <f t="shared" si="4"/>
        <v>7610.8032</v>
      </c>
      <c r="AA38" s="2068" t="s">
        <v>238</v>
      </c>
      <c r="AB38" s="2073">
        <v>2496</v>
      </c>
      <c r="AC38" s="2068">
        <f t="shared" si="1"/>
        <v>0</v>
      </c>
      <c r="AD38" s="2069" t="s">
        <v>81</v>
      </c>
      <c r="AE38" s="2070" t="s">
        <v>63</v>
      </c>
      <c r="AF38" s="2070" t="s">
        <v>38</v>
      </c>
      <c r="AG38" s="2084"/>
      <c r="AH38" s="2073"/>
      <c r="AI38" s="2042"/>
      <c r="AJ38" s="2085">
        <f>J38</f>
        <v>2496</v>
      </c>
      <c r="AK38" s="2088"/>
      <c r="AL38" s="2042">
        <f t="shared" si="10"/>
        <v>2496</v>
      </c>
      <c r="AM38" s="2087"/>
      <c r="AN38" s="2088"/>
      <c r="AO38" s="2088"/>
      <c r="AP38" s="2088"/>
      <c r="AQ38" s="2088"/>
      <c r="AR38" s="2088"/>
      <c r="AS38" s="2090"/>
      <c r="AT38" s="2088"/>
      <c r="AU38" s="2088"/>
      <c r="AV38" s="2088"/>
      <c r="AW38" s="2042"/>
      <c r="AX38" s="2042"/>
      <c r="AY38" s="2042">
        <f>J38</f>
        <v>2496</v>
      </c>
      <c r="AZ38" s="2096"/>
      <c r="BA38" s="2042"/>
      <c r="BB38" s="2042"/>
      <c r="BC38" s="2042"/>
      <c r="BD38" s="2094">
        <f t="shared" si="11"/>
        <v>2496</v>
      </c>
      <c r="BE38" s="2094">
        <f t="shared" si="12"/>
        <v>0</v>
      </c>
    </row>
    <row r="39" s="1988" customFormat="1" ht="36" customHeight="1" spans="1:57">
      <c r="A39" s="2018">
        <v>45625</v>
      </c>
      <c r="B39" s="2019" t="s">
        <v>122</v>
      </c>
      <c r="C39" s="1723" t="s">
        <v>123</v>
      </c>
      <c r="D39" s="2020">
        <v>4500153057</v>
      </c>
      <c r="E39" s="2021">
        <v>4400452592</v>
      </c>
      <c r="F39" s="2019" t="s">
        <v>240</v>
      </c>
      <c r="G39" s="2019" t="s">
        <v>180</v>
      </c>
      <c r="H39" s="2023" t="s">
        <v>66</v>
      </c>
      <c r="I39" s="2036" t="s">
        <v>67</v>
      </c>
      <c r="J39" s="1989">
        <v>3000</v>
      </c>
      <c r="K39" s="2037">
        <v>0</v>
      </c>
      <c r="L39" s="2038">
        <v>12</v>
      </c>
      <c r="M39" s="2039">
        <f t="shared" si="0"/>
        <v>250</v>
      </c>
      <c r="N39" s="2040">
        <v>45666</v>
      </c>
      <c r="O39" s="2040">
        <v>45663</v>
      </c>
      <c r="P39" s="2042"/>
      <c r="Q39" s="1363" t="s">
        <v>56</v>
      </c>
      <c r="R39" s="1363" t="s">
        <v>161</v>
      </c>
      <c r="S39" s="1406" t="s">
        <v>241</v>
      </c>
      <c r="T39" s="1406"/>
      <c r="U39" s="1406" t="s">
        <v>242</v>
      </c>
      <c r="V39" s="1402" t="s">
        <v>183</v>
      </c>
      <c r="W39" s="2057" t="s">
        <v>243</v>
      </c>
      <c r="X39" s="2056" t="s">
        <v>131</v>
      </c>
      <c r="Y39" s="2065">
        <v>3.1368</v>
      </c>
      <c r="Z39" s="2066">
        <f t="shared" si="4"/>
        <v>9410.4</v>
      </c>
      <c r="AA39" s="2068" t="s">
        <v>244</v>
      </c>
      <c r="AB39" s="2068">
        <f>1380+1620</f>
        <v>3000</v>
      </c>
      <c r="AC39" s="2068">
        <f t="shared" si="1"/>
        <v>0</v>
      </c>
      <c r="AD39" s="2069" t="s">
        <v>81</v>
      </c>
      <c r="AE39" s="2070" t="s">
        <v>63</v>
      </c>
      <c r="AF39" s="2070" t="s">
        <v>38</v>
      </c>
      <c r="AG39" s="2084"/>
      <c r="AH39" s="2042"/>
      <c r="AI39" s="2042"/>
      <c r="AJ39" s="2085">
        <f>J39</f>
        <v>3000</v>
      </c>
      <c r="AK39" s="2086"/>
      <c r="AL39" s="2042"/>
      <c r="AM39" s="2087">
        <f>J39</f>
        <v>3000</v>
      </c>
      <c r="AN39" s="2086"/>
      <c r="AO39" s="2086"/>
      <c r="AP39" s="2086"/>
      <c r="AQ39" s="2086"/>
      <c r="AR39" s="2086"/>
      <c r="AS39" s="2089"/>
      <c r="AT39" s="2086"/>
      <c r="AU39" s="2086"/>
      <c r="AV39" s="2086"/>
      <c r="AW39" s="2042"/>
      <c r="AX39" s="2042"/>
      <c r="AY39" s="2042">
        <f>J39</f>
        <v>3000</v>
      </c>
      <c r="AZ39" s="2093"/>
      <c r="BA39" s="2042"/>
      <c r="BB39" s="2042"/>
      <c r="BC39" s="2042"/>
      <c r="BD39" s="2094">
        <f t="shared" si="11"/>
        <v>3000</v>
      </c>
      <c r="BE39" s="2094">
        <f t="shared" si="12"/>
        <v>0</v>
      </c>
    </row>
    <row r="40" s="1988" customFormat="1" ht="38" customHeight="1" spans="1:57">
      <c r="A40" s="2018">
        <v>45590</v>
      </c>
      <c r="B40" s="2019" t="s">
        <v>90</v>
      </c>
      <c r="C40" s="1989" t="s">
        <v>91</v>
      </c>
      <c r="D40" s="2020">
        <v>4500149181</v>
      </c>
      <c r="E40" s="2324" t="s">
        <v>245</v>
      </c>
      <c r="F40" s="2019" t="s">
        <v>246</v>
      </c>
      <c r="G40" s="2019" t="s">
        <v>94</v>
      </c>
      <c r="H40" s="2023" t="s">
        <v>94</v>
      </c>
      <c r="I40" s="2036" t="s">
        <v>55</v>
      </c>
      <c r="J40" s="2044">
        <v>1902</v>
      </c>
      <c r="K40" s="2037">
        <v>0</v>
      </c>
      <c r="L40" s="2038">
        <v>2</v>
      </c>
      <c r="M40" s="2039">
        <f t="shared" si="0"/>
        <v>951</v>
      </c>
      <c r="N40" s="2040">
        <v>45681</v>
      </c>
      <c r="O40" s="2041">
        <v>45677</v>
      </c>
      <c r="P40" s="2042" t="s">
        <v>247</v>
      </c>
      <c r="Q40" s="1363" t="s">
        <v>56</v>
      </c>
      <c r="R40" s="1365" t="s">
        <v>248</v>
      </c>
      <c r="S40" s="1406" t="s">
        <v>97</v>
      </c>
      <c r="T40" s="1406"/>
      <c r="U40" s="1406" t="s">
        <v>144</v>
      </c>
      <c r="V40" s="1402" t="s">
        <v>99</v>
      </c>
      <c r="W40" s="2053" t="s">
        <v>100</v>
      </c>
      <c r="X40" s="2053" t="s">
        <v>101</v>
      </c>
      <c r="Y40" s="2065">
        <v>3.7145</v>
      </c>
      <c r="Z40" s="2066">
        <f t="shared" si="4"/>
        <v>7064.979</v>
      </c>
      <c r="AA40" s="2068" t="s">
        <v>249</v>
      </c>
      <c r="AB40" s="2068">
        <v>1902</v>
      </c>
      <c r="AC40" s="2068">
        <f t="shared" si="1"/>
        <v>0</v>
      </c>
      <c r="AD40" s="2069" t="s">
        <v>81</v>
      </c>
      <c r="AE40" s="2070" t="s">
        <v>63</v>
      </c>
      <c r="AF40" s="2070" t="s">
        <v>38</v>
      </c>
      <c r="AG40" s="2084"/>
      <c r="AH40" s="2073">
        <f>J40</f>
        <v>1902</v>
      </c>
      <c r="AI40" s="2042"/>
      <c r="AJ40" s="2085"/>
      <c r="AK40" s="2086"/>
      <c r="AL40" s="2042">
        <f t="shared" ref="AL40:AL62" si="14">J40</f>
        <v>1902</v>
      </c>
      <c r="AM40" s="2087"/>
      <c r="AN40" s="2086"/>
      <c r="AO40" s="2086"/>
      <c r="AP40" s="2086"/>
      <c r="AQ40" s="2086"/>
      <c r="AR40" s="2086"/>
      <c r="AS40" s="2089"/>
      <c r="AT40" s="2086"/>
      <c r="AU40" s="2086"/>
      <c r="AV40" s="2086"/>
      <c r="AW40" s="2042"/>
      <c r="AX40" s="2042"/>
      <c r="AY40" s="2042"/>
      <c r="AZ40" s="2093"/>
      <c r="BA40" s="2042">
        <f>J40</f>
        <v>1902</v>
      </c>
      <c r="BB40" s="2042"/>
      <c r="BC40" s="2042"/>
      <c r="BD40" s="2094">
        <f t="shared" si="11"/>
        <v>1902</v>
      </c>
      <c r="BE40" s="2094">
        <f t="shared" si="12"/>
        <v>0</v>
      </c>
    </row>
    <row r="41" s="1988" customFormat="1" ht="38" customHeight="1" spans="1:57">
      <c r="A41" s="2018">
        <v>45624</v>
      </c>
      <c r="B41" s="2019" t="s">
        <v>90</v>
      </c>
      <c r="C41" s="1989" t="s">
        <v>91</v>
      </c>
      <c r="D41" s="2020">
        <v>4500152367</v>
      </c>
      <c r="E41" s="2324" t="s">
        <v>250</v>
      </c>
      <c r="F41" s="2019" t="s">
        <v>251</v>
      </c>
      <c r="G41" s="2019" t="s">
        <v>94</v>
      </c>
      <c r="H41" s="2024" t="s">
        <v>94</v>
      </c>
      <c r="I41" s="2036" t="s">
        <v>55</v>
      </c>
      <c r="J41" s="2044">
        <v>1790</v>
      </c>
      <c r="K41" s="2037">
        <v>0</v>
      </c>
      <c r="L41" s="2038">
        <v>2</v>
      </c>
      <c r="M41" s="2039">
        <f t="shared" si="0"/>
        <v>895</v>
      </c>
      <c r="N41" s="2040">
        <v>45681</v>
      </c>
      <c r="O41" s="2041">
        <v>45677</v>
      </c>
      <c r="P41" s="2042" t="s">
        <v>247</v>
      </c>
      <c r="Q41" s="1363" t="s">
        <v>56</v>
      </c>
      <c r="R41" s="1365" t="s">
        <v>252</v>
      </c>
      <c r="S41" s="1406" t="s">
        <v>97</v>
      </c>
      <c r="T41" s="1406"/>
      <c r="U41" s="1406" t="s">
        <v>144</v>
      </c>
      <c r="V41" s="1402" t="s">
        <v>99</v>
      </c>
      <c r="W41" s="2053" t="s">
        <v>171</v>
      </c>
      <c r="X41" s="2053" t="s">
        <v>101</v>
      </c>
      <c r="Y41" s="2065">
        <v>3.7145</v>
      </c>
      <c r="Z41" s="2066">
        <f t="shared" si="4"/>
        <v>6648.955</v>
      </c>
      <c r="AA41" s="2068" t="s">
        <v>253</v>
      </c>
      <c r="AB41" s="2068">
        <v>1790</v>
      </c>
      <c r="AC41" s="2068">
        <f t="shared" si="1"/>
        <v>0</v>
      </c>
      <c r="AD41" s="2069" t="s">
        <v>81</v>
      </c>
      <c r="AE41" s="2070" t="s">
        <v>63</v>
      </c>
      <c r="AF41" s="2070" t="s">
        <v>38</v>
      </c>
      <c r="AG41" s="2084"/>
      <c r="AH41" s="2073">
        <f>J41</f>
        <v>1790</v>
      </c>
      <c r="AI41" s="2042"/>
      <c r="AJ41" s="2085"/>
      <c r="AK41" s="2086"/>
      <c r="AL41" s="2042">
        <f t="shared" si="14"/>
        <v>1790</v>
      </c>
      <c r="AM41" s="2087"/>
      <c r="AN41" s="2086"/>
      <c r="AO41" s="2086"/>
      <c r="AP41" s="2086"/>
      <c r="AQ41" s="2086"/>
      <c r="AR41" s="2086"/>
      <c r="AS41" s="2089"/>
      <c r="AT41" s="2086"/>
      <c r="AU41" s="2086"/>
      <c r="AV41" s="2086"/>
      <c r="AW41" s="2042"/>
      <c r="AX41" s="2042"/>
      <c r="AY41" s="2042"/>
      <c r="AZ41" s="2093"/>
      <c r="BA41" s="2042">
        <f>J41</f>
        <v>1790</v>
      </c>
      <c r="BB41" s="2042"/>
      <c r="BC41" s="2042"/>
      <c r="BD41" s="2094">
        <f t="shared" si="11"/>
        <v>1790</v>
      </c>
      <c r="BE41" s="2094">
        <f t="shared" si="12"/>
        <v>0</v>
      </c>
    </row>
    <row r="42" s="1988" customFormat="1" ht="38" customHeight="1" spans="1:57">
      <c r="A42" s="2018">
        <v>45624</v>
      </c>
      <c r="B42" s="2019" t="s">
        <v>90</v>
      </c>
      <c r="C42" s="1989" t="s">
        <v>91</v>
      </c>
      <c r="D42" s="2020">
        <v>4500152368</v>
      </c>
      <c r="E42" s="2324" t="s">
        <v>254</v>
      </c>
      <c r="F42" s="2019" t="s">
        <v>255</v>
      </c>
      <c r="G42" s="2019" t="s">
        <v>94</v>
      </c>
      <c r="H42" s="2024" t="s">
        <v>94</v>
      </c>
      <c r="I42" s="2036" t="s">
        <v>55</v>
      </c>
      <c r="J42" s="2044">
        <v>1576</v>
      </c>
      <c r="K42" s="2037">
        <v>0</v>
      </c>
      <c r="L42" s="2038">
        <v>2</v>
      </c>
      <c r="M42" s="2039">
        <f t="shared" si="0"/>
        <v>788</v>
      </c>
      <c r="N42" s="2040">
        <v>45681</v>
      </c>
      <c r="O42" s="2041">
        <v>45677</v>
      </c>
      <c r="P42" s="2042" t="s">
        <v>247</v>
      </c>
      <c r="Q42" s="1363" t="s">
        <v>56</v>
      </c>
      <c r="R42" s="1365" t="s">
        <v>252</v>
      </c>
      <c r="S42" s="1406" t="s">
        <v>97</v>
      </c>
      <c r="T42" s="1406"/>
      <c r="U42" s="1406" t="s">
        <v>144</v>
      </c>
      <c r="V42" s="1402" t="s">
        <v>99</v>
      </c>
      <c r="W42" s="2053" t="s">
        <v>166</v>
      </c>
      <c r="X42" s="2053" t="s">
        <v>101</v>
      </c>
      <c r="Y42" s="2065">
        <v>3.7145</v>
      </c>
      <c r="Z42" s="2066">
        <f t="shared" si="4"/>
        <v>5854.052</v>
      </c>
      <c r="AA42" s="2068" t="s">
        <v>256</v>
      </c>
      <c r="AB42" s="2068">
        <v>1576</v>
      </c>
      <c r="AC42" s="2068">
        <f t="shared" si="1"/>
        <v>0</v>
      </c>
      <c r="AD42" s="2069" t="s">
        <v>81</v>
      </c>
      <c r="AE42" s="2070" t="s">
        <v>63</v>
      </c>
      <c r="AF42" s="2070" t="s">
        <v>38</v>
      </c>
      <c r="AG42" s="2084"/>
      <c r="AH42" s="2073">
        <f>J42</f>
        <v>1576</v>
      </c>
      <c r="AI42" s="2042"/>
      <c r="AJ42" s="2085"/>
      <c r="AK42" s="2086"/>
      <c r="AL42" s="2042">
        <f t="shared" si="14"/>
        <v>1576</v>
      </c>
      <c r="AM42" s="2087"/>
      <c r="AN42" s="2086"/>
      <c r="AO42" s="2086"/>
      <c r="AP42" s="2086"/>
      <c r="AQ42" s="2086"/>
      <c r="AR42" s="2086"/>
      <c r="AS42" s="2089"/>
      <c r="AT42" s="2086"/>
      <c r="AU42" s="2086"/>
      <c r="AV42" s="2086"/>
      <c r="AW42" s="2042"/>
      <c r="AX42" s="2042"/>
      <c r="AY42" s="2042"/>
      <c r="AZ42" s="2093"/>
      <c r="BA42" s="2042">
        <f>J42</f>
        <v>1576</v>
      </c>
      <c r="BB42" s="2042"/>
      <c r="BC42" s="2042"/>
      <c r="BD42" s="2094">
        <f t="shared" si="11"/>
        <v>1576</v>
      </c>
      <c r="BE42" s="2094">
        <f t="shared" si="12"/>
        <v>0</v>
      </c>
    </row>
    <row r="43" s="1988" customFormat="1" ht="38" customHeight="1" spans="1:57">
      <c r="A43" s="2018">
        <v>45621</v>
      </c>
      <c r="B43" s="2019" t="s">
        <v>257</v>
      </c>
      <c r="C43" s="1989" t="s">
        <v>258</v>
      </c>
      <c r="D43" s="2020">
        <v>4500152186</v>
      </c>
      <c r="E43" s="2021">
        <v>28659769</v>
      </c>
      <c r="F43" s="2019" t="s">
        <v>259</v>
      </c>
      <c r="G43" s="2023" t="s">
        <v>54</v>
      </c>
      <c r="H43" s="2024" t="s">
        <v>54</v>
      </c>
      <c r="I43" s="2036" t="s">
        <v>55</v>
      </c>
      <c r="J43" s="2044">
        <v>228</v>
      </c>
      <c r="K43" s="2037">
        <v>0</v>
      </c>
      <c r="L43" s="2038">
        <v>12</v>
      </c>
      <c r="M43" s="2039">
        <f t="shared" si="0"/>
        <v>19</v>
      </c>
      <c r="N43" s="2040">
        <v>45691</v>
      </c>
      <c r="O43" s="2040">
        <v>45688</v>
      </c>
      <c r="P43" s="2042"/>
      <c r="Q43" s="1363" t="s">
        <v>56</v>
      </c>
      <c r="R43" s="1365" t="s">
        <v>260</v>
      </c>
      <c r="S43" s="1406" t="s">
        <v>127</v>
      </c>
      <c r="T43" s="1406"/>
      <c r="U43" s="1406" t="s">
        <v>58</v>
      </c>
      <c r="V43" s="1402" t="s">
        <v>261</v>
      </c>
      <c r="W43" s="2053" t="s">
        <v>262</v>
      </c>
      <c r="X43" s="2053" t="s">
        <v>263</v>
      </c>
      <c r="Y43" s="2065">
        <v>3.9118</v>
      </c>
      <c r="Z43" s="2066">
        <f t="shared" si="4"/>
        <v>891.8904</v>
      </c>
      <c r="AA43" s="2068" t="s">
        <v>264</v>
      </c>
      <c r="AB43" s="2068">
        <v>228</v>
      </c>
      <c r="AC43" s="2068">
        <f t="shared" si="1"/>
        <v>0</v>
      </c>
      <c r="AD43" s="2069" t="s">
        <v>58</v>
      </c>
      <c r="AE43" s="2070" t="s">
        <v>63</v>
      </c>
      <c r="AF43" s="2070" t="s">
        <v>38</v>
      </c>
      <c r="AG43" s="2084"/>
      <c r="AH43" s="2073">
        <f>J43</f>
        <v>228</v>
      </c>
      <c r="AI43" s="2042"/>
      <c r="AJ43" s="2085"/>
      <c r="AK43" s="2086"/>
      <c r="AL43" s="2042">
        <f t="shared" si="14"/>
        <v>228</v>
      </c>
      <c r="AM43" s="2087"/>
      <c r="AN43" s="2086"/>
      <c r="AO43" s="2086"/>
      <c r="AP43" s="2086"/>
      <c r="AQ43" s="2086"/>
      <c r="AR43" s="2086"/>
      <c r="AS43" s="2089"/>
      <c r="AT43" s="2086"/>
      <c r="AU43" s="2086"/>
      <c r="AV43" s="2086"/>
      <c r="AW43" s="2042">
        <f>J43</f>
        <v>228</v>
      </c>
      <c r="AX43" s="2042"/>
      <c r="AY43" s="2042"/>
      <c r="AZ43" s="2093"/>
      <c r="BA43" s="2042"/>
      <c r="BB43" s="2042"/>
      <c r="BC43" s="2042"/>
      <c r="BD43" s="2094">
        <f t="shared" si="11"/>
        <v>228</v>
      </c>
      <c r="BE43" s="2094">
        <f t="shared" si="12"/>
        <v>0</v>
      </c>
    </row>
    <row r="44" s="1988" customFormat="1" ht="38" customHeight="1" spans="1:57">
      <c r="A44" s="2018">
        <v>45621</v>
      </c>
      <c r="B44" s="2019" t="s">
        <v>257</v>
      </c>
      <c r="C44" s="1989" t="s">
        <v>258</v>
      </c>
      <c r="D44" s="2020">
        <v>4500152185</v>
      </c>
      <c r="E44" s="2021">
        <v>28659768</v>
      </c>
      <c r="F44" s="2019" t="s">
        <v>265</v>
      </c>
      <c r="G44" s="2023" t="s">
        <v>54</v>
      </c>
      <c r="H44" s="2024" t="s">
        <v>54</v>
      </c>
      <c r="I44" s="2036" t="s">
        <v>55</v>
      </c>
      <c r="J44" s="1989">
        <v>672</v>
      </c>
      <c r="K44" s="2037">
        <v>0</v>
      </c>
      <c r="L44" s="2038">
        <v>12</v>
      </c>
      <c r="M44" s="2039">
        <f t="shared" si="0"/>
        <v>56</v>
      </c>
      <c r="N44" s="2040">
        <v>45691</v>
      </c>
      <c r="O44" s="2040">
        <v>45688</v>
      </c>
      <c r="P44" s="2042"/>
      <c r="Q44" s="1363" t="s">
        <v>56</v>
      </c>
      <c r="R44" s="1365" t="s">
        <v>228</v>
      </c>
      <c r="S44" s="1406" t="s">
        <v>127</v>
      </c>
      <c r="T44" s="1406"/>
      <c r="U44" s="1406" t="s">
        <v>58</v>
      </c>
      <c r="V44" s="1402" t="s">
        <v>261</v>
      </c>
      <c r="W44" s="2053" t="s">
        <v>266</v>
      </c>
      <c r="X44" s="2053" t="s">
        <v>263</v>
      </c>
      <c r="Y44" s="2065">
        <v>3.9118</v>
      </c>
      <c r="Z44" s="2066">
        <f t="shared" si="4"/>
        <v>2628.7296</v>
      </c>
      <c r="AA44" s="2068" t="s">
        <v>267</v>
      </c>
      <c r="AB44" s="2068">
        <v>672</v>
      </c>
      <c r="AC44" s="2068">
        <f t="shared" si="1"/>
        <v>0</v>
      </c>
      <c r="AD44" s="2069" t="s">
        <v>58</v>
      </c>
      <c r="AE44" s="2070" t="s">
        <v>63</v>
      </c>
      <c r="AF44" s="2070" t="s">
        <v>38</v>
      </c>
      <c r="AG44" s="2084"/>
      <c r="AH44" s="2073">
        <f>J44</f>
        <v>672</v>
      </c>
      <c r="AI44" s="2042"/>
      <c r="AJ44" s="2085"/>
      <c r="AK44" s="2086"/>
      <c r="AL44" s="2042">
        <f t="shared" si="14"/>
        <v>672</v>
      </c>
      <c r="AM44" s="2087"/>
      <c r="AN44" s="2086"/>
      <c r="AO44" s="2086"/>
      <c r="AP44" s="2086"/>
      <c r="AQ44" s="2086"/>
      <c r="AR44" s="2086"/>
      <c r="AS44" s="2089"/>
      <c r="AT44" s="2086"/>
      <c r="AU44" s="2086"/>
      <c r="AV44" s="2086"/>
      <c r="AW44" s="2042">
        <f>J44</f>
        <v>672</v>
      </c>
      <c r="AX44" s="2042"/>
      <c r="AY44" s="2042"/>
      <c r="AZ44" s="2093"/>
      <c r="BA44" s="2042"/>
      <c r="BB44" s="2042"/>
      <c r="BC44" s="2042"/>
      <c r="BD44" s="2094">
        <f t="shared" si="11"/>
        <v>672</v>
      </c>
      <c r="BE44" s="2094">
        <f t="shared" si="12"/>
        <v>0</v>
      </c>
    </row>
    <row r="45" s="1988" customFormat="1" ht="38" customHeight="1" spans="1:57">
      <c r="A45" s="2018">
        <v>45586</v>
      </c>
      <c r="B45" s="2019" t="s">
        <v>133</v>
      </c>
      <c r="C45" s="1989" t="s">
        <v>91</v>
      </c>
      <c r="D45" s="2020">
        <v>4500147801</v>
      </c>
      <c r="E45" s="2021" t="s">
        <v>268</v>
      </c>
      <c r="F45" s="2019" t="s">
        <v>269</v>
      </c>
      <c r="G45" s="2024" t="s">
        <v>64</v>
      </c>
      <c r="H45" s="2023" t="s">
        <v>64</v>
      </c>
      <c r="I45" s="2036" t="s">
        <v>65</v>
      </c>
      <c r="J45" s="1989">
        <v>804</v>
      </c>
      <c r="K45" s="2037">
        <v>0</v>
      </c>
      <c r="L45" s="2038">
        <v>12</v>
      </c>
      <c r="M45" s="2039">
        <f t="shared" si="0"/>
        <v>67</v>
      </c>
      <c r="N45" s="2040">
        <v>45677</v>
      </c>
      <c r="O45" s="2041">
        <v>45673</v>
      </c>
      <c r="P45" s="2042"/>
      <c r="Q45" s="1363" t="s">
        <v>56</v>
      </c>
      <c r="R45" s="1365" t="s">
        <v>260</v>
      </c>
      <c r="S45" s="1406" t="s">
        <v>270</v>
      </c>
      <c r="T45" s="1406"/>
      <c r="U45" s="1406" t="s">
        <v>271</v>
      </c>
      <c r="V45" s="1402" t="s">
        <v>137</v>
      </c>
      <c r="W45" s="2053" t="s">
        <v>149</v>
      </c>
      <c r="X45" s="2056" t="s">
        <v>139</v>
      </c>
      <c r="Y45" s="2065">
        <v>4.0344</v>
      </c>
      <c r="Z45" s="2066">
        <f t="shared" si="4"/>
        <v>3243.6576</v>
      </c>
      <c r="AA45" s="2068" t="s">
        <v>272</v>
      </c>
      <c r="AB45" s="2068">
        <v>804</v>
      </c>
      <c r="AC45" s="2068">
        <f t="shared" si="1"/>
        <v>0</v>
      </c>
      <c r="AD45" s="2069" t="s">
        <v>81</v>
      </c>
      <c r="AE45" s="2070" t="s">
        <v>63</v>
      </c>
      <c r="AF45" s="2070" t="s">
        <v>38</v>
      </c>
      <c r="AG45" s="2084"/>
      <c r="AH45" s="2042"/>
      <c r="AI45" s="2042">
        <f>J45</f>
        <v>804</v>
      </c>
      <c r="AJ45" s="2085"/>
      <c r="AK45" s="2086"/>
      <c r="AL45" s="2042">
        <f t="shared" si="14"/>
        <v>804</v>
      </c>
      <c r="AM45" s="2087"/>
      <c r="AN45" s="2086"/>
      <c r="AO45" s="2086"/>
      <c r="AP45" s="2086"/>
      <c r="AQ45" s="2086"/>
      <c r="AR45" s="2086"/>
      <c r="AS45" s="2089"/>
      <c r="AT45" s="2086"/>
      <c r="AU45" s="2086"/>
      <c r="AV45" s="2086"/>
      <c r="AW45" s="2042"/>
      <c r="AX45" s="2042">
        <f>J45</f>
        <v>804</v>
      </c>
      <c r="AY45" s="2042"/>
      <c r="AZ45" s="2093"/>
      <c r="BA45" s="2042"/>
      <c r="BB45" s="2042"/>
      <c r="BC45" s="2042"/>
      <c r="BD45" s="2094">
        <f t="shared" si="11"/>
        <v>804</v>
      </c>
      <c r="BE45" s="2094">
        <f t="shared" si="12"/>
        <v>0</v>
      </c>
    </row>
    <row r="46" s="1988" customFormat="1" ht="38" customHeight="1" spans="1:57">
      <c r="A46" s="2018">
        <v>45586</v>
      </c>
      <c r="B46" s="2019" t="s">
        <v>133</v>
      </c>
      <c r="C46" s="1989" t="s">
        <v>91</v>
      </c>
      <c r="D46" s="2020">
        <v>4500147801</v>
      </c>
      <c r="E46" s="2021" t="s">
        <v>268</v>
      </c>
      <c r="F46" s="2019" t="s">
        <v>273</v>
      </c>
      <c r="G46" s="2022" t="s">
        <v>66</v>
      </c>
      <c r="H46" s="2023" t="s">
        <v>66</v>
      </c>
      <c r="I46" s="2036" t="s">
        <v>67</v>
      </c>
      <c r="J46" s="1989">
        <v>804</v>
      </c>
      <c r="K46" s="2037">
        <v>0</v>
      </c>
      <c r="L46" s="2038">
        <v>12</v>
      </c>
      <c r="M46" s="2039">
        <f t="shared" si="0"/>
        <v>67</v>
      </c>
      <c r="N46" s="2040">
        <v>45677</v>
      </c>
      <c r="O46" s="2041">
        <v>45673</v>
      </c>
      <c r="P46" s="2042"/>
      <c r="Q46" s="1363" t="s">
        <v>56</v>
      </c>
      <c r="R46" s="1365" t="s">
        <v>260</v>
      </c>
      <c r="S46" s="1406" t="s">
        <v>270</v>
      </c>
      <c r="T46" s="1406"/>
      <c r="U46" s="1406" t="s">
        <v>271</v>
      </c>
      <c r="V46" s="1402" t="s">
        <v>137</v>
      </c>
      <c r="W46" s="2053" t="s">
        <v>149</v>
      </c>
      <c r="X46" s="2056" t="s">
        <v>139</v>
      </c>
      <c r="Y46" s="2065">
        <v>3.7168</v>
      </c>
      <c r="Z46" s="2066">
        <f t="shared" si="4"/>
        <v>2988.3072</v>
      </c>
      <c r="AA46" s="2068" t="s">
        <v>272</v>
      </c>
      <c r="AB46" s="2068">
        <v>804</v>
      </c>
      <c r="AC46" s="2068">
        <f t="shared" si="1"/>
        <v>0</v>
      </c>
      <c r="AD46" s="2069" t="s">
        <v>81</v>
      </c>
      <c r="AE46" s="2070" t="s">
        <v>63</v>
      </c>
      <c r="AF46" s="2070" t="s">
        <v>38</v>
      </c>
      <c r="AG46" s="2084"/>
      <c r="AH46" s="2042"/>
      <c r="AI46" s="2042"/>
      <c r="AJ46" s="2085">
        <f>J46</f>
        <v>804</v>
      </c>
      <c r="AK46" s="2086"/>
      <c r="AL46" s="2042">
        <f t="shared" si="14"/>
        <v>804</v>
      </c>
      <c r="AM46" s="2087"/>
      <c r="AN46" s="2086"/>
      <c r="AO46" s="2086"/>
      <c r="AP46" s="2086"/>
      <c r="AQ46" s="2086"/>
      <c r="AR46" s="2086"/>
      <c r="AS46" s="2089"/>
      <c r="AT46" s="2086"/>
      <c r="AU46" s="2086"/>
      <c r="AV46" s="2086"/>
      <c r="AW46" s="2042"/>
      <c r="AX46" s="2042"/>
      <c r="AY46" s="2042">
        <f>J46</f>
        <v>804</v>
      </c>
      <c r="AZ46" s="2093"/>
      <c r="BA46" s="2042"/>
      <c r="BB46" s="2042"/>
      <c r="BC46" s="2042"/>
      <c r="BD46" s="2094">
        <f t="shared" si="11"/>
        <v>804</v>
      </c>
      <c r="BE46" s="2094">
        <f t="shared" si="12"/>
        <v>0</v>
      </c>
    </row>
    <row r="47" s="1988" customFormat="1" ht="38" customHeight="1" spans="1:57">
      <c r="A47" s="2018">
        <v>45586</v>
      </c>
      <c r="B47" s="2019" t="s">
        <v>133</v>
      </c>
      <c r="C47" s="1989" t="s">
        <v>91</v>
      </c>
      <c r="D47" s="2020">
        <v>4500147799</v>
      </c>
      <c r="E47" s="2021" t="s">
        <v>274</v>
      </c>
      <c r="F47" s="2019" t="s">
        <v>275</v>
      </c>
      <c r="G47" s="2024" t="s">
        <v>64</v>
      </c>
      <c r="H47" s="2023" t="s">
        <v>64</v>
      </c>
      <c r="I47" s="2036" t="s">
        <v>65</v>
      </c>
      <c r="J47" s="1989">
        <v>600</v>
      </c>
      <c r="K47" s="2037">
        <v>0</v>
      </c>
      <c r="L47" s="2038">
        <v>12</v>
      </c>
      <c r="M47" s="2039">
        <f t="shared" si="0"/>
        <v>50</v>
      </c>
      <c r="N47" s="2040">
        <v>45677</v>
      </c>
      <c r="O47" s="2041">
        <v>45673</v>
      </c>
      <c r="P47" s="2042"/>
      <c r="Q47" s="1363" t="s">
        <v>56</v>
      </c>
      <c r="R47" s="1365" t="s">
        <v>276</v>
      </c>
      <c r="S47" s="1406" t="s">
        <v>270</v>
      </c>
      <c r="T47" s="1406"/>
      <c r="U47" s="1406" t="s">
        <v>271</v>
      </c>
      <c r="V47" s="1402" t="s">
        <v>137</v>
      </c>
      <c r="W47" s="2053" t="s">
        <v>149</v>
      </c>
      <c r="X47" s="2056" t="s">
        <v>139</v>
      </c>
      <c r="Y47" s="2065">
        <v>3.9468</v>
      </c>
      <c r="Z47" s="2066">
        <f t="shared" si="4"/>
        <v>2368.08</v>
      </c>
      <c r="AA47" s="2068" t="s">
        <v>277</v>
      </c>
      <c r="AB47" s="2068">
        <v>600</v>
      </c>
      <c r="AC47" s="2068">
        <f t="shared" si="1"/>
        <v>0</v>
      </c>
      <c r="AD47" s="2069" t="s">
        <v>81</v>
      </c>
      <c r="AE47" s="2070" t="s">
        <v>63</v>
      </c>
      <c r="AF47" s="2070" t="s">
        <v>38</v>
      </c>
      <c r="AG47" s="2084"/>
      <c r="AH47" s="2042"/>
      <c r="AI47" s="2042">
        <f>J47</f>
        <v>600</v>
      </c>
      <c r="AJ47" s="2085"/>
      <c r="AK47" s="2086"/>
      <c r="AL47" s="2042">
        <f t="shared" si="14"/>
        <v>600</v>
      </c>
      <c r="AM47" s="2087"/>
      <c r="AN47" s="2086"/>
      <c r="AO47" s="2086"/>
      <c r="AP47" s="2086"/>
      <c r="AQ47" s="2086"/>
      <c r="AR47" s="2086"/>
      <c r="AS47" s="2089"/>
      <c r="AT47" s="2086"/>
      <c r="AU47" s="2086"/>
      <c r="AV47" s="2086"/>
      <c r="AW47" s="2042"/>
      <c r="AX47" s="2042">
        <f>J47</f>
        <v>600</v>
      </c>
      <c r="AY47" s="2042"/>
      <c r="AZ47" s="2093"/>
      <c r="BA47" s="2042"/>
      <c r="BB47" s="2042"/>
      <c r="BC47" s="2042"/>
      <c r="BD47" s="2094">
        <f t="shared" si="11"/>
        <v>600</v>
      </c>
      <c r="BE47" s="2094">
        <f t="shared" si="12"/>
        <v>0</v>
      </c>
    </row>
    <row r="48" s="1988" customFormat="1" ht="38" customHeight="1" spans="1:57">
      <c r="A48" s="2018">
        <v>45586</v>
      </c>
      <c r="B48" s="2019" t="s">
        <v>133</v>
      </c>
      <c r="C48" s="1989" t="s">
        <v>91</v>
      </c>
      <c r="D48" s="2020">
        <v>4500147799</v>
      </c>
      <c r="E48" s="2021" t="s">
        <v>278</v>
      </c>
      <c r="F48" s="2019" t="s">
        <v>279</v>
      </c>
      <c r="G48" s="2022" t="s">
        <v>66</v>
      </c>
      <c r="H48" s="2023" t="s">
        <v>66</v>
      </c>
      <c r="I48" s="2036" t="s">
        <v>67</v>
      </c>
      <c r="J48" s="1989">
        <v>600</v>
      </c>
      <c r="K48" s="2037">
        <v>0</v>
      </c>
      <c r="L48" s="2038">
        <v>12</v>
      </c>
      <c r="M48" s="2039">
        <f t="shared" si="0"/>
        <v>50</v>
      </c>
      <c r="N48" s="2040">
        <v>45677</v>
      </c>
      <c r="O48" s="2041">
        <v>45673</v>
      </c>
      <c r="P48" s="2042"/>
      <c r="Q48" s="1363" t="s">
        <v>56</v>
      </c>
      <c r="R48" s="1365" t="s">
        <v>276</v>
      </c>
      <c r="S48" s="1406" t="s">
        <v>270</v>
      </c>
      <c r="T48" s="1406"/>
      <c r="U48" s="1406" t="s">
        <v>271</v>
      </c>
      <c r="V48" s="1402" t="s">
        <v>137</v>
      </c>
      <c r="W48" s="2053" t="s">
        <v>149</v>
      </c>
      <c r="X48" s="2056" t="s">
        <v>139</v>
      </c>
      <c r="Y48" s="2065">
        <v>3.6292</v>
      </c>
      <c r="Z48" s="2066">
        <f t="shared" si="4"/>
        <v>2177.52</v>
      </c>
      <c r="AA48" s="2068" t="s">
        <v>277</v>
      </c>
      <c r="AB48" s="2068">
        <v>600</v>
      </c>
      <c r="AC48" s="2068">
        <f t="shared" si="1"/>
        <v>0</v>
      </c>
      <c r="AD48" s="2069" t="s">
        <v>81</v>
      </c>
      <c r="AE48" s="2070" t="s">
        <v>63</v>
      </c>
      <c r="AF48" s="2070" t="s">
        <v>38</v>
      </c>
      <c r="AG48" s="2084"/>
      <c r="AH48" s="2042"/>
      <c r="AI48" s="2042"/>
      <c r="AJ48" s="2085">
        <f>J48</f>
        <v>600</v>
      </c>
      <c r="AK48" s="2086"/>
      <c r="AL48" s="2042">
        <f t="shared" si="14"/>
        <v>600</v>
      </c>
      <c r="AM48" s="2087"/>
      <c r="AN48" s="2086"/>
      <c r="AO48" s="2086"/>
      <c r="AP48" s="2086"/>
      <c r="AQ48" s="2086"/>
      <c r="AR48" s="2086"/>
      <c r="AS48" s="2089"/>
      <c r="AT48" s="2086"/>
      <c r="AU48" s="2086"/>
      <c r="AV48" s="2086"/>
      <c r="AW48" s="2042"/>
      <c r="AX48" s="2042"/>
      <c r="AY48" s="2042">
        <f>J48</f>
        <v>600</v>
      </c>
      <c r="AZ48" s="2093"/>
      <c r="BA48" s="2042"/>
      <c r="BB48" s="2042"/>
      <c r="BC48" s="2042"/>
      <c r="BD48" s="2094">
        <f t="shared" si="11"/>
        <v>600</v>
      </c>
      <c r="BE48" s="2094">
        <f t="shared" si="12"/>
        <v>0</v>
      </c>
    </row>
    <row r="49" s="1988" customFormat="1" ht="38" customHeight="1" spans="1:57">
      <c r="A49" s="2018">
        <v>45615</v>
      </c>
      <c r="B49" s="2019" t="s">
        <v>230</v>
      </c>
      <c r="C49" s="1989" t="s">
        <v>91</v>
      </c>
      <c r="D49" s="2020">
        <v>4500151489</v>
      </c>
      <c r="E49" s="2021">
        <v>60188340</v>
      </c>
      <c r="F49" s="2019" t="s">
        <v>280</v>
      </c>
      <c r="G49" s="2021" t="s">
        <v>54</v>
      </c>
      <c r="H49" s="2024" t="s">
        <v>54</v>
      </c>
      <c r="I49" s="2036" t="s">
        <v>55</v>
      </c>
      <c r="J49" s="1989">
        <v>3096</v>
      </c>
      <c r="K49" s="2037">
        <v>0</v>
      </c>
      <c r="L49" s="2038">
        <v>12</v>
      </c>
      <c r="M49" s="2039">
        <f t="shared" si="0"/>
        <v>258</v>
      </c>
      <c r="N49" s="2040">
        <v>45695</v>
      </c>
      <c r="O49" s="2041">
        <v>45691</v>
      </c>
      <c r="P49" s="2042"/>
      <c r="Q49" s="1363" t="s">
        <v>56</v>
      </c>
      <c r="R49" s="1365" t="s">
        <v>281</v>
      </c>
      <c r="S49" s="1406" t="s">
        <v>282</v>
      </c>
      <c r="T49" s="1406"/>
      <c r="U49" s="1406" t="s">
        <v>283</v>
      </c>
      <c r="V49" s="1402" t="s">
        <v>235</v>
      </c>
      <c r="W49" s="2053" t="s">
        <v>284</v>
      </c>
      <c r="X49" s="2053" t="s">
        <v>237</v>
      </c>
      <c r="Y49" s="2065">
        <v>3.2611</v>
      </c>
      <c r="Z49" s="2066">
        <f t="shared" si="4"/>
        <v>10096.3656</v>
      </c>
      <c r="AA49" s="2068" t="s">
        <v>285</v>
      </c>
      <c r="AB49" s="2068">
        <f>288+612+2196</f>
        <v>3096</v>
      </c>
      <c r="AC49" s="2068">
        <f t="shared" si="1"/>
        <v>0</v>
      </c>
      <c r="AD49" s="2069" t="s">
        <v>81</v>
      </c>
      <c r="AE49" s="2070" t="s">
        <v>63</v>
      </c>
      <c r="AF49" s="2070" t="s">
        <v>38</v>
      </c>
      <c r="AG49" s="2084"/>
      <c r="AH49" s="2073">
        <f>J49</f>
        <v>3096</v>
      </c>
      <c r="AI49" s="2042"/>
      <c r="AJ49" s="2085"/>
      <c r="AK49" s="2086"/>
      <c r="AL49" s="2042">
        <f t="shared" si="14"/>
        <v>3096</v>
      </c>
      <c r="AM49" s="2087"/>
      <c r="AN49" s="2086"/>
      <c r="AO49" s="2086"/>
      <c r="AP49" s="2086"/>
      <c r="AQ49" s="2086"/>
      <c r="AR49" s="2086"/>
      <c r="AS49" s="2089"/>
      <c r="AT49" s="2086"/>
      <c r="AU49" s="2086"/>
      <c r="AV49" s="2086"/>
      <c r="AW49" s="2042">
        <f>J49</f>
        <v>3096</v>
      </c>
      <c r="AX49" s="2042"/>
      <c r="AY49" s="2042"/>
      <c r="AZ49" s="2093"/>
      <c r="BA49" s="2042"/>
      <c r="BB49" s="2042"/>
      <c r="BC49" s="2042"/>
      <c r="BD49" s="2094">
        <f t="shared" si="11"/>
        <v>3096</v>
      </c>
      <c r="BE49" s="2094">
        <f t="shared" si="12"/>
        <v>0</v>
      </c>
    </row>
    <row r="50" s="1988" customFormat="1" ht="38" customHeight="1" spans="1:57">
      <c r="A50" s="2018">
        <v>45615</v>
      </c>
      <c r="B50" s="2019" t="s">
        <v>230</v>
      </c>
      <c r="C50" s="1989" t="s">
        <v>91</v>
      </c>
      <c r="D50" s="2020">
        <v>4500151489</v>
      </c>
      <c r="E50" s="2021">
        <v>60188340</v>
      </c>
      <c r="F50" s="2019" t="s">
        <v>286</v>
      </c>
      <c r="G50" s="2021" t="s">
        <v>66</v>
      </c>
      <c r="H50" s="2024" t="s">
        <v>66</v>
      </c>
      <c r="I50" s="2036" t="s">
        <v>67</v>
      </c>
      <c r="J50" s="1989">
        <v>1548</v>
      </c>
      <c r="K50" s="2037">
        <v>0</v>
      </c>
      <c r="L50" s="2038">
        <v>12</v>
      </c>
      <c r="M50" s="2039">
        <f t="shared" si="0"/>
        <v>129</v>
      </c>
      <c r="N50" s="2040">
        <v>45695</v>
      </c>
      <c r="O50" s="2041">
        <v>45691</v>
      </c>
      <c r="P50" s="2042"/>
      <c r="Q50" s="1363" t="s">
        <v>56</v>
      </c>
      <c r="R50" s="1365" t="s">
        <v>281</v>
      </c>
      <c r="S50" s="1406" t="s">
        <v>282</v>
      </c>
      <c r="T50" s="1406"/>
      <c r="U50" s="1406" t="s">
        <v>283</v>
      </c>
      <c r="V50" s="1402" t="s">
        <v>235</v>
      </c>
      <c r="W50" s="2053" t="s">
        <v>284</v>
      </c>
      <c r="X50" s="2053" t="s">
        <v>237</v>
      </c>
      <c r="Y50" s="2065">
        <v>3.6292</v>
      </c>
      <c r="Z50" s="2066">
        <f t="shared" si="4"/>
        <v>5618.0016</v>
      </c>
      <c r="AA50" s="2068" t="s">
        <v>285</v>
      </c>
      <c r="AB50" s="2068">
        <v>1548</v>
      </c>
      <c r="AC50" s="2068">
        <f t="shared" si="1"/>
        <v>0</v>
      </c>
      <c r="AD50" s="2069" t="s">
        <v>81</v>
      </c>
      <c r="AE50" s="2070" t="s">
        <v>63</v>
      </c>
      <c r="AF50" s="2070" t="s">
        <v>38</v>
      </c>
      <c r="AG50" s="2084"/>
      <c r="AH50" s="2073"/>
      <c r="AI50" s="2042"/>
      <c r="AJ50" s="2085">
        <f>J50</f>
        <v>1548</v>
      </c>
      <c r="AK50" s="2086"/>
      <c r="AL50" s="2042">
        <f t="shared" si="14"/>
        <v>1548</v>
      </c>
      <c r="AM50" s="2087"/>
      <c r="AN50" s="2086"/>
      <c r="AO50" s="2086"/>
      <c r="AP50" s="2086"/>
      <c r="AQ50" s="2086"/>
      <c r="AR50" s="2086"/>
      <c r="AS50" s="2089"/>
      <c r="AT50" s="2086"/>
      <c r="AU50" s="2086"/>
      <c r="AV50" s="2086"/>
      <c r="AW50" s="2042"/>
      <c r="AX50" s="2042"/>
      <c r="AY50" s="2042">
        <f>J50</f>
        <v>1548</v>
      </c>
      <c r="AZ50" s="2093"/>
      <c r="BA50" s="2042"/>
      <c r="BB50" s="2042"/>
      <c r="BC50" s="2042"/>
      <c r="BD50" s="2094">
        <f t="shared" si="11"/>
        <v>1548</v>
      </c>
      <c r="BE50" s="2094">
        <f t="shared" si="12"/>
        <v>0</v>
      </c>
    </row>
    <row r="51" s="1988" customFormat="1" ht="36" customHeight="1" spans="1:57">
      <c r="A51" s="2018">
        <v>45586</v>
      </c>
      <c r="B51" s="2019" t="s">
        <v>133</v>
      </c>
      <c r="C51" s="1723" t="s">
        <v>91</v>
      </c>
      <c r="D51" s="2020">
        <v>4500147806</v>
      </c>
      <c r="E51" s="2021" t="s">
        <v>268</v>
      </c>
      <c r="F51" s="2019" t="s">
        <v>287</v>
      </c>
      <c r="G51" s="2024" t="s">
        <v>64</v>
      </c>
      <c r="H51" s="2023" t="s">
        <v>64</v>
      </c>
      <c r="I51" s="2036" t="s">
        <v>65</v>
      </c>
      <c r="J51" s="1989">
        <v>804</v>
      </c>
      <c r="K51" s="2037">
        <v>0</v>
      </c>
      <c r="L51" s="2038">
        <v>12</v>
      </c>
      <c r="M51" s="2039">
        <f t="shared" si="0"/>
        <v>67</v>
      </c>
      <c r="N51" s="2040">
        <v>45698</v>
      </c>
      <c r="O51" s="2040">
        <v>45694</v>
      </c>
      <c r="P51" s="2042"/>
      <c r="Q51" s="1363" t="s">
        <v>56</v>
      </c>
      <c r="R51" s="1363" t="s">
        <v>288</v>
      </c>
      <c r="S51" s="1406" t="s">
        <v>270</v>
      </c>
      <c r="T51" s="1406"/>
      <c r="U51" s="1406" t="s">
        <v>271</v>
      </c>
      <c r="V51" s="1402" t="s">
        <v>137</v>
      </c>
      <c r="W51" s="2055" t="s">
        <v>149</v>
      </c>
      <c r="X51" s="2056" t="s">
        <v>139</v>
      </c>
      <c r="Y51" s="2065">
        <v>4.0344</v>
      </c>
      <c r="Z51" s="2066">
        <f t="shared" si="4"/>
        <v>3243.6576</v>
      </c>
      <c r="AA51" s="2068" t="s">
        <v>289</v>
      </c>
      <c r="AB51" s="2068">
        <v>804</v>
      </c>
      <c r="AC51" s="2068">
        <f t="shared" si="1"/>
        <v>0</v>
      </c>
      <c r="AD51" s="2069" t="s">
        <v>81</v>
      </c>
      <c r="AE51" s="2070" t="s">
        <v>63</v>
      </c>
      <c r="AF51" s="2070" t="s">
        <v>38</v>
      </c>
      <c r="AG51" s="2084"/>
      <c r="AH51" s="2042"/>
      <c r="AI51" s="2042">
        <f>J51</f>
        <v>804</v>
      </c>
      <c r="AJ51" s="2085"/>
      <c r="AK51" s="2086"/>
      <c r="AL51" s="2042">
        <f t="shared" si="14"/>
        <v>804</v>
      </c>
      <c r="AM51" s="2087"/>
      <c r="AN51" s="2086"/>
      <c r="AO51" s="2086"/>
      <c r="AP51" s="2086"/>
      <c r="AQ51" s="2086"/>
      <c r="AR51" s="2086"/>
      <c r="AS51" s="2089"/>
      <c r="AT51" s="2086"/>
      <c r="AU51" s="2086"/>
      <c r="AV51" s="2086"/>
      <c r="AW51" s="2042"/>
      <c r="AX51" s="2042">
        <f>J51</f>
        <v>804</v>
      </c>
      <c r="AY51" s="2042"/>
      <c r="AZ51" s="2093"/>
      <c r="BA51" s="2042"/>
      <c r="BB51" s="2042"/>
      <c r="BC51" s="2042"/>
      <c r="BD51" s="2094">
        <f t="shared" si="11"/>
        <v>804</v>
      </c>
      <c r="BE51" s="2094">
        <f t="shared" si="12"/>
        <v>0</v>
      </c>
    </row>
    <row r="52" s="1988" customFormat="1" ht="36" customHeight="1" spans="1:57">
      <c r="A52" s="2018">
        <v>45586</v>
      </c>
      <c r="B52" s="2019" t="s">
        <v>133</v>
      </c>
      <c r="C52" s="1723" t="s">
        <v>91</v>
      </c>
      <c r="D52" s="2020">
        <v>4500147804</v>
      </c>
      <c r="E52" s="2021" t="s">
        <v>274</v>
      </c>
      <c r="F52" s="2019" t="s">
        <v>290</v>
      </c>
      <c r="G52" s="2024" t="s">
        <v>64</v>
      </c>
      <c r="H52" s="2023" t="s">
        <v>64</v>
      </c>
      <c r="I52" s="2036" t="s">
        <v>65</v>
      </c>
      <c r="J52" s="1989">
        <v>600</v>
      </c>
      <c r="K52" s="2037">
        <v>0</v>
      </c>
      <c r="L52" s="2038">
        <v>12</v>
      </c>
      <c r="M52" s="2039">
        <f t="shared" si="0"/>
        <v>50</v>
      </c>
      <c r="N52" s="2040">
        <v>45698</v>
      </c>
      <c r="O52" s="2040">
        <v>45694</v>
      </c>
      <c r="P52" s="2042"/>
      <c r="Q52" s="1363" t="s">
        <v>56</v>
      </c>
      <c r="R52" s="1363" t="s">
        <v>248</v>
      </c>
      <c r="S52" s="1406" t="s">
        <v>270</v>
      </c>
      <c r="T52" s="1406"/>
      <c r="U52" s="1406" t="s">
        <v>271</v>
      </c>
      <c r="V52" s="1402" t="s">
        <v>137</v>
      </c>
      <c r="W52" s="2055" t="s">
        <v>149</v>
      </c>
      <c r="X52" s="2056" t="s">
        <v>139</v>
      </c>
      <c r="Y52" s="2065">
        <v>4.0344</v>
      </c>
      <c r="Z52" s="2066">
        <f t="shared" si="4"/>
        <v>2420.64</v>
      </c>
      <c r="AA52" s="2068" t="s">
        <v>291</v>
      </c>
      <c r="AB52" s="2068">
        <v>600</v>
      </c>
      <c r="AC52" s="2068">
        <f t="shared" si="1"/>
        <v>0</v>
      </c>
      <c r="AD52" s="2069" t="s">
        <v>81</v>
      </c>
      <c r="AE52" s="2070" t="s">
        <v>63</v>
      </c>
      <c r="AF52" s="2070" t="s">
        <v>38</v>
      </c>
      <c r="AG52" s="2084"/>
      <c r="AH52" s="2042"/>
      <c r="AI52" s="2042">
        <f>J52</f>
        <v>600</v>
      </c>
      <c r="AJ52" s="2085"/>
      <c r="AK52" s="2086"/>
      <c r="AL52" s="2042">
        <f t="shared" si="14"/>
        <v>600</v>
      </c>
      <c r="AM52" s="2087"/>
      <c r="AN52" s="2086"/>
      <c r="AO52" s="2086"/>
      <c r="AP52" s="2086"/>
      <c r="AQ52" s="2086"/>
      <c r="AR52" s="2086"/>
      <c r="AS52" s="2089"/>
      <c r="AT52" s="2086"/>
      <c r="AU52" s="2086"/>
      <c r="AV52" s="2086"/>
      <c r="AW52" s="2042"/>
      <c r="AX52" s="2042">
        <f>J52</f>
        <v>600</v>
      </c>
      <c r="AY52" s="2042"/>
      <c r="AZ52" s="2093"/>
      <c r="BA52" s="2042"/>
      <c r="BB52" s="2042"/>
      <c r="BC52" s="2042"/>
      <c r="BD52" s="2094">
        <f t="shared" si="11"/>
        <v>600</v>
      </c>
      <c r="BE52" s="2094">
        <f t="shared" si="12"/>
        <v>0</v>
      </c>
    </row>
    <row r="53" s="1988" customFormat="1" ht="36" customHeight="1" spans="1:57">
      <c r="A53" s="2018">
        <v>45624</v>
      </c>
      <c r="B53" s="2019" t="s">
        <v>90</v>
      </c>
      <c r="C53" s="1723" t="s">
        <v>91</v>
      </c>
      <c r="D53" s="2020">
        <v>4500152369</v>
      </c>
      <c r="E53" s="2324" t="s">
        <v>292</v>
      </c>
      <c r="F53" s="2019" t="s">
        <v>293</v>
      </c>
      <c r="G53" s="2019" t="s">
        <v>94</v>
      </c>
      <c r="H53" s="2023" t="s">
        <v>94</v>
      </c>
      <c r="I53" s="2036" t="s">
        <v>55</v>
      </c>
      <c r="J53" s="2044">
        <v>1222</v>
      </c>
      <c r="K53" s="2037">
        <v>0</v>
      </c>
      <c r="L53" s="2038">
        <v>2</v>
      </c>
      <c r="M53" s="2039">
        <f t="shared" si="0"/>
        <v>611</v>
      </c>
      <c r="N53" s="2040">
        <v>45698</v>
      </c>
      <c r="O53" s="2040">
        <v>45694</v>
      </c>
      <c r="P53" s="2042" t="s">
        <v>294</v>
      </c>
      <c r="Q53" s="1363" t="s">
        <v>56</v>
      </c>
      <c r="R53" s="1363" t="s">
        <v>248</v>
      </c>
      <c r="S53" s="1406" t="s">
        <v>97</v>
      </c>
      <c r="T53" s="1406"/>
      <c r="U53" s="1406" t="s">
        <v>144</v>
      </c>
      <c r="V53" s="1402" t="s">
        <v>99</v>
      </c>
      <c r="W53" s="2055" t="s">
        <v>171</v>
      </c>
      <c r="X53" s="2056" t="s">
        <v>101</v>
      </c>
      <c r="Y53" s="2065">
        <v>3.7145</v>
      </c>
      <c r="Z53" s="2066">
        <f t="shared" si="4"/>
        <v>4539.119</v>
      </c>
      <c r="AA53" s="2068" t="s">
        <v>295</v>
      </c>
      <c r="AB53" s="2068">
        <v>1222</v>
      </c>
      <c r="AC53" s="2068">
        <f t="shared" si="1"/>
        <v>0</v>
      </c>
      <c r="AD53" s="2069" t="s">
        <v>81</v>
      </c>
      <c r="AE53" s="2070" t="s">
        <v>63</v>
      </c>
      <c r="AF53" s="2070" t="s">
        <v>38</v>
      </c>
      <c r="AG53" s="2084"/>
      <c r="AH53" s="2073">
        <f t="shared" ref="AH53:AH58" si="15">J53</f>
        <v>1222</v>
      </c>
      <c r="AI53" s="2042"/>
      <c r="AJ53" s="2085"/>
      <c r="AK53" s="2086"/>
      <c r="AL53" s="2042">
        <f t="shared" si="14"/>
        <v>1222</v>
      </c>
      <c r="AM53" s="2087"/>
      <c r="AN53" s="2086"/>
      <c r="AO53" s="2086"/>
      <c r="AP53" s="2086"/>
      <c r="AQ53" s="2086"/>
      <c r="AR53" s="2086"/>
      <c r="AS53" s="2089"/>
      <c r="AT53" s="2086"/>
      <c r="AU53" s="2086"/>
      <c r="AV53" s="2086"/>
      <c r="AW53" s="2042"/>
      <c r="AX53" s="2042"/>
      <c r="AY53" s="2042"/>
      <c r="AZ53" s="2093"/>
      <c r="BA53" s="2042">
        <f t="shared" ref="BA53:BA58" si="16">J53</f>
        <v>1222</v>
      </c>
      <c r="BB53" s="2042"/>
      <c r="BC53" s="2042"/>
      <c r="BD53" s="2094">
        <f t="shared" si="11"/>
        <v>1222</v>
      </c>
      <c r="BE53" s="2094">
        <f t="shared" si="12"/>
        <v>0</v>
      </c>
    </row>
    <row r="54" s="1988" customFormat="1" ht="36" customHeight="1" spans="1:57">
      <c r="A54" s="2018">
        <v>45624</v>
      </c>
      <c r="B54" s="2019" t="s">
        <v>90</v>
      </c>
      <c r="C54" s="1723" t="s">
        <v>91</v>
      </c>
      <c r="D54" s="2020">
        <v>4500152846</v>
      </c>
      <c r="E54" s="2324" t="s">
        <v>296</v>
      </c>
      <c r="F54" s="2019" t="s">
        <v>297</v>
      </c>
      <c r="G54" s="2019" t="s">
        <v>94</v>
      </c>
      <c r="H54" s="2023" t="s">
        <v>94</v>
      </c>
      <c r="I54" s="2036" t="s">
        <v>55</v>
      </c>
      <c r="J54" s="2044">
        <v>4118</v>
      </c>
      <c r="K54" s="2037">
        <v>0</v>
      </c>
      <c r="L54" s="2038">
        <v>2</v>
      </c>
      <c r="M54" s="2039">
        <f t="shared" si="0"/>
        <v>2059</v>
      </c>
      <c r="N54" s="2040">
        <v>45698</v>
      </c>
      <c r="O54" s="2040">
        <v>45694</v>
      </c>
      <c r="P54" s="2042" t="s">
        <v>294</v>
      </c>
      <c r="Q54" s="1363" t="s">
        <v>56</v>
      </c>
      <c r="R54" s="1363" t="s">
        <v>298</v>
      </c>
      <c r="S54" s="1406" t="s">
        <v>97</v>
      </c>
      <c r="T54" s="1406"/>
      <c r="U54" s="1406" t="s">
        <v>144</v>
      </c>
      <c r="V54" s="1402" t="s">
        <v>99</v>
      </c>
      <c r="W54" s="2055" t="s">
        <v>299</v>
      </c>
      <c r="X54" s="2056" t="s">
        <v>101</v>
      </c>
      <c r="Y54" s="2065">
        <v>3.514</v>
      </c>
      <c r="Z54" s="2066">
        <f t="shared" si="4"/>
        <v>14470.652</v>
      </c>
      <c r="AA54" s="2068" t="s">
        <v>300</v>
      </c>
      <c r="AB54" s="2068">
        <f>2800+1318</f>
        <v>4118</v>
      </c>
      <c r="AC54" s="2068">
        <f t="shared" si="1"/>
        <v>0</v>
      </c>
      <c r="AD54" s="2069" t="s">
        <v>81</v>
      </c>
      <c r="AE54" s="2070" t="s">
        <v>63</v>
      </c>
      <c r="AF54" s="2070" t="s">
        <v>38</v>
      </c>
      <c r="AG54" s="2084"/>
      <c r="AH54" s="2073">
        <f t="shared" si="15"/>
        <v>4118</v>
      </c>
      <c r="AI54" s="2042"/>
      <c r="AJ54" s="2085"/>
      <c r="AK54" s="2086"/>
      <c r="AL54" s="2042">
        <f t="shared" si="14"/>
        <v>4118</v>
      </c>
      <c r="AM54" s="2087"/>
      <c r="AN54" s="2086"/>
      <c r="AO54" s="2086"/>
      <c r="AP54" s="2086"/>
      <c r="AQ54" s="2086"/>
      <c r="AR54" s="2086"/>
      <c r="AS54" s="2089"/>
      <c r="AT54" s="2086"/>
      <c r="AU54" s="2086"/>
      <c r="AV54" s="2086"/>
      <c r="AW54" s="2042"/>
      <c r="AX54" s="2042"/>
      <c r="AY54" s="2042"/>
      <c r="AZ54" s="2093"/>
      <c r="BA54" s="2042">
        <f t="shared" si="16"/>
        <v>4118</v>
      </c>
      <c r="BB54" s="2042"/>
      <c r="BC54" s="2042"/>
      <c r="BD54" s="2094">
        <f t="shared" si="11"/>
        <v>4118</v>
      </c>
      <c r="BE54" s="2094">
        <f t="shared" si="12"/>
        <v>0</v>
      </c>
    </row>
    <row r="55" s="1988" customFormat="1" ht="36" customHeight="1" spans="1:57">
      <c r="A55" s="2018">
        <v>45624</v>
      </c>
      <c r="B55" s="2019" t="s">
        <v>90</v>
      </c>
      <c r="C55" s="1723" t="s">
        <v>91</v>
      </c>
      <c r="D55" s="2020">
        <v>4500152370</v>
      </c>
      <c r="E55" s="2324" t="s">
        <v>301</v>
      </c>
      <c r="F55" s="2019" t="s">
        <v>302</v>
      </c>
      <c r="G55" s="2019" t="s">
        <v>94</v>
      </c>
      <c r="H55" s="2023" t="s">
        <v>94</v>
      </c>
      <c r="I55" s="2036" t="s">
        <v>55</v>
      </c>
      <c r="J55" s="2044">
        <v>1234</v>
      </c>
      <c r="K55" s="2037">
        <v>0</v>
      </c>
      <c r="L55" s="2038">
        <v>2</v>
      </c>
      <c r="M55" s="2039">
        <f t="shared" si="0"/>
        <v>617</v>
      </c>
      <c r="N55" s="2040">
        <v>45705</v>
      </c>
      <c r="O55" s="2040">
        <v>45701</v>
      </c>
      <c r="P55" s="2042" t="s">
        <v>303</v>
      </c>
      <c r="Q55" s="1363" t="s">
        <v>56</v>
      </c>
      <c r="R55" s="1363" t="s">
        <v>304</v>
      </c>
      <c r="S55" s="1406" t="s">
        <v>97</v>
      </c>
      <c r="T55" s="1406"/>
      <c r="U55" s="1406" t="s">
        <v>144</v>
      </c>
      <c r="V55" s="1402" t="s">
        <v>99</v>
      </c>
      <c r="W55" s="2055" t="s">
        <v>171</v>
      </c>
      <c r="X55" s="2056" t="s">
        <v>101</v>
      </c>
      <c r="Y55" s="2065">
        <v>3.7145</v>
      </c>
      <c r="Z55" s="2066">
        <f t="shared" si="4"/>
        <v>4583.693</v>
      </c>
      <c r="AA55" s="2068" t="s">
        <v>305</v>
      </c>
      <c r="AB55" s="2068">
        <v>1234</v>
      </c>
      <c r="AC55" s="2068">
        <f t="shared" si="1"/>
        <v>0</v>
      </c>
      <c r="AD55" s="2069" t="s">
        <v>81</v>
      </c>
      <c r="AE55" s="2070" t="s">
        <v>63</v>
      </c>
      <c r="AF55" s="2070" t="s">
        <v>38</v>
      </c>
      <c r="AG55" s="2084"/>
      <c r="AH55" s="2073">
        <f t="shared" si="15"/>
        <v>1234</v>
      </c>
      <c r="AI55" s="2042"/>
      <c r="AJ55" s="2085"/>
      <c r="AK55" s="2086"/>
      <c r="AL55" s="2042">
        <f t="shared" si="14"/>
        <v>1234</v>
      </c>
      <c r="AM55" s="2087"/>
      <c r="AN55" s="2086"/>
      <c r="AO55" s="2086"/>
      <c r="AP55" s="2086"/>
      <c r="AQ55" s="2086"/>
      <c r="AR55" s="2086"/>
      <c r="AS55" s="2089"/>
      <c r="AT55" s="2086"/>
      <c r="AU55" s="2086"/>
      <c r="AV55" s="2086"/>
      <c r="AW55" s="2042"/>
      <c r="AX55" s="2042"/>
      <c r="AY55" s="2042"/>
      <c r="AZ55" s="2093"/>
      <c r="BA55" s="2042">
        <f t="shared" si="16"/>
        <v>1234</v>
      </c>
      <c r="BB55" s="2042"/>
      <c r="BC55" s="2042"/>
      <c r="BD55" s="2094">
        <f t="shared" si="11"/>
        <v>1234</v>
      </c>
      <c r="BE55" s="2094">
        <f t="shared" si="12"/>
        <v>0</v>
      </c>
    </row>
    <row r="56" s="1988" customFormat="1" ht="36" customHeight="1" spans="1:57">
      <c r="A56" s="2018">
        <v>45624</v>
      </c>
      <c r="B56" s="2019" t="s">
        <v>90</v>
      </c>
      <c r="C56" s="1723" t="s">
        <v>91</v>
      </c>
      <c r="D56" s="2020">
        <v>4500152848</v>
      </c>
      <c r="E56" s="2324" t="s">
        <v>306</v>
      </c>
      <c r="F56" s="2019" t="s">
        <v>307</v>
      </c>
      <c r="G56" s="2019" t="s">
        <v>94</v>
      </c>
      <c r="H56" s="2023" t="s">
        <v>94</v>
      </c>
      <c r="I56" s="2036" t="s">
        <v>55</v>
      </c>
      <c r="J56" s="2044">
        <v>2434</v>
      </c>
      <c r="K56" s="2037">
        <v>0</v>
      </c>
      <c r="L56" s="2038">
        <v>2</v>
      </c>
      <c r="M56" s="2039">
        <f t="shared" si="0"/>
        <v>1217</v>
      </c>
      <c r="N56" s="2040">
        <v>45705</v>
      </c>
      <c r="O56" s="2040">
        <v>45701</v>
      </c>
      <c r="P56" s="2042" t="s">
        <v>308</v>
      </c>
      <c r="Q56" s="1363" t="s">
        <v>56</v>
      </c>
      <c r="R56" s="1363" t="s">
        <v>309</v>
      </c>
      <c r="S56" s="1406" t="s">
        <v>97</v>
      </c>
      <c r="T56" s="1406"/>
      <c r="U56" s="1406" t="s">
        <v>144</v>
      </c>
      <c r="V56" s="1402" t="s">
        <v>99</v>
      </c>
      <c r="W56" s="2055" t="s">
        <v>299</v>
      </c>
      <c r="X56" s="2056" t="s">
        <v>101</v>
      </c>
      <c r="Y56" s="2065">
        <v>3.6259</v>
      </c>
      <c r="Z56" s="2066">
        <f t="shared" si="4"/>
        <v>8825.4406</v>
      </c>
      <c r="AA56" s="2068" t="s">
        <v>310</v>
      </c>
      <c r="AB56" s="2068">
        <v>2434</v>
      </c>
      <c r="AC56" s="2068">
        <f t="shared" si="1"/>
        <v>0</v>
      </c>
      <c r="AD56" s="2069" t="s">
        <v>81</v>
      </c>
      <c r="AE56" s="2070" t="s">
        <v>63</v>
      </c>
      <c r="AF56" s="2070" t="s">
        <v>38</v>
      </c>
      <c r="AG56" s="2084"/>
      <c r="AH56" s="2073">
        <f t="shared" si="15"/>
        <v>2434</v>
      </c>
      <c r="AI56" s="2042"/>
      <c r="AJ56" s="2085"/>
      <c r="AK56" s="2086"/>
      <c r="AL56" s="2042">
        <f t="shared" si="14"/>
        <v>2434</v>
      </c>
      <c r="AM56" s="2087"/>
      <c r="AN56" s="2086"/>
      <c r="AO56" s="2086"/>
      <c r="AP56" s="2086"/>
      <c r="AQ56" s="2086"/>
      <c r="AR56" s="2086"/>
      <c r="AS56" s="2089"/>
      <c r="AT56" s="2086"/>
      <c r="AU56" s="2086"/>
      <c r="AV56" s="2086"/>
      <c r="AW56" s="2042"/>
      <c r="AX56" s="2042"/>
      <c r="AY56" s="2042"/>
      <c r="AZ56" s="2093"/>
      <c r="BA56" s="2042">
        <f t="shared" si="16"/>
        <v>2434</v>
      </c>
      <c r="BB56" s="2042"/>
      <c r="BC56" s="2042"/>
      <c r="BD56" s="2094">
        <f t="shared" si="11"/>
        <v>2434</v>
      </c>
      <c r="BE56" s="2094">
        <f t="shared" si="12"/>
        <v>0</v>
      </c>
    </row>
    <row r="57" s="1988" customFormat="1" ht="36" customHeight="1" spans="1:57">
      <c r="A57" s="2018">
        <v>45624</v>
      </c>
      <c r="B57" s="2019" t="s">
        <v>90</v>
      </c>
      <c r="C57" s="1723" t="s">
        <v>91</v>
      </c>
      <c r="D57" s="2020">
        <v>4500152847</v>
      </c>
      <c r="E57" s="2324" t="s">
        <v>311</v>
      </c>
      <c r="F57" s="2019" t="s">
        <v>312</v>
      </c>
      <c r="G57" s="2019" t="s">
        <v>94</v>
      </c>
      <c r="H57" s="2023" t="s">
        <v>94</v>
      </c>
      <c r="I57" s="2036" t="s">
        <v>55</v>
      </c>
      <c r="J57" s="2044">
        <v>3422</v>
      </c>
      <c r="K57" s="2037">
        <v>0</v>
      </c>
      <c r="L57" s="2038">
        <v>2</v>
      </c>
      <c r="M57" s="2039">
        <f t="shared" si="0"/>
        <v>1711</v>
      </c>
      <c r="N57" s="2040">
        <v>45705</v>
      </c>
      <c r="O57" s="2040">
        <v>45701</v>
      </c>
      <c r="P57" s="2042" t="s">
        <v>308</v>
      </c>
      <c r="Q57" s="1363" t="s">
        <v>56</v>
      </c>
      <c r="R57" s="1363" t="s">
        <v>313</v>
      </c>
      <c r="S57" s="1406" t="s">
        <v>97</v>
      </c>
      <c r="T57" s="1406"/>
      <c r="U57" s="1406" t="s">
        <v>144</v>
      </c>
      <c r="V57" s="1402" t="s">
        <v>99</v>
      </c>
      <c r="W57" s="2055" t="s">
        <v>299</v>
      </c>
      <c r="X57" s="2056" t="s">
        <v>101</v>
      </c>
      <c r="Y57" s="2065">
        <v>3.514</v>
      </c>
      <c r="Z57" s="2066">
        <f t="shared" si="4"/>
        <v>12024.908</v>
      </c>
      <c r="AA57" s="2068" t="s">
        <v>314</v>
      </c>
      <c r="AB57" s="2068">
        <v>3422</v>
      </c>
      <c r="AC57" s="2068">
        <f t="shared" si="1"/>
        <v>0</v>
      </c>
      <c r="AD57" s="2069" t="s">
        <v>81</v>
      </c>
      <c r="AE57" s="2070" t="s">
        <v>63</v>
      </c>
      <c r="AF57" s="2070" t="s">
        <v>38</v>
      </c>
      <c r="AG57" s="2084"/>
      <c r="AH57" s="2073">
        <f t="shared" si="15"/>
        <v>3422</v>
      </c>
      <c r="AI57" s="2042"/>
      <c r="AJ57" s="2085"/>
      <c r="AK57" s="2086"/>
      <c r="AL57" s="2042">
        <f t="shared" si="14"/>
        <v>3422</v>
      </c>
      <c r="AM57" s="2087"/>
      <c r="AN57" s="2086"/>
      <c r="AO57" s="2086"/>
      <c r="AP57" s="2086"/>
      <c r="AQ57" s="2086"/>
      <c r="AR57" s="2086"/>
      <c r="AS57" s="2089"/>
      <c r="AT57" s="2086"/>
      <c r="AU57" s="2086"/>
      <c r="AV57" s="2086"/>
      <c r="AW57" s="2042"/>
      <c r="AX57" s="2042"/>
      <c r="AY57" s="2042"/>
      <c r="AZ57" s="2093"/>
      <c r="BA57" s="2042">
        <f t="shared" si="16"/>
        <v>3422</v>
      </c>
      <c r="BB57" s="2042"/>
      <c r="BC57" s="2042"/>
      <c r="BD57" s="2094">
        <f t="shared" si="11"/>
        <v>3422</v>
      </c>
      <c r="BE57" s="2094">
        <f t="shared" si="12"/>
        <v>0</v>
      </c>
    </row>
    <row r="58" s="1988" customFormat="1" ht="36" customHeight="1" spans="1:57">
      <c r="A58" s="2018">
        <v>45624</v>
      </c>
      <c r="B58" s="2019" t="s">
        <v>90</v>
      </c>
      <c r="C58" s="1723" t="s">
        <v>91</v>
      </c>
      <c r="D58" s="2020">
        <v>4500152849</v>
      </c>
      <c r="E58" s="2324" t="s">
        <v>315</v>
      </c>
      <c r="F58" s="2019" t="s">
        <v>316</v>
      </c>
      <c r="G58" s="2019" t="s">
        <v>94</v>
      </c>
      <c r="H58" s="2023" t="s">
        <v>94</v>
      </c>
      <c r="I58" s="2036" t="s">
        <v>55</v>
      </c>
      <c r="J58" s="1989">
        <v>3116</v>
      </c>
      <c r="K58" s="2037">
        <v>0</v>
      </c>
      <c r="L58" s="2038">
        <v>2</v>
      </c>
      <c r="M58" s="2039">
        <f t="shared" si="0"/>
        <v>1558</v>
      </c>
      <c r="N58" s="2040">
        <v>45705</v>
      </c>
      <c r="O58" s="2040">
        <v>45701</v>
      </c>
      <c r="P58" s="2042" t="s">
        <v>308</v>
      </c>
      <c r="Q58" s="1363" t="s">
        <v>56</v>
      </c>
      <c r="R58" s="1363" t="s">
        <v>317</v>
      </c>
      <c r="S58" s="1406" t="s">
        <v>97</v>
      </c>
      <c r="T58" s="1406"/>
      <c r="U58" s="1406" t="s">
        <v>144</v>
      </c>
      <c r="V58" s="1402" t="s">
        <v>99</v>
      </c>
      <c r="W58" s="2055" t="s">
        <v>299</v>
      </c>
      <c r="X58" s="2056" t="s">
        <v>101</v>
      </c>
      <c r="Y58" s="2065">
        <v>3.514</v>
      </c>
      <c r="Z58" s="2066">
        <f t="shared" si="4"/>
        <v>10949.624</v>
      </c>
      <c r="AA58" s="2068" t="s">
        <v>318</v>
      </c>
      <c r="AB58" s="2068">
        <v>3116</v>
      </c>
      <c r="AC58" s="2068">
        <f t="shared" si="1"/>
        <v>0</v>
      </c>
      <c r="AD58" s="2069" t="s">
        <v>81</v>
      </c>
      <c r="AE58" s="2070" t="s">
        <v>63</v>
      </c>
      <c r="AF58" s="2070" t="s">
        <v>38</v>
      </c>
      <c r="AG58" s="2084"/>
      <c r="AH58" s="2073">
        <f t="shared" si="15"/>
        <v>3116</v>
      </c>
      <c r="AI58" s="2042"/>
      <c r="AJ58" s="2085"/>
      <c r="AK58" s="2086"/>
      <c r="AL58" s="2042">
        <f t="shared" si="14"/>
        <v>3116</v>
      </c>
      <c r="AM58" s="2087"/>
      <c r="AN58" s="2086"/>
      <c r="AO58" s="2086"/>
      <c r="AP58" s="2086"/>
      <c r="AQ58" s="2086"/>
      <c r="AR58" s="2086"/>
      <c r="AS58" s="2089"/>
      <c r="AT58" s="2086"/>
      <c r="AU58" s="2086"/>
      <c r="AV58" s="2086"/>
      <c r="AW58" s="2042"/>
      <c r="AX58" s="2042"/>
      <c r="AY58" s="2042"/>
      <c r="AZ58" s="2093"/>
      <c r="BA58" s="2042">
        <f t="shared" si="16"/>
        <v>3116</v>
      </c>
      <c r="BB58" s="2042"/>
      <c r="BC58" s="2042"/>
      <c r="BD58" s="2094">
        <f t="shared" si="11"/>
        <v>3116</v>
      </c>
      <c r="BE58" s="2094">
        <f t="shared" si="12"/>
        <v>0</v>
      </c>
    </row>
    <row r="59" s="1988" customFormat="1" ht="36" customHeight="1" spans="1:57">
      <c r="A59" s="2018">
        <v>45586</v>
      </c>
      <c r="B59" s="2019" t="s">
        <v>133</v>
      </c>
      <c r="C59" s="1723" t="s">
        <v>91</v>
      </c>
      <c r="D59" s="2020">
        <v>4500147806</v>
      </c>
      <c r="E59" s="2021" t="s">
        <v>268</v>
      </c>
      <c r="F59" s="2019" t="s">
        <v>319</v>
      </c>
      <c r="G59" s="2022" t="s">
        <v>66</v>
      </c>
      <c r="H59" s="2023" t="s">
        <v>66</v>
      </c>
      <c r="I59" s="2036" t="s">
        <v>67</v>
      </c>
      <c r="J59" s="1989">
        <v>804</v>
      </c>
      <c r="K59" s="2037">
        <v>0</v>
      </c>
      <c r="L59" s="2038">
        <v>12</v>
      </c>
      <c r="M59" s="2039">
        <f t="shared" si="0"/>
        <v>67</v>
      </c>
      <c r="N59" s="2040">
        <v>45698</v>
      </c>
      <c r="O59" s="2040">
        <v>45694</v>
      </c>
      <c r="P59" s="2042"/>
      <c r="Q59" s="1363" t="s">
        <v>56</v>
      </c>
      <c r="R59" s="1363" t="s">
        <v>288</v>
      </c>
      <c r="S59" s="1406" t="s">
        <v>270</v>
      </c>
      <c r="T59" s="1406"/>
      <c r="U59" s="1406" t="s">
        <v>271</v>
      </c>
      <c r="V59" s="1402" t="s">
        <v>137</v>
      </c>
      <c r="W59" s="2055" t="s">
        <v>149</v>
      </c>
      <c r="X59" s="2056" t="s">
        <v>139</v>
      </c>
      <c r="Y59" s="2065">
        <v>3.7168</v>
      </c>
      <c r="Z59" s="2066">
        <f t="shared" si="4"/>
        <v>2988.3072</v>
      </c>
      <c r="AA59" s="2068" t="s">
        <v>289</v>
      </c>
      <c r="AB59" s="2068">
        <v>804</v>
      </c>
      <c r="AC59" s="2068">
        <f t="shared" si="1"/>
        <v>0</v>
      </c>
      <c r="AD59" s="2069" t="s">
        <v>81</v>
      </c>
      <c r="AE59" s="2070" t="s">
        <v>63</v>
      </c>
      <c r="AF59" s="2070" t="s">
        <v>38</v>
      </c>
      <c r="AG59" s="2084"/>
      <c r="AH59" s="2042"/>
      <c r="AI59" s="2042"/>
      <c r="AJ59" s="2085">
        <f>J59</f>
        <v>804</v>
      </c>
      <c r="AK59" s="2086"/>
      <c r="AL59" s="2042">
        <f t="shared" si="14"/>
        <v>804</v>
      </c>
      <c r="AM59" s="2087"/>
      <c r="AN59" s="2086"/>
      <c r="AO59" s="2086"/>
      <c r="AP59" s="2086"/>
      <c r="AQ59" s="2086"/>
      <c r="AR59" s="2086"/>
      <c r="AS59" s="2089"/>
      <c r="AT59" s="2086"/>
      <c r="AU59" s="2086"/>
      <c r="AV59" s="2086"/>
      <c r="AW59" s="2042"/>
      <c r="AX59" s="2042"/>
      <c r="AY59" s="2042">
        <f>J59</f>
        <v>804</v>
      </c>
      <c r="AZ59" s="2093"/>
      <c r="BA59" s="2042"/>
      <c r="BB59" s="2042"/>
      <c r="BC59" s="2042"/>
      <c r="BD59" s="2094">
        <f t="shared" si="11"/>
        <v>804</v>
      </c>
      <c r="BE59" s="2094">
        <f t="shared" si="12"/>
        <v>0</v>
      </c>
    </row>
    <row r="60" s="1988" customFormat="1" ht="36" customHeight="1" spans="1:57">
      <c r="A60" s="2018">
        <v>45586</v>
      </c>
      <c r="B60" s="2019" t="s">
        <v>133</v>
      </c>
      <c r="C60" s="1723" t="s">
        <v>91</v>
      </c>
      <c r="D60" s="2020">
        <v>4500147804</v>
      </c>
      <c r="E60" s="2021" t="s">
        <v>278</v>
      </c>
      <c r="F60" s="2019" t="s">
        <v>320</v>
      </c>
      <c r="G60" s="2022" t="s">
        <v>66</v>
      </c>
      <c r="H60" s="2023" t="s">
        <v>66</v>
      </c>
      <c r="I60" s="2036" t="s">
        <v>67</v>
      </c>
      <c r="J60" s="1989">
        <v>600</v>
      </c>
      <c r="K60" s="2037">
        <v>0</v>
      </c>
      <c r="L60" s="2038">
        <v>12</v>
      </c>
      <c r="M60" s="2039">
        <f t="shared" si="0"/>
        <v>50</v>
      </c>
      <c r="N60" s="2040">
        <v>45698</v>
      </c>
      <c r="O60" s="2040">
        <v>45694</v>
      </c>
      <c r="P60" s="2042"/>
      <c r="Q60" s="1363" t="s">
        <v>56</v>
      </c>
      <c r="R60" s="1363" t="s">
        <v>248</v>
      </c>
      <c r="S60" s="1406" t="s">
        <v>270</v>
      </c>
      <c r="T60" s="1406"/>
      <c r="U60" s="1406" t="s">
        <v>271</v>
      </c>
      <c r="V60" s="1402" t="s">
        <v>137</v>
      </c>
      <c r="W60" s="2055" t="s">
        <v>149</v>
      </c>
      <c r="X60" s="2056" t="s">
        <v>139</v>
      </c>
      <c r="Y60" s="2065">
        <v>3.7168</v>
      </c>
      <c r="Z60" s="2066">
        <f t="shared" si="4"/>
        <v>2230.08</v>
      </c>
      <c r="AA60" s="2068" t="s">
        <v>291</v>
      </c>
      <c r="AB60" s="2068">
        <v>600</v>
      </c>
      <c r="AC60" s="2068">
        <f t="shared" si="1"/>
        <v>0</v>
      </c>
      <c r="AD60" s="2069" t="s">
        <v>81</v>
      </c>
      <c r="AE60" s="2070" t="s">
        <v>63</v>
      </c>
      <c r="AF60" s="2070" t="s">
        <v>38</v>
      </c>
      <c r="AG60" s="2084"/>
      <c r="AH60" s="2042"/>
      <c r="AI60" s="2042"/>
      <c r="AJ60" s="2085">
        <f>J60</f>
        <v>600</v>
      </c>
      <c r="AK60" s="2086"/>
      <c r="AL60" s="2042">
        <f t="shared" si="14"/>
        <v>600</v>
      </c>
      <c r="AM60" s="2087"/>
      <c r="AN60" s="2086"/>
      <c r="AO60" s="2086"/>
      <c r="AP60" s="2086"/>
      <c r="AQ60" s="2086"/>
      <c r="AR60" s="2086"/>
      <c r="AS60" s="2089"/>
      <c r="AT60" s="2086"/>
      <c r="AU60" s="2086"/>
      <c r="AV60" s="2086"/>
      <c r="AW60" s="2042"/>
      <c r="AX60" s="2042"/>
      <c r="AY60" s="2042">
        <f>J60</f>
        <v>600</v>
      </c>
      <c r="AZ60" s="2093"/>
      <c r="BA60" s="2042"/>
      <c r="BB60" s="2042"/>
      <c r="BC60" s="2042"/>
      <c r="BD60" s="2094">
        <f t="shared" si="11"/>
        <v>600</v>
      </c>
      <c r="BE60" s="2094">
        <f t="shared" si="12"/>
        <v>0</v>
      </c>
    </row>
    <row r="61" s="1988" customFormat="1" ht="36" customHeight="1" spans="1:57">
      <c r="A61" s="2018">
        <v>45659</v>
      </c>
      <c r="B61" s="2019" t="s">
        <v>133</v>
      </c>
      <c r="C61" s="1723" t="s">
        <v>91</v>
      </c>
      <c r="D61" s="2020">
        <v>4500155119</v>
      </c>
      <c r="E61" s="2021">
        <v>325570</v>
      </c>
      <c r="F61" s="2019" t="s">
        <v>321</v>
      </c>
      <c r="G61" s="2021" t="s">
        <v>54</v>
      </c>
      <c r="H61" s="2023" t="s">
        <v>54</v>
      </c>
      <c r="I61" s="2036" t="s">
        <v>55</v>
      </c>
      <c r="J61" s="1989">
        <v>2400</v>
      </c>
      <c r="K61" s="2037">
        <v>0</v>
      </c>
      <c r="L61" s="2038">
        <v>12</v>
      </c>
      <c r="M61" s="2039">
        <f t="shared" si="0"/>
        <v>200</v>
      </c>
      <c r="N61" s="2040">
        <v>45698</v>
      </c>
      <c r="O61" s="2040">
        <v>45694</v>
      </c>
      <c r="P61" s="2042"/>
      <c r="Q61" s="1363" t="s">
        <v>56</v>
      </c>
      <c r="R61" s="1363"/>
      <c r="S61" s="1406" t="s">
        <v>322</v>
      </c>
      <c r="T61" s="1406"/>
      <c r="U61" s="1406" t="s">
        <v>323</v>
      </c>
      <c r="V61" s="1402" t="s">
        <v>137</v>
      </c>
      <c r="W61" s="2057" t="s">
        <v>324</v>
      </c>
      <c r="X61" s="2056" t="s">
        <v>325</v>
      </c>
      <c r="Y61" s="2065">
        <v>3.373</v>
      </c>
      <c r="Z61" s="2066">
        <f t="shared" si="4"/>
        <v>8095.2</v>
      </c>
      <c r="AA61" s="2068" t="s">
        <v>326</v>
      </c>
      <c r="AB61" s="2068">
        <v>2400</v>
      </c>
      <c r="AC61" s="2068">
        <f t="shared" si="1"/>
        <v>0</v>
      </c>
      <c r="AD61" s="2069" t="s">
        <v>327</v>
      </c>
      <c r="AE61" s="2070" t="s">
        <v>63</v>
      </c>
      <c r="AF61" s="2070" t="s">
        <v>38</v>
      </c>
      <c r="AG61" s="2084"/>
      <c r="AH61" s="2073">
        <f t="shared" ref="AH59:AH66" si="17">J61</f>
        <v>2400</v>
      </c>
      <c r="AI61" s="2042"/>
      <c r="AJ61" s="2085"/>
      <c r="AK61" s="2086"/>
      <c r="AL61" s="2042">
        <f t="shared" si="14"/>
        <v>2400</v>
      </c>
      <c r="AM61" s="2087"/>
      <c r="AN61" s="2086"/>
      <c r="AO61" s="2086"/>
      <c r="AP61" s="2086"/>
      <c r="AQ61" s="2086"/>
      <c r="AR61" s="2086"/>
      <c r="AS61" s="2089"/>
      <c r="AT61" s="2086"/>
      <c r="AU61" s="2086"/>
      <c r="AV61" s="2086"/>
      <c r="AW61" s="2042">
        <f t="shared" ref="AW61:AW66" si="18">J61</f>
        <v>2400</v>
      </c>
      <c r="AX61" s="2042"/>
      <c r="AY61" s="2042"/>
      <c r="AZ61" s="2093"/>
      <c r="BA61" s="2042"/>
      <c r="BB61" s="2042"/>
      <c r="BC61" s="2042"/>
      <c r="BD61" s="2094">
        <f t="shared" si="11"/>
        <v>2400</v>
      </c>
      <c r="BE61" s="2094">
        <f t="shared" si="12"/>
        <v>0</v>
      </c>
    </row>
    <row r="62" s="1988" customFormat="1" ht="36" customHeight="1" spans="1:57">
      <c r="A62" s="2018">
        <v>45659</v>
      </c>
      <c r="B62" s="2019" t="s">
        <v>133</v>
      </c>
      <c r="C62" s="1723" t="s">
        <v>91</v>
      </c>
      <c r="D62" s="2020">
        <v>4500155120</v>
      </c>
      <c r="E62" s="2021" t="s">
        <v>328</v>
      </c>
      <c r="F62" s="2019" t="s">
        <v>329</v>
      </c>
      <c r="G62" s="2021" t="s">
        <v>54</v>
      </c>
      <c r="H62" s="2023" t="s">
        <v>54</v>
      </c>
      <c r="I62" s="2036" t="s">
        <v>55</v>
      </c>
      <c r="J62" s="1989">
        <v>2796</v>
      </c>
      <c r="K62" s="2037">
        <v>0</v>
      </c>
      <c r="L62" s="2038">
        <v>12</v>
      </c>
      <c r="M62" s="2039">
        <f t="shared" si="0"/>
        <v>233</v>
      </c>
      <c r="N62" s="2040">
        <v>45698</v>
      </c>
      <c r="O62" s="2040">
        <v>45694</v>
      </c>
      <c r="P62" s="2042"/>
      <c r="Q62" s="1363" t="s">
        <v>56</v>
      </c>
      <c r="R62" s="1363" t="s">
        <v>288</v>
      </c>
      <c r="S62" s="1406" t="s">
        <v>322</v>
      </c>
      <c r="T62" s="1406"/>
      <c r="U62" s="1406" t="s">
        <v>323</v>
      </c>
      <c r="V62" s="1402" t="s">
        <v>137</v>
      </c>
      <c r="W62" s="2053" t="s">
        <v>330</v>
      </c>
      <c r="X62" s="2056" t="s">
        <v>325</v>
      </c>
      <c r="Y62" s="2065">
        <v>3.373</v>
      </c>
      <c r="Z62" s="2066">
        <f t="shared" si="4"/>
        <v>9430.908</v>
      </c>
      <c r="AA62" s="2068" t="s">
        <v>331</v>
      </c>
      <c r="AB62" s="2068">
        <v>2796</v>
      </c>
      <c r="AC62" s="2068">
        <f t="shared" si="1"/>
        <v>0</v>
      </c>
      <c r="AD62" s="2069" t="s">
        <v>327</v>
      </c>
      <c r="AE62" s="2070" t="s">
        <v>63</v>
      </c>
      <c r="AF62" s="2070" t="s">
        <v>38</v>
      </c>
      <c r="AG62" s="2084"/>
      <c r="AH62" s="2073">
        <f t="shared" si="17"/>
        <v>2796</v>
      </c>
      <c r="AI62" s="2042"/>
      <c r="AJ62" s="2085"/>
      <c r="AK62" s="2086"/>
      <c r="AL62" s="2042">
        <f t="shared" si="14"/>
        <v>2796</v>
      </c>
      <c r="AM62" s="2087"/>
      <c r="AN62" s="2086"/>
      <c r="AO62" s="2086"/>
      <c r="AP62" s="2086"/>
      <c r="AQ62" s="2086"/>
      <c r="AR62" s="2086"/>
      <c r="AS62" s="2089"/>
      <c r="AT62" s="2086"/>
      <c r="AU62" s="2086"/>
      <c r="AV62" s="2086"/>
      <c r="AW62" s="2042">
        <f t="shared" si="18"/>
        <v>2796</v>
      </c>
      <c r="AX62" s="2042"/>
      <c r="AY62" s="2042"/>
      <c r="AZ62" s="2093"/>
      <c r="BA62" s="2042"/>
      <c r="BB62" s="2042"/>
      <c r="BC62" s="2042"/>
      <c r="BD62" s="2094">
        <f t="shared" si="11"/>
        <v>2796</v>
      </c>
      <c r="BE62" s="2094">
        <f t="shared" si="12"/>
        <v>0</v>
      </c>
    </row>
    <row r="63" s="1988" customFormat="1" ht="36" customHeight="1" spans="1:57">
      <c r="A63" s="2018">
        <v>45624</v>
      </c>
      <c r="B63" s="2019" t="s">
        <v>177</v>
      </c>
      <c r="C63" s="1723" t="s">
        <v>123</v>
      </c>
      <c r="D63" s="2020">
        <v>4500152768</v>
      </c>
      <c r="E63" s="2021">
        <v>4400450816</v>
      </c>
      <c r="F63" s="2019" t="s">
        <v>332</v>
      </c>
      <c r="G63" s="2023" t="s">
        <v>125</v>
      </c>
      <c r="H63" s="2023" t="s">
        <v>54</v>
      </c>
      <c r="I63" s="2036" t="s">
        <v>55</v>
      </c>
      <c r="J63" s="2044">
        <v>708</v>
      </c>
      <c r="K63" s="2037">
        <v>0</v>
      </c>
      <c r="L63" s="2038">
        <v>12</v>
      </c>
      <c r="M63" s="2039">
        <f t="shared" si="0"/>
        <v>59</v>
      </c>
      <c r="N63" s="2040">
        <v>45701</v>
      </c>
      <c r="O63" s="2040">
        <v>45698</v>
      </c>
      <c r="P63" s="2042"/>
      <c r="Q63" s="1363" t="s">
        <v>56</v>
      </c>
      <c r="R63" s="1363" t="s">
        <v>333</v>
      </c>
      <c r="S63" s="1406" t="s">
        <v>334</v>
      </c>
      <c r="T63" s="1406"/>
      <c r="U63" s="1406" t="s">
        <v>335</v>
      </c>
      <c r="V63" s="2054" t="s">
        <v>129</v>
      </c>
      <c r="W63" s="2055" t="s">
        <v>336</v>
      </c>
      <c r="X63" s="2056" t="s">
        <v>131</v>
      </c>
      <c r="Y63" s="2065">
        <v>3.9118</v>
      </c>
      <c r="Z63" s="2066">
        <f t="shared" si="4"/>
        <v>2769.5544</v>
      </c>
      <c r="AA63" s="2068" t="s">
        <v>337</v>
      </c>
      <c r="AB63" s="2068">
        <v>708</v>
      </c>
      <c r="AC63" s="2068">
        <f t="shared" si="1"/>
        <v>0</v>
      </c>
      <c r="AD63" s="2069" t="s">
        <v>81</v>
      </c>
      <c r="AE63" s="2070" t="s">
        <v>63</v>
      </c>
      <c r="AF63" s="2070" t="s">
        <v>38</v>
      </c>
      <c r="AG63" s="2084"/>
      <c r="AH63" s="2073">
        <f t="shared" si="17"/>
        <v>708</v>
      </c>
      <c r="AI63" s="2042"/>
      <c r="AJ63" s="2085"/>
      <c r="AK63" s="2086"/>
      <c r="AL63" s="2042"/>
      <c r="AM63" s="2087">
        <f>J63</f>
        <v>708</v>
      </c>
      <c r="AN63" s="2086"/>
      <c r="AO63" s="2086"/>
      <c r="AP63" s="2086"/>
      <c r="AQ63" s="2086"/>
      <c r="AR63" s="2086"/>
      <c r="AS63" s="2089"/>
      <c r="AT63" s="2086"/>
      <c r="AU63" s="2086"/>
      <c r="AV63" s="2086"/>
      <c r="AW63" s="2042">
        <f t="shared" si="18"/>
        <v>708</v>
      </c>
      <c r="AX63" s="2042"/>
      <c r="AY63" s="2042"/>
      <c r="AZ63" s="2093"/>
      <c r="BA63" s="2042"/>
      <c r="BB63" s="2042"/>
      <c r="BC63" s="2042"/>
      <c r="BD63" s="2094">
        <f t="shared" si="11"/>
        <v>708</v>
      </c>
      <c r="BE63" s="2094">
        <f t="shared" si="12"/>
        <v>0</v>
      </c>
    </row>
    <row r="64" s="1988" customFormat="1" ht="36" customHeight="1" spans="1:57">
      <c r="A64" s="2018">
        <v>45659</v>
      </c>
      <c r="B64" s="2019" t="s">
        <v>133</v>
      </c>
      <c r="C64" s="1723" t="s">
        <v>91</v>
      </c>
      <c r="D64" s="2020">
        <v>4500155121</v>
      </c>
      <c r="E64" s="2021">
        <v>325571</v>
      </c>
      <c r="F64" s="2019" t="s">
        <v>338</v>
      </c>
      <c r="G64" s="2021" t="s">
        <v>54</v>
      </c>
      <c r="H64" s="2023" t="s">
        <v>54</v>
      </c>
      <c r="I64" s="2036" t="s">
        <v>55</v>
      </c>
      <c r="J64" s="1989">
        <v>2004</v>
      </c>
      <c r="K64" s="2037">
        <v>0</v>
      </c>
      <c r="L64" s="2038">
        <v>12</v>
      </c>
      <c r="M64" s="2039">
        <f t="shared" si="0"/>
        <v>167</v>
      </c>
      <c r="N64" s="2040">
        <v>45702</v>
      </c>
      <c r="O64" s="2040">
        <v>45698</v>
      </c>
      <c r="P64" s="2042"/>
      <c r="Q64" s="1363" t="s">
        <v>56</v>
      </c>
      <c r="R64" s="1363" t="s">
        <v>288</v>
      </c>
      <c r="S64" s="1406" t="s">
        <v>322</v>
      </c>
      <c r="T64" s="1406"/>
      <c r="U64" s="1406" t="s">
        <v>323</v>
      </c>
      <c r="V64" s="1402" t="s">
        <v>137</v>
      </c>
      <c r="W64" s="2053" t="s">
        <v>339</v>
      </c>
      <c r="X64" s="2056" t="s">
        <v>325</v>
      </c>
      <c r="Y64" s="2065">
        <v>3.4606</v>
      </c>
      <c r="Z64" s="2066">
        <f t="shared" si="4"/>
        <v>6935.0424</v>
      </c>
      <c r="AA64" s="2068" t="s">
        <v>340</v>
      </c>
      <c r="AB64" s="2068">
        <f>1464+540</f>
        <v>2004</v>
      </c>
      <c r="AC64" s="2068">
        <f t="shared" si="1"/>
        <v>0</v>
      </c>
      <c r="AD64" s="2069" t="s">
        <v>327</v>
      </c>
      <c r="AE64" s="2070" t="s">
        <v>63</v>
      </c>
      <c r="AF64" s="2070" t="s">
        <v>38</v>
      </c>
      <c r="AG64" s="2084"/>
      <c r="AH64" s="2073">
        <f t="shared" si="17"/>
        <v>2004</v>
      </c>
      <c r="AI64" s="2042"/>
      <c r="AJ64" s="2085"/>
      <c r="AK64" s="2086"/>
      <c r="AL64" s="2042">
        <f>J64</f>
        <v>2004</v>
      </c>
      <c r="AM64" s="2087"/>
      <c r="AN64" s="2086"/>
      <c r="AO64" s="2086"/>
      <c r="AP64" s="2086"/>
      <c r="AQ64" s="2086"/>
      <c r="AR64" s="2086"/>
      <c r="AS64" s="2089"/>
      <c r="AT64" s="2086"/>
      <c r="AU64" s="2086"/>
      <c r="AV64" s="2086"/>
      <c r="AW64" s="2042">
        <f t="shared" si="18"/>
        <v>2004</v>
      </c>
      <c r="AX64" s="2042"/>
      <c r="AY64" s="2042"/>
      <c r="AZ64" s="2093"/>
      <c r="BA64" s="2042"/>
      <c r="BB64" s="2042"/>
      <c r="BC64" s="2042"/>
      <c r="BD64" s="2094">
        <f t="shared" si="11"/>
        <v>2004</v>
      </c>
      <c r="BE64" s="2094">
        <f t="shared" si="12"/>
        <v>0</v>
      </c>
    </row>
    <row r="65" s="1988" customFormat="1" ht="36" customHeight="1" spans="1:57">
      <c r="A65" s="2018">
        <v>45659</v>
      </c>
      <c r="B65" s="2019" t="s">
        <v>133</v>
      </c>
      <c r="C65" s="1723" t="s">
        <v>91</v>
      </c>
      <c r="D65" s="2020">
        <v>4500155123</v>
      </c>
      <c r="E65" s="2021" t="s">
        <v>341</v>
      </c>
      <c r="F65" s="2019" t="s">
        <v>342</v>
      </c>
      <c r="G65" s="2021" t="s">
        <v>54</v>
      </c>
      <c r="H65" s="2023" t="s">
        <v>54</v>
      </c>
      <c r="I65" s="2036" t="s">
        <v>55</v>
      </c>
      <c r="J65" s="1989">
        <v>2400</v>
      </c>
      <c r="K65" s="2037">
        <v>0</v>
      </c>
      <c r="L65" s="2038">
        <v>12</v>
      </c>
      <c r="M65" s="2039">
        <f t="shared" si="0"/>
        <v>200</v>
      </c>
      <c r="N65" s="2040">
        <v>45702</v>
      </c>
      <c r="O65" s="2040">
        <v>45698</v>
      </c>
      <c r="P65" s="2042"/>
      <c r="Q65" s="1363" t="s">
        <v>56</v>
      </c>
      <c r="R65" s="1363" t="s">
        <v>288</v>
      </c>
      <c r="S65" s="1406" t="s">
        <v>322</v>
      </c>
      <c r="T65" s="1406"/>
      <c r="U65" s="1406" t="s">
        <v>323</v>
      </c>
      <c r="V65" s="1402" t="s">
        <v>137</v>
      </c>
      <c r="W65" s="2055" t="s">
        <v>330</v>
      </c>
      <c r="X65" s="2056" t="s">
        <v>325</v>
      </c>
      <c r="Y65" s="2065">
        <v>3.4606</v>
      </c>
      <c r="Z65" s="2066">
        <f t="shared" si="4"/>
        <v>8305.44</v>
      </c>
      <c r="AA65" s="2068" t="s">
        <v>343</v>
      </c>
      <c r="AB65" s="2068">
        <v>2400</v>
      </c>
      <c r="AC65" s="2068">
        <f t="shared" si="1"/>
        <v>0</v>
      </c>
      <c r="AD65" s="2069" t="s">
        <v>327</v>
      </c>
      <c r="AE65" s="2070" t="s">
        <v>63</v>
      </c>
      <c r="AF65" s="2070" t="s">
        <v>38</v>
      </c>
      <c r="AG65" s="2084"/>
      <c r="AH65" s="2073">
        <f t="shared" si="17"/>
        <v>2400</v>
      </c>
      <c r="AI65" s="2042"/>
      <c r="AJ65" s="2085"/>
      <c r="AK65" s="2086"/>
      <c r="AL65" s="2042">
        <f>J65</f>
        <v>2400</v>
      </c>
      <c r="AM65" s="2087"/>
      <c r="AN65" s="2086"/>
      <c r="AO65" s="2086"/>
      <c r="AP65" s="2086"/>
      <c r="AQ65" s="2086"/>
      <c r="AR65" s="2086"/>
      <c r="AS65" s="2089"/>
      <c r="AT65" s="2086"/>
      <c r="AU65" s="2086"/>
      <c r="AV65" s="2086"/>
      <c r="AW65" s="2042">
        <f t="shared" si="18"/>
        <v>2400</v>
      </c>
      <c r="AX65" s="2042"/>
      <c r="AY65" s="2042"/>
      <c r="AZ65" s="2093"/>
      <c r="BA65" s="2042"/>
      <c r="BB65" s="2042"/>
      <c r="BC65" s="2042"/>
      <c r="BD65" s="2094">
        <f t="shared" si="11"/>
        <v>2400</v>
      </c>
      <c r="BE65" s="2094">
        <f t="shared" si="12"/>
        <v>0</v>
      </c>
    </row>
    <row r="66" s="1988" customFormat="1" ht="36" customHeight="1" spans="1:57">
      <c r="A66" s="2018">
        <v>45637</v>
      </c>
      <c r="B66" s="2019" t="s">
        <v>344</v>
      </c>
      <c r="C66" s="1723" t="s">
        <v>91</v>
      </c>
      <c r="D66" s="2020">
        <v>4500153662</v>
      </c>
      <c r="E66" s="2021">
        <v>383095202</v>
      </c>
      <c r="F66" s="2019" t="s">
        <v>345</v>
      </c>
      <c r="G66" s="2021" t="s">
        <v>54</v>
      </c>
      <c r="H66" s="2023" t="s">
        <v>54</v>
      </c>
      <c r="I66" s="2036" t="s">
        <v>55</v>
      </c>
      <c r="J66" s="1989">
        <v>2460</v>
      </c>
      <c r="K66" s="2037">
        <v>0</v>
      </c>
      <c r="L66" s="2038">
        <v>12</v>
      </c>
      <c r="M66" s="2039">
        <f t="shared" ref="M61:M129" si="19">J66/L66</f>
        <v>205</v>
      </c>
      <c r="N66" s="2040">
        <v>45705</v>
      </c>
      <c r="O66" s="2040">
        <v>45701</v>
      </c>
      <c r="P66" s="2042"/>
      <c r="Q66" s="1363" t="s">
        <v>56</v>
      </c>
      <c r="R66" s="1363" t="s">
        <v>346</v>
      </c>
      <c r="S66" s="1406" t="s">
        <v>334</v>
      </c>
      <c r="T66" s="1406"/>
      <c r="U66" s="1406" t="s">
        <v>347</v>
      </c>
      <c r="V66" s="1402" t="s">
        <v>348</v>
      </c>
      <c r="W66" s="2055" t="s">
        <v>349</v>
      </c>
      <c r="X66" s="2056" t="s">
        <v>350</v>
      </c>
      <c r="Y66" s="2065">
        <v>3.373</v>
      </c>
      <c r="Z66" s="2066">
        <f t="shared" si="4"/>
        <v>8297.58</v>
      </c>
      <c r="AA66" s="2068" t="s">
        <v>351</v>
      </c>
      <c r="AB66" s="2068">
        <v>2460</v>
      </c>
      <c r="AC66" s="2068">
        <f t="shared" si="1"/>
        <v>0</v>
      </c>
      <c r="AD66" s="2069" t="s">
        <v>81</v>
      </c>
      <c r="AE66" s="2070" t="s">
        <v>63</v>
      </c>
      <c r="AF66" s="2070" t="s">
        <v>38</v>
      </c>
      <c r="AG66" s="2084"/>
      <c r="AH66" s="2073">
        <f t="shared" si="17"/>
        <v>2460</v>
      </c>
      <c r="AI66" s="2042"/>
      <c r="AJ66" s="2085"/>
      <c r="AK66" s="2086"/>
      <c r="AL66" s="2042">
        <f>J66</f>
        <v>2460</v>
      </c>
      <c r="AM66" s="2087"/>
      <c r="AN66" s="2086"/>
      <c r="AO66" s="2086"/>
      <c r="AP66" s="2086"/>
      <c r="AQ66" s="2086"/>
      <c r="AR66" s="2086"/>
      <c r="AS66" s="2089"/>
      <c r="AT66" s="2086"/>
      <c r="AU66" s="2086"/>
      <c r="AV66" s="2086"/>
      <c r="AW66" s="2042">
        <f t="shared" si="18"/>
        <v>2460</v>
      </c>
      <c r="AX66" s="2042"/>
      <c r="AY66" s="2042"/>
      <c r="AZ66" s="2093"/>
      <c r="BA66" s="2042"/>
      <c r="BB66" s="2042"/>
      <c r="BC66" s="2042"/>
      <c r="BD66" s="2094">
        <f t="shared" si="11"/>
        <v>2460</v>
      </c>
      <c r="BE66" s="2094">
        <f t="shared" si="12"/>
        <v>0</v>
      </c>
    </row>
    <row r="67" s="1988" customFormat="1" ht="36" customHeight="1" spans="1:57">
      <c r="A67" s="2018">
        <v>45637</v>
      </c>
      <c r="B67" s="2019" t="s">
        <v>344</v>
      </c>
      <c r="C67" s="1723" t="s">
        <v>91</v>
      </c>
      <c r="D67" s="2020">
        <v>4500153662</v>
      </c>
      <c r="E67" s="2021">
        <v>383095203</v>
      </c>
      <c r="F67" s="2019" t="s">
        <v>352</v>
      </c>
      <c r="G67" s="2022" t="s">
        <v>66</v>
      </c>
      <c r="H67" s="2023" t="s">
        <v>66</v>
      </c>
      <c r="I67" s="2036" t="s">
        <v>67</v>
      </c>
      <c r="J67" s="1989">
        <v>2460</v>
      </c>
      <c r="K67" s="2037">
        <v>0</v>
      </c>
      <c r="L67" s="2038">
        <v>12</v>
      </c>
      <c r="M67" s="2039">
        <f t="shared" si="19"/>
        <v>205</v>
      </c>
      <c r="N67" s="2040">
        <v>45705</v>
      </c>
      <c r="O67" s="2040">
        <v>45701</v>
      </c>
      <c r="P67" s="2042"/>
      <c r="Q67" s="1363" t="s">
        <v>56</v>
      </c>
      <c r="R67" s="1363" t="s">
        <v>346</v>
      </c>
      <c r="S67" s="1406" t="s">
        <v>334</v>
      </c>
      <c r="T67" s="1406"/>
      <c r="U67" s="1406" t="s">
        <v>347</v>
      </c>
      <c r="V67" s="1402" t="s">
        <v>348</v>
      </c>
      <c r="W67" s="2055" t="s">
        <v>349</v>
      </c>
      <c r="X67" s="2056" t="s">
        <v>350</v>
      </c>
      <c r="Y67" s="2065">
        <v>3.1368</v>
      </c>
      <c r="Z67" s="2066">
        <f t="shared" si="4"/>
        <v>7716.528</v>
      </c>
      <c r="AA67" s="2068" t="s">
        <v>351</v>
      </c>
      <c r="AB67" s="2068">
        <v>2460</v>
      </c>
      <c r="AC67" s="2068">
        <f t="shared" si="1"/>
        <v>0</v>
      </c>
      <c r="AD67" s="2069" t="s">
        <v>81</v>
      </c>
      <c r="AE67" s="2070" t="s">
        <v>63</v>
      </c>
      <c r="AF67" s="2070" t="s">
        <v>38</v>
      </c>
      <c r="AG67" s="2084"/>
      <c r="AH67" s="2073"/>
      <c r="AI67" s="2042"/>
      <c r="AJ67" s="2085">
        <f>J67</f>
        <v>2460</v>
      </c>
      <c r="AK67" s="2086"/>
      <c r="AL67" s="2042">
        <f>J67</f>
        <v>2460</v>
      </c>
      <c r="AM67" s="2087"/>
      <c r="AN67" s="2086"/>
      <c r="AO67" s="2086"/>
      <c r="AP67" s="2086"/>
      <c r="AQ67" s="2086"/>
      <c r="AR67" s="2086"/>
      <c r="AS67" s="2089"/>
      <c r="AT67" s="2086"/>
      <c r="AU67" s="2086"/>
      <c r="AV67" s="2086"/>
      <c r="AW67" s="2042"/>
      <c r="AX67" s="2042"/>
      <c r="AY67" s="2042">
        <f>J67</f>
        <v>2460</v>
      </c>
      <c r="AZ67" s="2093"/>
      <c r="BA67" s="2042"/>
      <c r="BB67" s="2042"/>
      <c r="BC67" s="2042"/>
      <c r="BD67" s="2094">
        <f t="shared" si="11"/>
        <v>2460</v>
      </c>
      <c r="BE67" s="2094">
        <f t="shared" si="12"/>
        <v>0</v>
      </c>
    </row>
    <row r="68" s="1988" customFormat="1" ht="36" customHeight="1" spans="1:57">
      <c r="A68" s="2018">
        <v>45624</v>
      </c>
      <c r="B68" s="2019" t="s">
        <v>177</v>
      </c>
      <c r="C68" s="1723" t="s">
        <v>123</v>
      </c>
      <c r="D68" s="2020">
        <v>4500152768</v>
      </c>
      <c r="E68" s="2021">
        <v>4400450817</v>
      </c>
      <c r="F68" s="2019" t="s">
        <v>353</v>
      </c>
      <c r="G68" s="2023" t="s">
        <v>125</v>
      </c>
      <c r="H68" s="2023" t="s">
        <v>54</v>
      </c>
      <c r="I68" s="2036" t="s">
        <v>55</v>
      </c>
      <c r="J68" s="1989">
        <v>3000</v>
      </c>
      <c r="K68" s="2037">
        <v>0</v>
      </c>
      <c r="L68" s="2038">
        <v>12</v>
      </c>
      <c r="M68" s="2039">
        <f t="shared" si="19"/>
        <v>250</v>
      </c>
      <c r="N68" s="2040">
        <v>45705</v>
      </c>
      <c r="O68" s="2040">
        <v>45702</v>
      </c>
      <c r="P68" s="2042"/>
      <c r="Q68" s="1363" t="s">
        <v>56</v>
      </c>
      <c r="R68" s="1363" t="s">
        <v>248</v>
      </c>
      <c r="S68" s="1406" t="s">
        <v>334</v>
      </c>
      <c r="T68" s="1406"/>
      <c r="U68" s="1406" t="s">
        <v>335</v>
      </c>
      <c r="V68" s="2054" t="s">
        <v>129</v>
      </c>
      <c r="W68" s="2055" t="s">
        <v>354</v>
      </c>
      <c r="X68" s="2056" t="s">
        <v>131</v>
      </c>
      <c r="Y68" s="2065">
        <v>3.4606</v>
      </c>
      <c r="Z68" s="2066">
        <f t="shared" si="4"/>
        <v>10381.8</v>
      </c>
      <c r="AA68" s="2068" t="s">
        <v>355</v>
      </c>
      <c r="AB68" s="2068">
        <v>3000</v>
      </c>
      <c r="AC68" s="2068">
        <f t="shared" ref="AC68:AC81" si="20">AB68-J68</f>
        <v>0</v>
      </c>
      <c r="AD68" s="2069" t="s">
        <v>81</v>
      </c>
      <c r="AE68" s="2070" t="s">
        <v>63</v>
      </c>
      <c r="AF68" s="2070" t="s">
        <v>38</v>
      </c>
      <c r="AG68" s="2084"/>
      <c r="AH68" s="2073">
        <f>J68</f>
        <v>3000</v>
      </c>
      <c r="AI68" s="2042"/>
      <c r="AJ68" s="2085"/>
      <c r="AK68" s="2086"/>
      <c r="AL68" s="2042"/>
      <c r="AM68" s="2087">
        <f>J68</f>
        <v>3000</v>
      </c>
      <c r="AN68" s="2086"/>
      <c r="AO68" s="2086"/>
      <c r="AP68" s="2086"/>
      <c r="AQ68" s="2086"/>
      <c r="AR68" s="2086"/>
      <c r="AS68" s="2089"/>
      <c r="AT68" s="2086"/>
      <c r="AU68" s="2086"/>
      <c r="AV68" s="2086"/>
      <c r="AW68" s="2042">
        <f>J68</f>
        <v>3000</v>
      </c>
      <c r="AX68" s="2042"/>
      <c r="AY68" s="2042"/>
      <c r="AZ68" s="2093"/>
      <c r="BA68" s="2042"/>
      <c r="BB68" s="2042"/>
      <c r="BC68" s="2042"/>
      <c r="BD68" s="2094">
        <f t="shared" si="11"/>
        <v>3000</v>
      </c>
      <c r="BE68" s="2094">
        <f t="shared" si="12"/>
        <v>0</v>
      </c>
    </row>
    <row r="69" s="1988" customFormat="1" ht="36" customHeight="1" spans="1:57">
      <c r="A69" s="2018">
        <v>45615</v>
      </c>
      <c r="B69" s="2019" t="s">
        <v>230</v>
      </c>
      <c r="C69" s="1723" t="s">
        <v>91</v>
      </c>
      <c r="D69" s="2020">
        <v>4500151566</v>
      </c>
      <c r="E69" s="2021">
        <v>60188350</v>
      </c>
      <c r="F69" s="2019" t="s">
        <v>356</v>
      </c>
      <c r="G69" s="2021" t="s">
        <v>54</v>
      </c>
      <c r="H69" s="2023" t="s">
        <v>54</v>
      </c>
      <c r="I69" s="2036" t="s">
        <v>55</v>
      </c>
      <c r="J69" s="1989">
        <v>2400</v>
      </c>
      <c r="K69" s="2037">
        <v>0</v>
      </c>
      <c r="L69" s="2038">
        <v>12</v>
      </c>
      <c r="M69" s="2039">
        <f t="shared" si="19"/>
        <v>200</v>
      </c>
      <c r="N69" s="2040">
        <v>45707</v>
      </c>
      <c r="O69" s="2040">
        <v>45703</v>
      </c>
      <c r="P69" s="2042"/>
      <c r="Q69" s="1363" t="s">
        <v>56</v>
      </c>
      <c r="R69" s="1363" t="s">
        <v>357</v>
      </c>
      <c r="S69" s="1406" t="s">
        <v>282</v>
      </c>
      <c r="T69" s="1406"/>
      <c r="U69" s="1406" t="s">
        <v>358</v>
      </c>
      <c r="V69" s="1402" t="s">
        <v>235</v>
      </c>
      <c r="W69" s="2055" t="s">
        <v>359</v>
      </c>
      <c r="X69" s="2056" t="s">
        <v>237</v>
      </c>
      <c r="Y69" s="2065">
        <v>3.4606</v>
      </c>
      <c r="Z69" s="2066">
        <f t="shared" si="4"/>
        <v>8305.44</v>
      </c>
      <c r="AA69" s="2068" t="s">
        <v>360</v>
      </c>
      <c r="AB69" s="2068">
        <v>2400</v>
      </c>
      <c r="AC69" s="2068">
        <f t="shared" si="20"/>
        <v>0</v>
      </c>
      <c r="AD69" s="2069" t="s">
        <v>81</v>
      </c>
      <c r="AE69" s="2070" t="s">
        <v>63</v>
      </c>
      <c r="AF69" s="2070" t="s">
        <v>38</v>
      </c>
      <c r="AG69" s="2084"/>
      <c r="AH69" s="2073">
        <f>J69</f>
        <v>2400</v>
      </c>
      <c r="AI69" s="2042"/>
      <c r="AJ69" s="2085"/>
      <c r="AK69" s="2086"/>
      <c r="AL69" s="2042">
        <f t="shared" ref="AL69:AL76" si="21">J69</f>
        <v>2400</v>
      </c>
      <c r="AM69" s="2087"/>
      <c r="AN69" s="2086"/>
      <c r="AO69" s="2086"/>
      <c r="AP69" s="2086"/>
      <c r="AQ69" s="2086"/>
      <c r="AR69" s="2086"/>
      <c r="AS69" s="2089"/>
      <c r="AT69" s="2086"/>
      <c r="AU69" s="2086"/>
      <c r="AV69" s="2086"/>
      <c r="AW69" s="2042">
        <f>J69</f>
        <v>2400</v>
      </c>
      <c r="AX69" s="2042"/>
      <c r="AY69" s="2042"/>
      <c r="AZ69" s="2093"/>
      <c r="BA69" s="2042"/>
      <c r="BB69" s="2042"/>
      <c r="BC69" s="2042"/>
      <c r="BD69" s="2094">
        <f t="shared" si="11"/>
        <v>2400</v>
      </c>
      <c r="BE69" s="2094">
        <f t="shared" si="12"/>
        <v>0</v>
      </c>
    </row>
    <row r="70" s="1988" customFormat="1" ht="36" customHeight="1" spans="1:57">
      <c r="A70" s="2018">
        <v>45642</v>
      </c>
      <c r="B70" s="2019" t="s">
        <v>209</v>
      </c>
      <c r="C70" s="1723" t="s">
        <v>91</v>
      </c>
      <c r="D70" s="2020">
        <v>4500154101</v>
      </c>
      <c r="E70" s="2021" t="s">
        <v>361</v>
      </c>
      <c r="F70" s="2019" t="s">
        <v>362</v>
      </c>
      <c r="G70" s="2023" t="s">
        <v>212</v>
      </c>
      <c r="H70" s="2023" t="s">
        <v>213</v>
      </c>
      <c r="I70" s="2036" t="s">
        <v>214</v>
      </c>
      <c r="J70" s="1989">
        <v>352</v>
      </c>
      <c r="K70" s="2037">
        <v>0</v>
      </c>
      <c r="L70" s="2038">
        <v>4</v>
      </c>
      <c r="M70" s="2039">
        <f t="shared" si="19"/>
        <v>88</v>
      </c>
      <c r="N70" s="2040">
        <v>45707</v>
      </c>
      <c r="O70" s="2040">
        <v>45703</v>
      </c>
      <c r="P70" s="2042"/>
      <c r="Q70" s="1363" t="s">
        <v>56</v>
      </c>
      <c r="R70" s="1363" t="s">
        <v>363</v>
      </c>
      <c r="S70" s="1406" t="s">
        <v>364</v>
      </c>
      <c r="T70" s="1406"/>
      <c r="U70" s="1406" t="s">
        <v>365</v>
      </c>
      <c r="V70" s="1402" t="s">
        <v>366</v>
      </c>
      <c r="W70" s="2055" t="s">
        <v>367</v>
      </c>
      <c r="X70" s="2056" t="s">
        <v>368</v>
      </c>
      <c r="Y70" s="2065">
        <v>4.0861</v>
      </c>
      <c r="Z70" s="2066">
        <f t="shared" si="4"/>
        <v>1438.3072</v>
      </c>
      <c r="AA70" s="2068" t="s">
        <v>369</v>
      </c>
      <c r="AB70" s="2068">
        <v>352</v>
      </c>
      <c r="AC70" s="2068">
        <f t="shared" si="20"/>
        <v>0</v>
      </c>
      <c r="AD70" s="2069" t="s">
        <v>81</v>
      </c>
      <c r="AE70" s="2070" t="s">
        <v>63</v>
      </c>
      <c r="AF70" s="2070" t="s">
        <v>38</v>
      </c>
      <c r="AG70" s="2084"/>
      <c r="AH70" s="2073"/>
      <c r="AI70" s="2042"/>
      <c r="AJ70" s="2085">
        <f>J70</f>
        <v>352</v>
      </c>
      <c r="AK70" s="2086"/>
      <c r="AL70" s="2042">
        <f t="shared" si="21"/>
        <v>352</v>
      </c>
      <c r="AM70" s="2087"/>
      <c r="AN70" s="2086"/>
      <c r="AO70" s="2086"/>
      <c r="AP70" s="2086"/>
      <c r="AQ70" s="2086"/>
      <c r="AR70" s="2086"/>
      <c r="AS70" s="2089"/>
      <c r="AT70" s="2086"/>
      <c r="AU70" s="2086"/>
      <c r="AV70" s="2086"/>
      <c r="AW70" s="2042"/>
      <c r="AX70" s="2042"/>
      <c r="AY70" s="2042">
        <f>J70</f>
        <v>352</v>
      </c>
      <c r="AZ70" s="2093"/>
      <c r="BA70" s="2042"/>
      <c r="BB70" s="2042"/>
      <c r="BC70" s="2042"/>
      <c r="BD70" s="2094">
        <f t="shared" si="11"/>
        <v>352</v>
      </c>
      <c r="BE70" s="2094">
        <f t="shared" si="12"/>
        <v>0</v>
      </c>
    </row>
    <row r="71" s="1988" customFormat="1" ht="36" customHeight="1" spans="1:57">
      <c r="A71" s="2018">
        <v>45642</v>
      </c>
      <c r="B71" s="2019" t="s">
        <v>209</v>
      </c>
      <c r="C71" s="1723" t="s">
        <v>91</v>
      </c>
      <c r="D71" s="2020">
        <v>4500154032</v>
      </c>
      <c r="E71" s="2021" t="s">
        <v>370</v>
      </c>
      <c r="F71" s="2019" t="s">
        <v>371</v>
      </c>
      <c r="G71" s="2023" t="s">
        <v>212</v>
      </c>
      <c r="H71" s="2023" t="s">
        <v>213</v>
      </c>
      <c r="I71" s="2036" t="s">
        <v>214</v>
      </c>
      <c r="J71" s="1989">
        <v>16</v>
      </c>
      <c r="K71" s="2037">
        <v>0</v>
      </c>
      <c r="L71" s="2038">
        <v>4</v>
      </c>
      <c r="M71" s="2039">
        <f t="shared" si="19"/>
        <v>4</v>
      </c>
      <c r="N71" s="2040">
        <v>45707</v>
      </c>
      <c r="O71" s="2040">
        <v>45703</v>
      </c>
      <c r="P71" s="2042"/>
      <c r="Q71" s="1363" t="s">
        <v>56</v>
      </c>
      <c r="R71" s="1363" t="s">
        <v>288</v>
      </c>
      <c r="S71" s="1406" t="s">
        <v>364</v>
      </c>
      <c r="T71" s="1406"/>
      <c r="U71" s="1406" t="s">
        <v>365</v>
      </c>
      <c r="V71" s="1402" t="s">
        <v>366</v>
      </c>
      <c r="W71" s="2055" t="s">
        <v>367</v>
      </c>
      <c r="X71" s="2056" t="s">
        <v>368</v>
      </c>
      <c r="Y71" s="2065">
        <v>3.9511</v>
      </c>
      <c r="Z71" s="2066">
        <f t="shared" ref="Z71:Z76" si="22">Y71*J71</f>
        <v>63.2176</v>
      </c>
      <c r="AA71" s="2068" t="s">
        <v>372</v>
      </c>
      <c r="AB71" s="2068">
        <v>16</v>
      </c>
      <c r="AC71" s="2068">
        <f t="shared" si="20"/>
        <v>0</v>
      </c>
      <c r="AD71" s="2069" t="s">
        <v>81</v>
      </c>
      <c r="AE71" s="2070" t="s">
        <v>63</v>
      </c>
      <c r="AF71" s="2070" t="s">
        <v>38</v>
      </c>
      <c r="AG71" s="2084"/>
      <c r="AH71" s="2073"/>
      <c r="AI71" s="2042"/>
      <c r="AJ71" s="2085">
        <f>J71</f>
        <v>16</v>
      </c>
      <c r="AK71" s="2086"/>
      <c r="AL71" s="2042">
        <f t="shared" si="21"/>
        <v>16</v>
      </c>
      <c r="AM71" s="2087"/>
      <c r="AN71" s="2086"/>
      <c r="AO71" s="2086"/>
      <c r="AP71" s="2086"/>
      <c r="AQ71" s="2086"/>
      <c r="AR71" s="2086"/>
      <c r="AS71" s="2089"/>
      <c r="AT71" s="2086"/>
      <c r="AU71" s="2086"/>
      <c r="AV71" s="2086"/>
      <c r="AW71" s="2042"/>
      <c r="AX71" s="2042"/>
      <c r="AY71" s="2042">
        <f>J71</f>
        <v>16</v>
      </c>
      <c r="AZ71" s="2093"/>
      <c r="BA71" s="2042"/>
      <c r="BB71" s="2042"/>
      <c r="BC71" s="2042"/>
      <c r="BD71" s="2094">
        <f t="shared" si="11"/>
        <v>16</v>
      </c>
      <c r="BE71" s="2094">
        <f t="shared" si="12"/>
        <v>0</v>
      </c>
    </row>
    <row r="72" s="1988" customFormat="1" ht="36" customHeight="1" spans="1:57">
      <c r="A72" s="2018">
        <v>45642</v>
      </c>
      <c r="B72" s="2019" t="s">
        <v>209</v>
      </c>
      <c r="C72" s="1723" t="s">
        <v>91</v>
      </c>
      <c r="D72" s="2020">
        <v>4500154144</v>
      </c>
      <c r="E72" s="2021" t="s">
        <v>373</v>
      </c>
      <c r="F72" s="2019" t="s">
        <v>374</v>
      </c>
      <c r="G72" s="2023" t="s">
        <v>212</v>
      </c>
      <c r="H72" s="2023" t="s">
        <v>213</v>
      </c>
      <c r="I72" s="2036" t="s">
        <v>214</v>
      </c>
      <c r="J72" s="1989">
        <v>16</v>
      </c>
      <c r="K72" s="2037">
        <v>0</v>
      </c>
      <c r="L72" s="2038">
        <v>4</v>
      </c>
      <c r="M72" s="2039">
        <f t="shared" si="19"/>
        <v>4</v>
      </c>
      <c r="N72" s="2040">
        <v>45707</v>
      </c>
      <c r="O72" s="2040">
        <v>45703</v>
      </c>
      <c r="P72" s="2042"/>
      <c r="Q72" s="1363" t="s">
        <v>56</v>
      </c>
      <c r="R72" s="1363" t="s">
        <v>288</v>
      </c>
      <c r="S72" s="1406" t="s">
        <v>364</v>
      </c>
      <c r="T72" s="1406"/>
      <c r="U72" s="1406" t="s">
        <v>365</v>
      </c>
      <c r="V72" s="1402" t="s">
        <v>366</v>
      </c>
      <c r="W72" s="2055" t="s">
        <v>367</v>
      </c>
      <c r="X72" s="2056" t="s">
        <v>368</v>
      </c>
      <c r="Y72" s="2065">
        <v>4.0861</v>
      </c>
      <c r="Z72" s="2066">
        <f t="shared" si="22"/>
        <v>65.3776</v>
      </c>
      <c r="AA72" s="2068" t="s">
        <v>375</v>
      </c>
      <c r="AB72" s="2068">
        <v>16</v>
      </c>
      <c r="AC72" s="2068">
        <f t="shared" si="20"/>
        <v>0</v>
      </c>
      <c r="AD72" s="2069" t="s">
        <v>81</v>
      </c>
      <c r="AE72" s="2070" t="s">
        <v>63</v>
      </c>
      <c r="AF72" s="2070" t="s">
        <v>38</v>
      </c>
      <c r="AG72" s="2084"/>
      <c r="AH72" s="2073"/>
      <c r="AI72" s="2042"/>
      <c r="AJ72" s="2085">
        <f>J72</f>
        <v>16</v>
      </c>
      <c r="AK72" s="2086"/>
      <c r="AL72" s="2042">
        <f t="shared" si="21"/>
        <v>16</v>
      </c>
      <c r="AM72" s="2087"/>
      <c r="AN72" s="2086"/>
      <c r="AO72" s="2086"/>
      <c r="AP72" s="2086"/>
      <c r="AQ72" s="2086"/>
      <c r="AR72" s="2086"/>
      <c r="AS72" s="2089"/>
      <c r="AT72" s="2086"/>
      <c r="AU72" s="2086"/>
      <c r="AV72" s="2086"/>
      <c r="AW72" s="2042"/>
      <c r="AX72" s="2042"/>
      <c r="AY72" s="2042">
        <f>J72</f>
        <v>16</v>
      </c>
      <c r="AZ72" s="2093"/>
      <c r="BA72" s="2042"/>
      <c r="BB72" s="2042"/>
      <c r="BC72" s="2042"/>
      <c r="BD72" s="2094">
        <f t="shared" si="11"/>
        <v>16</v>
      </c>
      <c r="BE72" s="2094">
        <f t="shared" si="12"/>
        <v>0</v>
      </c>
    </row>
    <row r="73" s="1988" customFormat="1" ht="36" customHeight="1" spans="1:57">
      <c r="A73" s="2018">
        <v>45642</v>
      </c>
      <c r="B73" s="2019" t="s">
        <v>209</v>
      </c>
      <c r="C73" s="1723" t="s">
        <v>91</v>
      </c>
      <c r="D73" s="2020">
        <v>4500154124</v>
      </c>
      <c r="E73" s="2021" t="s">
        <v>376</v>
      </c>
      <c r="F73" s="2019" t="s">
        <v>377</v>
      </c>
      <c r="G73" s="2023" t="s">
        <v>212</v>
      </c>
      <c r="H73" s="2023" t="s">
        <v>213</v>
      </c>
      <c r="I73" s="2036" t="s">
        <v>214</v>
      </c>
      <c r="J73" s="1989">
        <v>144</v>
      </c>
      <c r="K73" s="2037">
        <v>0</v>
      </c>
      <c r="L73" s="2038">
        <v>4</v>
      </c>
      <c r="M73" s="2039">
        <f t="shared" si="19"/>
        <v>36</v>
      </c>
      <c r="N73" s="2040">
        <v>45707</v>
      </c>
      <c r="O73" s="2040">
        <v>45703</v>
      </c>
      <c r="P73" s="2042"/>
      <c r="Q73" s="1363" t="s">
        <v>56</v>
      </c>
      <c r="R73" s="1363" t="s">
        <v>288</v>
      </c>
      <c r="S73" s="1406" t="s">
        <v>364</v>
      </c>
      <c r="T73" s="1406"/>
      <c r="U73" s="1406" t="s">
        <v>365</v>
      </c>
      <c r="V73" s="1402" t="s">
        <v>366</v>
      </c>
      <c r="W73" s="2055" t="s">
        <v>378</v>
      </c>
      <c r="X73" s="2056" t="s">
        <v>368</v>
      </c>
      <c r="Y73" s="2065">
        <v>4.0861</v>
      </c>
      <c r="Z73" s="2066">
        <f t="shared" si="22"/>
        <v>588.3984</v>
      </c>
      <c r="AA73" s="2068" t="s">
        <v>379</v>
      </c>
      <c r="AB73" s="2068">
        <v>144</v>
      </c>
      <c r="AC73" s="2068">
        <f t="shared" si="20"/>
        <v>0</v>
      </c>
      <c r="AD73" s="2069" t="s">
        <v>81</v>
      </c>
      <c r="AE73" s="2070" t="s">
        <v>63</v>
      </c>
      <c r="AF73" s="2070" t="s">
        <v>38</v>
      </c>
      <c r="AG73" s="2084"/>
      <c r="AH73" s="2073"/>
      <c r="AI73" s="2042"/>
      <c r="AJ73" s="2042">
        <f>J73</f>
        <v>144</v>
      </c>
      <c r="AK73" s="2086"/>
      <c r="AL73" s="2042">
        <f t="shared" si="21"/>
        <v>144</v>
      </c>
      <c r="AM73" s="2087"/>
      <c r="AN73" s="2086"/>
      <c r="AO73" s="2086"/>
      <c r="AP73" s="2086"/>
      <c r="AQ73" s="2086"/>
      <c r="AR73" s="2086"/>
      <c r="AS73" s="2089"/>
      <c r="AT73" s="2086"/>
      <c r="AU73" s="2086"/>
      <c r="AV73" s="2086"/>
      <c r="AW73" s="2042"/>
      <c r="AX73" s="2042"/>
      <c r="AY73" s="2042">
        <f>J73</f>
        <v>144</v>
      </c>
      <c r="AZ73" s="2093"/>
      <c r="BA73" s="2042"/>
      <c r="BB73" s="2042"/>
      <c r="BC73" s="2042"/>
      <c r="BD73" s="2094">
        <f t="shared" si="11"/>
        <v>144</v>
      </c>
      <c r="BE73" s="2094">
        <f t="shared" si="12"/>
        <v>0</v>
      </c>
    </row>
    <row r="74" s="1988" customFormat="1" ht="36" customHeight="1" spans="1:57">
      <c r="A74" s="2018">
        <v>45624</v>
      </c>
      <c r="B74" s="2019" t="s">
        <v>90</v>
      </c>
      <c r="C74" s="1723" t="s">
        <v>91</v>
      </c>
      <c r="D74" s="2020">
        <v>4500152850</v>
      </c>
      <c r="E74" s="2325" t="s">
        <v>380</v>
      </c>
      <c r="F74" s="2019" t="s">
        <v>381</v>
      </c>
      <c r="G74" s="2019" t="s">
        <v>94</v>
      </c>
      <c r="H74" s="2023" t="s">
        <v>94</v>
      </c>
      <c r="I74" s="2036" t="s">
        <v>55</v>
      </c>
      <c r="J74" s="1989">
        <v>3926</v>
      </c>
      <c r="K74" s="2037">
        <v>0</v>
      </c>
      <c r="L74" s="2038">
        <v>2</v>
      </c>
      <c r="M74" s="2039">
        <f t="shared" si="19"/>
        <v>1963</v>
      </c>
      <c r="N74" s="2102">
        <v>45712</v>
      </c>
      <c r="O74" s="2102">
        <v>45708</v>
      </c>
      <c r="P74" s="2042" t="s">
        <v>382</v>
      </c>
      <c r="Q74" s="1363" t="s">
        <v>56</v>
      </c>
      <c r="R74" s="1363" t="s">
        <v>357</v>
      </c>
      <c r="S74" s="1406" t="s">
        <v>97</v>
      </c>
      <c r="T74" s="1406"/>
      <c r="U74" s="1406" t="s">
        <v>144</v>
      </c>
      <c r="V74" s="1402" t="s">
        <v>99</v>
      </c>
      <c r="W74" s="2055" t="s">
        <v>299</v>
      </c>
      <c r="X74" s="2056" t="s">
        <v>101</v>
      </c>
      <c r="Y74" s="2065">
        <v>3.514</v>
      </c>
      <c r="Z74" s="2066">
        <f t="shared" si="22"/>
        <v>13795.964</v>
      </c>
      <c r="AA74" s="2068" t="s">
        <v>383</v>
      </c>
      <c r="AB74" s="2068">
        <v>3926</v>
      </c>
      <c r="AC74" s="2068">
        <f t="shared" si="20"/>
        <v>0</v>
      </c>
      <c r="AD74" s="2069" t="s">
        <v>81</v>
      </c>
      <c r="AE74" s="2070" t="s">
        <v>63</v>
      </c>
      <c r="AF74" s="2070" t="s">
        <v>38</v>
      </c>
      <c r="AG74" s="2084"/>
      <c r="AH74" s="2073">
        <f>J74</f>
        <v>3926</v>
      </c>
      <c r="AI74" s="2042"/>
      <c r="AJ74" s="2042"/>
      <c r="AK74" s="2086"/>
      <c r="AL74" s="2042">
        <f t="shared" si="21"/>
        <v>3926</v>
      </c>
      <c r="AM74" s="2087"/>
      <c r="AN74" s="2086"/>
      <c r="AO74" s="2086"/>
      <c r="AP74" s="2086"/>
      <c r="AQ74" s="2086"/>
      <c r="AR74" s="2086"/>
      <c r="AS74" s="2089"/>
      <c r="AT74" s="2086"/>
      <c r="AU74" s="2086"/>
      <c r="AV74" s="2086"/>
      <c r="AW74" s="2042"/>
      <c r="AX74" s="2042"/>
      <c r="AY74" s="2042"/>
      <c r="AZ74" s="2093"/>
      <c r="BA74" s="2042">
        <f>J74</f>
        <v>3926</v>
      </c>
      <c r="BB74" s="2042"/>
      <c r="BC74" s="2042"/>
      <c r="BD74" s="2094">
        <f t="shared" si="11"/>
        <v>3926</v>
      </c>
      <c r="BE74" s="2094">
        <f t="shared" si="12"/>
        <v>0</v>
      </c>
    </row>
    <row r="75" s="1988" customFormat="1" ht="36" customHeight="1" spans="1:57">
      <c r="A75" s="2018">
        <v>45624</v>
      </c>
      <c r="B75" s="2098" t="s">
        <v>90</v>
      </c>
      <c r="C75" s="1723" t="s">
        <v>91</v>
      </c>
      <c r="D75" s="2099">
        <v>4500152851</v>
      </c>
      <c r="E75" s="2326" t="s">
        <v>384</v>
      </c>
      <c r="F75" s="2019" t="s">
        <v>385</v>
      </c>
      <c r="G75" s="2019" t="s">
        <v>94</v>
      </c>
      <c r="H75" s="2023" t="s">
        <v>94</v>
      </c>
      <c r="I75" s="2036" t="s">
        <v>55</v>
      </c>
      <c r="J75" s="1989">
        <v>2406</v>
      </c>
      <c r="K75" s="2037">
        <v>0</v>
      </c>
      <c r="L75" s="2038">
        <v>2</v>
      </c>
      <c r="M75" s="2039">
        <f t="shared" si="19"/>
        <v>1203</v>
      </c>
      <c r="N75" s="2102">
        <v>45712</v>
      </c>
      <c r="O75" s="2102">
        <v>45708</v>
      </c>
      <c r="P75" s="2042" t="s">
        <v>386</v>
      </c>
      <c r="Q75" s="1363" t="s">
        <v>56</v>
      </c>
      <c r="R75" s="1363"/>
      <c r="S75" s="1406" t="s">
        <v>97</v>
      </c>
      <c r="T75" s="1406"/>
      <c r="U75" s="1406" t="s">
        <v>144</v>
      </c>
      <c r="V75" s="1402" t="s">
        <v>99</v>
      </c>
      <c r="W75" s="2055" t="s">
        <v>299</v>
      </c>
      <c r="X75" s="2087" t="s">
        <v>101</v>
      </c>
      <c r="Y75" s="2065">
        <v>3.6259</v>
      </c>
      <c r="Z75" s="2066">
        <f t="shared" si="22"/>
        <v>8723.9154</v>
      </c>
      <c r="AA75" s="2068" t="s">
        <v>387</v>
      </c>
      <c r="AB75" s="2068">
        <v>2406</v>
      </c>
      <c r="AC75" s="2068">
        <f t="shared" si="20"/>
        <v>0</v>
      </c>
      <c r="AD75" s="2069" t="s">
        <v>81</v>
      </c>
      <c r="AE75" s="2070" t="s">
        <v>63</v>
      </c>
      <c r="AF75" s="2070" t="s">
        <v>38</v>
      </c>
      <c r="AG75" s="1363"/>
      <c r="AH75" s="2073">
        <f>J75</f>
        <v>2406</v>
      </c>
      <c r="AI75" s="2042"/>
      <c r="AJ75" s="2042"/>
      <c r="AK75" s="2109"/>
      <c r="AL75" s="2042">
        <f t="shared" si="21"/>
        <v>2406</v>
      </c>
      <c r="AM75" s="2042"/>
      <c r="AN75" s="2109"/>
      <c r="AO75" s="2109"/>
      <c r="AP75" s="2109"/>
      <c r="AQ75" s="2109"/>
      <c r="AR75" s="2109"/>
      <c r="AS75" s="2109"/>
      <c r="AT75" s="2109"/>
      <c r="AU75" s="2109"/>
      <c r="AV75" s="2109"/>
      <c r="AW75" s="2042"/>
      <c r="AX75" s="2042"/>
      <c r="AY75" s="2042"/>
      <c r="AZ75" s="2112"/>
      <c r="BA75" s="2042">
        <f>J75</f>
        <v>2406</v>
      </c>
      <c r="BB75" s="2042"/>
      <c r="BC75" s="2042"/>
      <c r="BD75" s="2094">
        <f t="shared" si="11"/>
        <v>2406</v>
      </c>
      <c r="BE75" s="2094">
        <f t="shared" si="12"/>
        <v>0</v>
      </c>
    </row>
    <row r="76" s="1988" customFormat="1" ht="36" customHeight="1" spans="1:57">
      <c r="A76" s="2018">
        <v>45652</v>
      </c>
      <c r="B76" s="2019" t="s">
        <v>388</v>
      </c>
      <c r="C76" s="1723" t="s">
        <v>112</v>
      </c>
      <c r="D76" s="2020">
        <v>4500154753</v>
      </c>
      <c r="E76" s="2021"/>
      <c r="F76" s="2019" t="s">
        <v>389</v>
      </c>
      <c r="G76" s="2023" t="s">
        <v>390</v>
      </c>
      <c r="H76" s="2023" t="s">
        <v>390</v>
      </c>
      <c r="I76" s="2103" t="s">
        <v>391</v>
      </c>
      <c r="J76" s="1989">
        <v>408</v>
      </c>
      <c r="K76" s="2037">
        <v>4</v>
      </c>
      <c r="L76" s="2038">
        <v>12</v>
      </c>
      <c r="M76" s="2039">
        <f t="shared" si="19"/>
        <v>34</v>
      </c>
      <c r="N76" s="2102">
        <v>45712</v>
      </c>
      <c r="O76" s="2102">
        <v>45708</v>
      </c>
      <c r="P76" s="2042"/>
      <c r="Q76" s="1363" t="s">
        <v>56</v>
      </c>
      <c r="R76" s="1363" t="s">
        <v>298</v>
      </c>
      <c r="S76" s="1406" t="s">
        <v>392</v>
      </c>
      <c r="T76" s="1406"/>
      <c r="U76" s="1406" t="s">
        <v>393</v>
      </c>
      <c r="V76" s="1406" t="s">
        <v>394</v>
      </c>
      <c r="W76" s="2055" t="s">
        <v>395</v>
      </c>
      <c r="X76" s="2056" t="s">
        <v>120</v>
      </c>
      <c r="Y76" s="2065">
        <v>3.5163</v>
      </c>
      <c r="Z76" s="2066">
        <f t="shared" si="22"/>
        <v>1434.6504</v>
      </c>
      <c r="AA76" s="2068" t="s">
        <v>396</v>
      </c>
      <c r="AB76" s="2068">
        <v>408</v>
      </c>
      <c r="AC76" s="2068">
        <f t="shared" si="20"/>
        <v>0</v>
      </c>
      <c r="AD76" s="2069" t="s">
        <v>81</v>
      </c>
      <c r="AE76" s="2070" t="s">
        <v>63</v>
      </c>
      <c r="AF76" s="2070" t="s">
        <v>38</v>
      </c>
      <c r="AG76" s="2084"/>
      <c r="AH76" s="2073"/>
      <c r="AI76" s="2042"/>
      <c r="AJ76" s="2085">
        <f>J76</f>
        <v>408</v>
      </c>
      <c r="AK76" s="2088"/>
      <c r="AL76" s="2042">
        <f t="shared" si="21"/>
        <v>408</v>
      </c>
      <c r="AM76" s="2087"/>
      <c r="AN76" s="2088"/>
      <c r="AO76" s="2088"/>
      <c r="AP76" s="2088"/>
      <c r="AQ76" s="2088"/>
      <c r="AR76" s="2088"/>
      <c r="AS76" s="2090"/>
      <c r="AT76" s="2088"/>
      <c r="AU76" s="2088"/>
      <c r="AV76" s="2088"/>
      <c r="AW76" s="2042"/>
      <c r="AX76" s="2042"/>
      <c r="AY76" s="2042">
        <f>J76</f>
        <v>408</v>
      </c>
      <c r="AZ76" s="2096"/>
      <c r="BA76" s="2042"/>
      <c r="BB76" s="2042"/>
      <c r="BC76" s="2042"/>
      <c r="BD76" s="2094">
        <f t="shared" si="11"/>
        <v>408</v>
      </c>
      <c r="BE76" s="2094">
        <f t="shared" si="12"/>
        <v>0</v>
      </c>
    </row>
    <row r="77" s="1988" customFormat="1" ht="36" customHeight="1" spans="1:57">
      <c r="A77" s="2018">
        <v>45631</v>
      </c>
      <c r="B77" s="2019" t="s">
        <v>397</v>
      </c>
      <c r="C77" s="1723" t="s">
        <v>398</v>
      </c>
      <c r="D77" s="2020">
        <v>4500153261</v>
      </c>
      <c r="E77" s="2021">
        <v>3501527611</v>
      </c>
      <c r="F77" s="2019" t="s">
        <v>399</v>
      </c>
      <c r="G77" s="2023" t="s">
        <v>400</v>
      </c>
      <c r="H77" s="2023" t="s">
        <v>400</v>
      </c>
      <c r="I77" s="2103" t="s">
        <v>401</v>
      </c>
      <c r="J77" s="1989">
        <v>996</v>
      </c>
      <c r="K77" s="2037">
        <v>0</v>
      </c>
      <c r="L77" s="2038">
        <v>12</v>
      </c>
      <c r="M77" s="2039">
        <f t="shared" si="19"/>
        <v>83</v>
      </c>
      <c r="N77" s="2040">
        <v>45714</v>
      </c>
      <c r="O77" s="2040">
        <v>45710</v>
      </c>
      <c r="P77" s="2042" t="s">
        <v>402</v>
      </c>
      <c r="Q77" s="1363" t="s">
        <v>56</v>
      </c>
      <c r="R77" s="1363" t="s">
        <v>403</v>
      </c>
      <c r="S77" s="1406" t="s">
        <v>404</v>
      </c>
      <c r="T77" s="1406"/>
      <c r="U77" s="1406" t="s">
        <v>58</v>
      </c>
      <c r="V77" s="1406" t="s">
        <v>405</v>
      </c>
      <c r="W77" s="2055" t="s">
        <v>406</v>
      </c>
      <c r="X77" s="2056" t="s">
        <v>407</v>
      </c>
      <c r="Y77" s="2106">
        <v>23.5305</v>
      </c>
      <c r="Z77" s="2066">
        <f>Y77*M77</f>
        <v>1953.0315</v>
      </c>
      <c r="AA77" s="2068" t="s">
        <v>408</v>
      </c>
      <c r="AB77" s="2068">
        <v>996</v>
      </c>
      <c r="AC77" s="2068">
        <f t="shared" si="20"/>
        <v>0</v>
      </c>
      <c r="AD77" s="2069"/>
      <c r="AE77" s="2070" t="s">
        <v>63</v>
      </c>
      <c r="AF77" s="2070" t="s">
        <v>38</v>
      </c>
      <c r="AG77" s="2084"/>
      <c r="AH77" s="2073">
        <f>J77/2</f>
        <v>498</v>
      </c>
      <c r="AI77" s="2042">
        <f>J77/2</f>
        <v>498</v>
      </c>
      <c r="AJ77" s="2085"/>
      <c r="AK77" s="2086"/>
      <c r="AL77" s="2042"/>
      <c r="AM77" s="2087">
        <f>J77</f>
        <v>996</v>
      </c>
      <c r="AN77" s="2086"/>
      <c r="AO77" s="2086"/>
      <c r="AP77" s="2086"/>
      <c r="AQ77" s="2086"/>
      <c r="AR77" s="2086"/>
      <c r="AS77" s="2089"/>
      <c r="AT77" s="2086"/>
      <c r="AU77" s="2086"/>
      <c r="AV77" s="2086"/>
      <c r="AW77" s="2042"/>
      <c r="AX77" s="2042"/>
      <c r="AY77" s="2042"/>
      <c r="AZ77" s="2093"/>
      <c r="BA77" s="2042">
        <f>J77/2</f>
        <v>498</v>
      </c>
      <c r="BB77" s="2042">
        <f>BA77</f>
        <v>498</v>
      </c>
      <c r="BC77" s="2042"/>
      <c r="BD77" s="2094">
        <f t="shared" si="11"/>
        <v>996</v>
      </c>
      <c r="BE77" s="2094">
        <f t="shared" si="12"/>
        <v>0</v>
      </c>
    </row>
    <row r="78" s="1988" customFormat="1" ht="36" customHeight="1" spans="1:57">
      <c r="A78" s="2018">
        <v>45674</v>
      </c>
      <c r="B78" s="2019" t="s">
        <v>90</v>
      </c>
      <c r="C78" s="1723" t="s">
        <v>91</v>
      </c>
      <c r="D78" s="2020">
        <v>4500155349</v>
      </c>
      <c r="E78" s="2324" t="s">
        <v>409</v>
      </c>
      <c r="F78" s="2019" t="s">
        <v>410</v>
      </c>
      <c r="G78" s="2019" t="s">
        <v>94</v>
      </c>
      <c r="H78" s="2023" t="s">
        <v>94</v>
      </c>
      <c r="I78" s="2036" t="s">
        <v>55</v>
      </c>
      <c r="J78" s="1989">
        <v>2940</v>
      </c>
      <c r="K78" s="2037">
        <v>0</v>
      </c>
      <c r="L78" s="2038">
        <v>2</v>
      </c>
      <c r="M78" s="2039">
        <f t="shared" si="19"/>
        <v>1470</v>
      </c>
      <c r="N78" s="2040">
        <v>45720</v>
      </c>
      <c r="O78" s="2040">
        <v>45716</v>
      </c>
      <c r="P78" s="2042" t="s">
        <v>411</v>
      </c>
      <c r="Q78" s="1363" t="s">
        <v>56</v>
      </c>
      <c r="R78" s="1363" t="s">
        <v>412</v>
      </c>
      <c r="S78" s="1406" t="s">
        <v>97</v>
      </c>
      <c r="T78" s="1406"/>
      <c r="U78" s="1406" t="s">
        <v>413</v>
      </c>
      <c r="V78" s="2054" t="s">
        <v>414</v>
      </c>
      <c r="W78" s="2055" t="s">
        <v>299</v>
      </c>
      <c r="X78" s="2056" t="s">
        <v>101</v>
      </c>
      <c r="Y78" s="2065">
        <v>3.6259</v>
      </c>
      <c r="Z78" s="2066">
        <f t="shared" ref="Z78:Z93" si="23">Y78*J78</f>
        <v>10660.146</v>
      </c>
      <c r="AA78" s="2068" t="s">
        <v>415</v>
      </c>
      <c r="AB78" s="2068">
        <v>2940</v>
      </c>
      <c r="AC78" s="2068">
        <f t="shared" si="20"/>
        <v>0</v>
      </c>
      <c r="AD78" s="2069" t="s">
        <v>81</v>
      </c>
      <c r="AE78" s="2070" t="s">
        <v>63</v>
      </c>
      <c r="AF78" s="2070" t="s">
        <v>38</v>
      </c>
      <c r="AG78" s="2084"/>
      <c r="AH78" s="2073">
        <f t="shared" ref="AH78:AH89" si="24">J78</f>
        <v>2940</v>
      </c>
      <c r="AI78" s="2042"/>
      <c r="AJ78" s="2085"/>
      <c r="AK78" s="2086"/>
      <c r="AL78" s="2042">
        <f t="shared" ref="AL78:AL93" si="25">J78</f>
        <v>2940</v>
      </c>
      <c r="AM78" s="2087"/>
      <c r="AN78" s="2086"/>
      <c r="AO78" s="2086"/>
      <c r="AP78" s="2086"/>
      <c r="AQ78" s="2086"/>
      <c r="AR78" s="2086"/>
      <c r="AS78" s="2089"/>
      <c r="AT78" s="2086"/>
      <c r="AU78" s="2086"/>
      <c r="AV78" s="2086"/>
      <c r="AW78" s="2042"/>
      <c r="AX78" s="2042"/>
      <c r="AY78" s="2042"/>
      <c r="AZ78" s="2093"/>
      <c r="BA78" s="2042">
        <f>J78</f>
        <v>2940</v>
      </c>
      <c r="BB78" s="2042"/>
      <c r="BC78" s="2042"/>
      <c r="BD78" s="2094">
        <f t="shared" si="11"/>
        <v>2940</v>
      </c>
      <c r="BE78" s="2094">
        <f t="shared" si="12"/>
        <v>0</v>
      </c>
    </row>
    <row r="79" s="1988" customFormat="1" ht="36" customHeight="1" spans="1:57">
      <c r="A79" s="2018">
        <v>45674</v>
      </c>
      <c r="B79" s="2019" t="s">
        <v>90</v>
      </c>
      <c r="C79" s="1723" t="s">
        <v>91</v>
      </c>
      <c r="D79" s="2020">
        <v>4500155344</v>
      </c>
      <c r="E79" s="2324" t="s">
        <v>416</v>
      </c>
      <c r="F79" s="2019" t="s">
        <v>417</v>
      </c>
      <c r="G79" s="2019" t="s">
        <v>94</v>
      </c>
      <c r="H79" s="2023" t="s">
        <v>94</v>
      </c>
      <c r="I79" s="2036" t="s">
        <v>55</v>
      </c>
      <c r="J79" s="1989">
        <v>1358</v>
      </c>
      <c r="K79" s="2037">
        <v>0</v>
      </c>
      <c r="L79" s="2038">
        <v>2</v>
      </c>
      <c r="M79" s="2039">
        <f t="shared" si="19"/>
        <v>679</v>
      </c>
      <c r="N79" s="2040">
        <v>45720</v>
      </c>
      <c r="O79" s="2040">
        <v>45716</v>
      </c>
      <c r="P79" s="2042" t="s">
        <v>411</v>
      </c>
      <c r="Q79" s="1363" t="s">
        <v>56</v>
      </c>
      <c r="R79" s="1363" t="s">
        <v>418</v>
      </c>
      <c r="S79" s="1406" t="s">
        <v>97</v>
      </c>
      <c r="T79" s="1406"/>
      <c r="U79" s="1406" t="s">
        <v>413</v>
      </c>
      <c r="V79" s="2054" t="s">
        <v>414</v>
      </c>
      <c r="W79" s="2055" t="s">
        <v>299</v>
      </c>
      <c r="X79" s="2056" t="s">
        <v>101</v>
      </c>
      <c r="Y79" s="2065">
        <v>3.7145</v>
      </c>
      <c r="Z79" s="2066">
        <f t="shared" si="23"/>
        <v>5044.291</v>
      </c>
      <c r="AA79" s="2068" t="s">
        <v>419</v>
      </c>
      <c r="AB79" s="2068">
        <v>1358</v>
      </c>
      <c r="AC79" s="2068">
        <f t="shared" si="20"/>
        <v>0</v>
      </c>
      <c r="AD79" s="2069" t="s">
        <v>81</v>
      </c>
      <c r="AE79" s="2070" t="s">
        <v>63</v>
      </c>
      <c r="AF79" s="2070" t="s">
        <v>38</v>
      </c>
      <c r="AG79" s="2084"/>
      <c r="AH79" s="2073">
        <f t="shared" si="24"/>
        <v>1358</v>
      </c>
      <c r="AI79" s="2042"/>
      <c r="AJ79" s="2085"/>
      <c r="AK79" s="2086"/>
      <c r="AL79" s="2042">
        <f t="shared" si="25"/>
        <v>1358</v>
      </c>
      <c r="AM79" s="2087"/>
      <c r="AN79" s="2086"/>
      <c r="AO79" s="2086"/>
      <c r="AP79" s="2086"/>
      <c r="AQ79" s="2086"/>
      <c r="AR79" s="2086"/>
      <c r="AS79" s="2089"/>
      <c r="AT79" s="2086"/>
      <c r="AU79" s="2086"/>
      <c r="AV79" s="2086"/>
      <c r="AW79" s="2042"/>
      <c r="AX79" s="2042"/>
      <c r="AY79" s="2042"/>
      <c r="AZ79" s="2093"/>
      <c r="BA79" s="2042">
        <f>J79</f>
        <v>1358</v>
      </c>
      <c r="BB79" s="2042"/>
      <c r="BC79" s="2042"/>
      <c r="BD79" s="2094">
        <f t="shared" si="11"/>
        <v>1358</v>
      </c>
      <c r="BE79" s="2094">
        <f t="shared" si="12"/>
        <v>0</v>
      </c>
    </row>
    <row r="80" s="1988" customFormat="1" ht="36" customHeight="1" spans="1:57">
      <c r="A80" s="2018">
        <v>45657</v>
      </c>
      <c r="B80" s="2019" t="s">
        <v>230</v>
      </c>
      <c r="C80" s="1723" t="s">
        <v>91</v>
      </c>
      <c r="D80" s="2020">
        <v>4500155011</v>
      </c>
      <c r="E80" s="2021">
        <v>60188344</v>
      </c>
      <c r="F80" s="2019" t="s">
        <v>420</v>
      </c>
      <c r="G80" s="2021" t="s">
        <v>54</v>
      </c>
      <c r="H80" s="2023" t="s">
        <v>54</v>
      </c>
      <c r="I80" s="2036" t="s">
        <v>55</v>
      </c>
      <c r="J80" s="1989">
        <v>3408</v>
      </c>
      <c r="K80" s="2037">
        <v>0</v>
      </c>
      <c r="L80" s="2038">
        <v>12</v>
      </c>
      <c r="M80" s="2039">
        <f t="shared" si="19"/>
        <v>284</v>
      </c>
      <c r="N80" s="2040">
        <v>45722</v>
      </c>
      <c r="O80" s="2040">
        <v>45719</v>
      </c>
      <c r="P80" s="2042"/>
      <c r="Q80" s="1363" t="s">
        <v>215</v>
      </c>
      <c r="R80" s="1363" t="s">
        <v>421</v>
      </c>
      <c r="S80" s="1406" t="s">
        <v>422</v>
      </c>
      <c r="T80" s="1406"/>
      <c r="U80" s="1406" t="s">
        <v>423</v>
      </c>
      <c r="V80" s="2054" t="s">
        <v>424</v>
      </c>
      <c r="W80" s="2055" t="s">
        <v>425</v>
      </c>
      <c r="X80" s="2056" t="s">
        <v>237</v>
      </c>
      <c r="Y80" s="2065">
        <v>3.2611</v>
      </c>
      <c r="Z80" s="2066">
        <f t="shared" si="23"/>
        <v>11113.8288</v>
      </c>
      <c r="AA80" s="2068" t="s">
        <v>426</v>
      </c>
      <c r="AB80" s="2068">
        <v>3408</v>
      </c>
      <c r="AC80" s="2068">
        <f t="shared" si="20"/>
        <v>0</v>
      </c>
      <c r="AD80" s="2069" t="s">
        <v>81</v>
      </c>
      <c r="AE80" s="2070" t="s">
        <v>63</v>
      </c>
      <c r="AF80" s="2070" t="s">
        <v>38</v>
      </c>
      <c r="AG80" s="2084"/>
      <c r="AH80" s="2073">
        <f t="shared" si="24"/>
        <v>3408</v>
      </c>
      <c r="AI80" s="2042"/>
      <c r="AJ80" s="2085"/>
      <c r="AK80" s="2086"/>
      <c r="AL80" s="2042">
        <f t="shared" si="25"/>
        <v>3408</v>
      </c>
      <c r="AM80" s="2087"/>
      <c r="AN80" s="2086"/>
      <c r="AO80" s="2086"/>
      <c r="AP80" s="2086"/>
      <c r="AQ80" s="2086"/>
      <c r="AR80" s="2086"/>
      <c r="AS80" s="2089"/>
      <c r="AT80" s="2086"/>
      <c r="AU80" s="2086"/>
      <c r="AV80" s="2086"/>
      <c r="AW80" s="2042">
        <f>J80</f>
        <v>3408</v>
      </c>
      <c r="AX80" s="2042"/>
      <c r="AY80" s="2042"/>
      <c r="AZ80" s="2093"/>
      <c r="BA80" s="2042"/>
      <c r="BB80" s="2042"/>
      <c r="BC80" s="2042"/>
      <c r="BD80" s="2094">
        <f t="shared" si="11"/>
        <v>3408</v>
      </c>
      <c r="BE80" s="2094">
        <f t="shared" si="12"/>
        <v>0</v>
      </c>
    </row>
    <row r="81" s="1988" customFormat="1" ht="36" customHeight="1" spans="1:57">
      <c r="A81" s="2018">
        <v>45657</v>
      </c>
      <c r="B81" s="2019" t="s">
        <v>230</v>
      </c>
      <c r="C81" s="1723" t="s">
        <v>91</v>
      </c>
      <c r="D81" s="2020">
        <v>4500155011</v>
      </c>
      <c r="E81" s="2021">
        <v>60188344</v>
      </c>
      <c r="F81" s="2019" t="s">
        <v>427</v>
      </c>
      <c r="G81" s="2022" t="s">
        <v>66</v>
      </c>
      <c r="H81" s="2023" t="s">
        <v>66</v>
      </c>
      <c r="I81" s="2036" t="s">
        <v>67</v>
      </c>
      <c r="J81" s="1989">
        <v>1704</v>
      </c>
      <c r="K81" s="2037">
        <v>0</v>
      </c>
      <c r="L81" s="2038">
        <v>12</v>
      </c>
      <c r="M81" s="2039">
        <f t="shared" si="19"/>
        <v>142</v>
      </c>
      <c r="N81" s="2040">
        <v>45722</v>
      </c>
      <c r="O81" s="2040">
        <v>45719</v>
      </c>
      <c r="P81" s="2042"/>
      <c r="Q81" s="1363" t="s">
        <v>215</v>
      </c>
      <c r="R81" s="1363" t="s">
        <v>421</v>
      </c>
      <c r="S81" s="1406" t="s">
        <v>422</v>
      </c>
      <c r="T81" s="1406"/>
      <c r="U81" s="1406" t="s">
        <v>423</v>
      </c>
      <c r="V81" s="2054" t="s">
        <v>424</v>
      </c>
      <c r="W81" s="2055" t="s">
        <v>425</v>
      </c>
      <c r="X81" s="2056" t="s">
        <v>237</v>
      </c>
      <c r="Y81" s="2065">
        <v>3.3019</v>
      </c>
      <c r="Z81" s="2066">
        <f t="shared" si="23"/>
        <v>5626.4376</v>
      </c>
      <c r="AA81" s="2068" t="s">
        <v>426</v>
      </c>
      <c r="AB81" s="2068">
        <v>1704</v>
      </c>
      <c r="AC81" s="2068">
        <f t="shared" si="20"/>
        <v>0</v>
      </c>
      <c r="AD81" s="2069" t="s">
        <v>81</v>
      </c>
      <c r="AE81" s="2070" t="s">
        <v>63</v>
      </c>
      <c r="AF81" s="2070" t="s">
        <v>38</v>
      </c>
      <c r="AG81" s="2084"/>
      <c r="AH81" s="2073"/>
      <c r="AI81" s="2042"/>
      <c r="AJ81" s="2085">
        <f>J81</f>
        <v>1704</v>
      </c>
      <c r="AK81" s="2086"/>
      <c r="AL81" s="2042">
        <f t="shared" si="25"/>
        <v>1704</v>
      </c>
      <c r="AM81" s="2087"/>
      <c r="AN81" s="2086"/>
      <c r="AO81" s="2086"/>
      <c r="AP81" s="2086"/>
      <c r="AQ81" s="2086"/>
      <c r="AR81" s="2086"/>
      <c r="AS81" s="2089"/>
      <c r="AT81" s="2086"/>
      <c r="AU81" s="2086"/>
      <c r="AV81" s="2086"/>
      <c r="AW81" s="2042"/>
      <c r="AX81" s="2042"/>
      <c r="AY81" s="2042">
        <f>J81</f>
        <v>1704</v>
      </c>
      <c r="AZ81" s="2093"/>
      <c r="BA81" s="2042"/>
      <c r="BB81" s="2042"/>
      <c r="BC81" s="2042"/>
      <c r="BD81" s="2094">
        <f t="shared" si="11"/>
        <v>1704</v>
      </c>
      <c r="BE81" s="2094">
        <f t="shared" si="12"/>
        <v>0</v>
      </c>
    </row>
    <row r="82" s="1988" customFormat="1" ht="36" customHeight="1" spans="1:57">
      <c r="A82" s="2018">
        <v>45666</v>
      </c>
      <c r="B82" s="2019" t="s">
        <v>428</v>
      </c>
      <c r="C82" s="1723" t="s">
        <v>429</v>
      </c>
      <c r="D82" s="2020">
        <v>4500155574</v>
      </c>
      <c r="E82" s="2021" t="s">
        <v>430</v>
      </c>
      <c r="F82" s="2019" t="s">
        <v>431</v>
      </c>
      <c r="G82" s="2022" t="s">
        <v>66</v>
      </c>
      <c r="H82" s="2023" t="s">
        <v>66</v>
      </c>
      <c r="I82" s="2036" t="s">
        <v>67</v>
      </c>
      <c r="J82" s="1989">
        <v>468</v>
      </c>
      <c r="K82" s="2037">
        <v>0</v>
      </c>
      <c r="L82" s="2038">
        <v>12</v>
      </c>
      <c r="M82" s="2039">
        <f t="shared" si="19"/>
        <v>39</v>
      </c>
      <c r="N82" s="2040">
        <v>45733</v>
      </c>
      <c r="O82" s="2040">
        <v>45729</v>
      </c>
      <c r="P82" s="2042"/>
      <c r="Q82" s="1363" t="s">
        <v>215</v>
      </c>
      <c r="R82" s="1363" t="s">
        <v>418</v>
      </c>
      <c r="S82" s="1406" t="s">
        <v>432</v>
      </c>
      <c r="T82" s="1406"/>
      <c r="U82" s="1406" t="s">
        <v>433</v>
      </c>
      <c r="V82" s="2054"/>
      <c r="W82" s="2055" t="s">
        <v>434</v>
      </c>
      <c r="X82" s="2056" t="s">
        <v>435</v>
      </c>
      <c r="Y82" s="2065">
        <v>3.8029</v>
      </c>
      <c r="Z82" s="2066">
        <f t="shared" si="23"/>
        <v>1779.7572</v>
      </c>
      <c r="AA82" s="2068"/>
      <c r="AB82" s="2068">
        <v>468</v>
      </c>
      <c r="AC82" s="2068">
        <f t="shared" ref="AC82:AC97" si="26">AB82-J82</f>
        <v>0</v>
      </c>
      <c r="AD82" s="2069" t="s">
        <v>81</v>
      </c>
      <c r="AE82" s="2070" t="s">
        <v>63</v>
      </c>
      <c r="AF82" s="2070" t="s">
        <v>38</v>
      </c>
      <c r="AG82" s="2084"/>
      <c r="AH82" s="2073"/>
      <c r="AI82" s="2042"/>
      <c r="AJ82" s="2085">
        <f>J82</f>
        <v>468</v>
      </c>
      <c r="AK82" s="2086"/>
      <c r="AL82" s="2042">
        <f t="shared" si="25"/>
        <v>468</v>
      </c>
      <c r="AM82" s="2087"/>
      <c r="AN82" s="2086"/>
      <c r="AO82" s="2086"/>
      <c r="AP82" s="2086"/>
      <c r="AQ82" s="2086"/>
      <c r="AR82" s="2086"/>
      <c r="AS82" s="2089"/>
      <c r="AT82" s="2086"/>
      <c r="AU82" s="2086"/>
      <c r="AV82" s="2086"/>
      <c r="AW82" s="2042"/>
      <c r="AX82" s="2042"/>
      <c r="AY82" s="2042">
        <f>J82</f>
        <v>468</v>
      </c>
      <c r="AZ82" s="2093"/>
      <c r="BA82" s="2042"/>
      <c r="BB82" s="2042"/>
      <c r="BC82" s="2042"/>
      <c r="BD82" s="2094">
        <f t="shared" si="11"/>
        <v>468</v>
      </c>
      <c r="BE82" s="2094">
        <f t="shared" si="12"/>
        <v>0</v>
      </c>
    </row>
    <row r="83" s="1988" customFormat="1" ht="36" customHeight="1" spans="1:57">
      <c r="A83" s="2018">
        <v>45674</v>
      </c>
      <c r="B83" s="2019" t="s">
        <v>90</v>
      </c>
      <c r="C83" s="1723" t="s">
        <v>91</v>
      </c>
      <c r="D83" s="2020">
        <v>4500155352</v>
      </c>
      <c r="E83" s="2324" t="s">
        <v>436</v>
      </c>
      <c r="F83" s="2019" t="s">
        <v>437</v>
      </c>
      <c r="G83" s="2019" t="s">
        <v>94</v>
      </c>
      <c r="H83" s="2023" t="s">
        <v>94</v>
      </c>
      <c r="I83" s="2036" t="s">
        <v>55</v>
      </c>
      <c r="J83" s="1989">
        <v>1246</v>
      </c>
      <c r="K83" s="2037">
        <v>0</v>
      </c>
      <c r="L83" s="2038">
        <v>2</v>
      </c>
      <c r="M83" s="2039">
        <f t="shared" si="19"/>
        <v>623</v>
      </c>
      <c r="N83" s="2040">
        <v>45733</v>
      </c>
      <c r="O83" s="2040">
        <v>45729</v>
      </c>
      <c r="P83" s="2042" t="s">
        <v>438</v>
      </c>
      <c r="Q83" s="1363" t="s">
        <v>56</v>
      </c>
      <c r="R83" s="1363" t="s">
        <v>418</v>
      </c>
      <c r="S83" s="1406" t="s">
        <v>97</v>
      </c>
      <c r="T83" s="1406"/>
      <c r="U83" s="1406" t="s">
        <v>413</v>
      </c>
      <c r="V83" s="2054" t="s">
        <v>414</v>
      </c>
      <c r="W83" s="2055" t="s">
        <v>299</v>
      </c>
      <c r="X83" s="2056" t="s">
        <v>101</v>
      </c>
      <c r="Y83" s="2065">
        <v>3.7145</v>
      </c>
      <c r="Z83" s="2066">
        <f t="shared" si="23"/>
        <v>4628.267</v>
      </c>
      <c r="AA83" s="2068" t="s">
        <v>439</v>
      </c>
      <c r="AB83" s="2068">
        <f>1244+2</f>
        <v>1246</v>
      </c>
      <c r="AC83" s="2068">
        <f t="shared" si="26"/>
        <v>0</v>
      </c>
      <c r="AD83" s="2069" t="s">
        <v>81</v>
      </c>
      <c r="AE83" s="2070" t="s">
        <v>63</v>
      </c>
      <c r="AF83" s="2070" t="s">
        <v>38</v>
      </c>
      <c r="AG83" s="2084"/>
      <c r="AH83" s="2073">
        <f t="shared" si="24"/>
        <v>1246</v>
      </c>
      <c r="AI83" s="2042"/>
      <c r="AJ83" s="2085"/>
      <c r="AK83" s="2086"/>
      <c r="AL83" s="2042">
        <f t="shared" si="25"/>
        <v>1246</v>
      </c>
      <c r="AM83" s="2087"/>
      <c r="AN83" s="2086"/>
      <c r="AO83" s="2086"/>
      <c r="AP83" s="2086"/>
      <c r="AQ83" s="2086"/>
      <c r="AR83" s="2086"/>
      <c r="AS83" s="2089"/>
      <c r="AT83" s="2086"/>
      <c r="AU83" s="2086"/>
      <c r="AV83" s="2086"/>
      <c r="AW83" s="2042"/>
      <c r="AX83" s="2042"/>
      <c r="AY83" s="2042"/>
      <c r="AZ83" s="2093"/>
      <c r="BA83" s="2042">
        <f>J83</f>
        <v>1246</v>
      </c>
      <c r="BB83" s="2042"/>
      <c r="BC83" s="2042"/>
      <c r="BD83" s="2094">
        <f t="shared" si="11"/>
        <v>1246</v>
      </c>
      <c r="BE83" s="2094">
        <f t="shared" si="12"/>
        <v>0</v>
      </c>
    </row>
    <row r="84" s="1988" customFormat="1" ht="36" customHeight="1" spans="1:57">
      <c r="A84" s="2018">
        <v>45674</v>
      </c>
      <c r="B84" s="2019" t="s">
        <v>90</v>
      </c>
      <c r="C84" s="1723" t="s">
        <v>91</v>
      </c>
      <c r="D84" s="2020">
        <v>4500155351</v>
      </c>
      <c r="E84" s="2324" t="s">
        <v>440</v>
      </c>
      <c r="F84" s="2019" t="s">
        <v>441</v>
      </c>
      <c r="G84" s="2019" t="s">
        <v>94</v>
      </c>
      <c r="H84" s="2023" t="s">
        <v>94</v>
      </c>
      <c r="I84" s="2036" t="s">
        <v>55</v>
      </c>
      <c r="J84" s="1989">
        <v>976</v>
      </c>
      <c r="K84" s="2037">
        <v>0</v>
      </c>
      <c r="L84" s="2038">
        <v>2</v>
      </c>
      <c r="M84" s="2039">
        <f t="shared" si="19"/>
        <v>488</v>
      </c>
      <c r="N84" s="2040">
        <v>45734</v>
      </c>
      <c r="O84" s="2040">
        <v>45730</v>
      </c>
      <c r="P84" s="2042" t="s">
        <v>438</v>
      </c>
      <c r="Q84" s="1363" t="s">
        <v>56</v>
      </c>
      <c r="R84" s="1363"/>
      <c r="S84" s="1406" t="s">
        <v>97</v>
      </c>
      <c r="T84" s="1406"/>
      <c r="U84" s="1406" t="s">
        <v>413</v>
      </c>
      <c r="V84" s="2054" t="s">
        <v>414</v>
      </c>
      <c r="W84" s="2055" t="s">
        <v>299</v>
      </c>
      <c r="X84" s="2056" t="s">
        <v>101</v>
      </c>
      <c r="Y84" s="2065">
        <v>4.0771</v>
      </c>
      <c r="Z84" s="2066">
        <f t="shared" si="23"/>
        <v>3979.2496</v>
      </c>
      <c r="AA84" s="2068" t="s">
        <v>442</v>
      </c>
      <c r="AB84" s="2068">
        <v>976</v>
      </c>
      <c r="AC84" s="2068">
        <f t="shared" si="26"/>
        <v>0</v>
      </c>
      <c r="AD84" s="2069" t="s">
        <v>81</v>
      </c>
      <c r="AE84" s="2070" t="s">
        <v>63</v>
      </c>
      <c r="AF84" s="2070" t="s">
        <v>38</v>
      </c>
      <c r="AG84" s="2084"/>
      <c r="AH84" s="2073">
        <f t="shared" si="24"/>
        <v>976</v>
      </c>
      <c r="AI84" s="2042"/>
      <c r="AJ84" s="2085"/>
      <c r="AK84" s="2086"/>
      <c r="AL84" s="2042">
        <f t="shared" si="25"/>
        <v>976</v>
      </c>
      <c r="AM84" s="2087"/>
      <c r="AN84" s="2086"/>
      <c r="AO84" s="2086"/>
      <c r="AP84" s="2086"/>
      <c r="AQ84" s="2086"/>
      <c r="AR84" s="2086"/>
      <c r="AS84" s="2089"/>
      <c r="AT84" s="2086"/>
      <c r="AU84" s="2086"/>
      <c r="AV84" s="2086"/>
      <c r="AW84" s="2042"/>
      <c r="AX84" s="2042"/>
      <c r="AY84" s="2042"/>
      <c r="AZ84" s="2093"/>
      <c r="BA84" s="2042">
        <f>J84</f>
        <v>976</v>
      </c>
      <c r="BB84" s="2042"/>
      <c r="BC84" s="2042"/>
      <c r="BD84" s="2094">
        <f t="shared" si="11"/>
        <v>976</v>
      </c>
      <c r="BE84" s="2094">
        <f t="shared" si="12"/>
        <v>0</v>
      </c>
    </row>
    <row r="85" s="1988" customFormat="1" ht="36" customHeight="1" spans="1:57">
      <c r="A85" s="2018">
        <v>45674</v>
      </c>
      <c r="B85" s="2019" t="s">
        <v>90</v>
      </c>
      <c r="C85" s="1723" t="s">
        <v>91</v>
      </c>
      <c r="D85" s="2020">
        <v>4500155350</v>
      </c>
      <c r="E85" s="2324" t="s">
        <v>443</v>
      </c>
      <c r="F85" s="2019" t="s">
        <v>444</v>
      </c>
      <c r="G85" s="2019" t="s">
        <v>94</v>
      </c>
      <c r="H85" s="2023" t="s">
        <v>94</v>
      </c>
      <c r="I85" s="2036" t="s">
        <v>55</v>
      </c>
      <c r="J85" s="1989">
        <v>1370</v>
      </c>
      <c r="K85" s="2037">
        <v>0</v>
      </c>
      <c r="L85" s="2038">
        <v>2</v>
      </c>
      <c r="M85" s="2039">
        <f t="shared" si="19"/>
        <v>685</v>
      </c>
      <c r="N85" s="2040">
        <v>45734</v>
      </c>
      <c r="O85" s="2040">
        <v>45730</v>
      </c>
      <c r="P85" s="2042" t="s">
        <v>438</v>
      </c>
      <c r="Q85" s="1363" t="s">
        <v>56</v>
      </c>
      <c r="R85" s="1363" t="s">
        <v>445</v>
      </c>
      <c r="S85" s="1406" t="s">
        <v>97</v>
      </c>
      <c r="T85" s="1406"/>
      <c r="U85" s="1406" t="s">
        <v>413</v>
      </c>
      <c r="V85" s="2054" t="s">
        <v>414</v>
      </c>
      <c r="W85" s="2055" t="s">
        <v>299</v>
      </c>
      <c r="X85" s="2056" t="s">
        <v>101</v>
      </c>
      <c r="Y85" s="2065">
        <v>3.7145</v>
      </c>
      <c r="Z85" s="2066">
        <f t="shared" si="23"/>
        <v>5088.865</v>
      </c>
      <c r="AA85" s="2068" t="s">
        <v>446</v>
      </c>
      <c r="AB85" s="2068">
        <v>1370</v>
      </c>
      <c r="AC85" s="2068">
        <f t="shared" si="26"/>
        <v>0</v>
      </c>
      <c r="AD85" s="2069" t="s">
        <v>81</v>
      </c>
      <c r="AE85" s="2070" t="s">
        <v>63</v>
      </c>
      <c r="AF85" s="2070" t="s">
        <v>38</v>
      </c>
      <c r="AG85" s="2084"/>
      <c r="AH85" s="2073">
        <f t="shared" si="24"/>
        <v>1370</v>
      </c>
      <c r="AI85" s="2042"/>
      <c r="AJ85" s="2085"/>
      <c r="AK85" s="2086"/>
      <c r="AL85" s="2042">
        <f t="shared" si="25"/>
        <v>1370</v>
      </c>
      <c r="AM85" s="2087"/>
      <c r="AN85" s="2086"/>
      <c r="AO85" s="2086"/>
      <c r="AP85" s="2086"/>
      <c r="AQ85" s="2086"/>
      <c r="AR85" s="2086"/>
      <c r="AS85" s="2089"/>
      <c r="AT85" s="2086"/>
      <c r="AU85" s="2086"/>
      <c r="AV85" s="2086"/>
      <c r="AW85" s="2042"/>
      <c r="AX85" s="2042"/>
      <c r="AY85" s="2042"/>
      <c r="AZ85" s="2093"/>
      <c r="BA85" s="2042">
        <f>J85</f>
        <v>1370</v>
      </c>
      <c r="BB85" s="2042"/>
      <c r="BC85" s="2042"/>
      <c r="BD85" s="2094">
        <f t="shared" si="11"/>
        <v>1370</v>
      </c>
      <c r="BE85" s="2094">
        <f t="shared" si="12"/>
        <v>0</v>
      </c>
    </row>
    <row r="86" s="1988" customFormat="1" ht="36" customHeight="1" spans="1:57">
      <c r="A86" s="2018">
        <v>45674</v>
      </c>
      <c r="B86" s="2019" t="s">
        <v>90</v>
      </c>
      <c r="C86" s="1723" t="s">
        <v>91</v>
      </c>
      <c r="D86" s="2020">
        <v>4500155368</v>
      </c>
      <c r="E86" s="2324" t="s">
        <v>447</v>
      </c>
      <c r="F86" s="2019" t="s">
        <v>448</v>
      </c>
      <c r="G86" s="2019" t="s">
        <v>94</v>
      </c>
      <c r="H86" s="2023" t="s">
        <v>94</v>
      </c>
      <c r="I86" s="2036" t="s">
        <v>55</v>
      </c>
      <c r="J86" s="1989">
        <v>962</v>
      </c>
      <c r="K86" s="2037">
        <v>0</v>
      </c>
      <c r="L86" s="2038">
        <v>2</v>
      </c>
      <c r="M86" s="2039">
        <f t="shared" si="19"/>
        <v>481</v>
      </c>
      <c r="N86" s="2040">
        <v>45740</v>
      </c>
      <c r="O86" s="2040">
        <v>45736</v>
      </c>
      <c r="P86" s="2042" t="s">
        <v>449</v>
      </c>
      <c r="Q86" s="1363" t="s">
        <v>56</v>
      </c>
      <c r="R86" s="1363" t="s">
        <v>445</v>
      </c>
      <c r="S86" s="1406" t="s">
        <v>97</v>
      </c>
      <c r="T86" s="1406"/>
      <c r="U86" s="1406" t="s">
        <v>413</v>
      </c>
      <c r="V86" s="2054" t="s">
        <v>414</v>
      </c>
      <c r="W86" s="2055" t="s">
        <v>299</v>
      </c>
      <c r="X86" s="2056" t="s">
        <v>101</v>
      </c>
      <c r="Y86" s="2065">
        <v>4.0771</v>
      </c>
      <c r="Z86" s="2066">
        <f t="shared" si="23"/>
        <v>3922.1702</v>
      </c>
      <c r="AA86" s="2068" t="s">
        <v>450</v>
      </c>
      <c r="AB86" s="2068">
        <v>962</v>
      </c>
      <c r="AC86" s="2068">
        <f t="shared" si="26"/>
        <v>0</v>
      </c>
      <c r="AD86" s="2069" t="s">
        <v>81</v>
      </c>
      <c r="AE86" s="2070" t="s">
        <v>63</v>
      </c>
      <c r="AF86" s="2070" t="s">
        <v>38</v>
      </c>
      <c r="AG86" s="2084"/>
      <c r="AH86" s="2073">
        <f t="shared" si="24"/>
        <v>962</v>
      </c>
      <c r="AI86" s="2042"/>
      <c r="AJ86" s="2085"/>
      <c r="AK86" s="2086"/>
      <c r="AL86" s="2042">
        <f t="shared" si="25"/>
        <v>962</v>
      </c>
      <c r="AM86" s="2087"/>
      <c r="AN86" s="2086"/>
      <c r="AO86" s="2086"/>
      <c r="AP86" s="2086"/>
      <c r="AQ86" s="2086"/>
      <c r="AR86" s="2086"/>
      <c r="AS86" s="2089"/>
      <c r="AT86" s="2086"/>
      <c r="AU86" s="2086"/>
      <c r="AV86" s="2086"/>
      <c r="AW86" s="2042"/>
      <c r="AX86" s="2042"/>
      <c r="AY86" s="2042"/>
      <c r="AZ86" s="2093"/>
      <c r="BA86" s="2042">
        <f>J86</f>
        <v>962</v>
      </c>
      <c r="BB86" s="2042"/>
      <c r="BC86" s="2042"/>
      <c r="BD86" s="2094">
        <f t="shared" si="11"/>
        <v>962</v>
      </c>
      <c r="BE86" s="2094">
        <f t="shared" si="12"/>
        <v>0</v>
      </c>
    </row>
    <row r="87" s="1988" customFormat="1" ht="36" customHeight="1" spans="1:57">
      <c r="A87" s="2018">
        <v>45674</v>
      </c>
      <c r="B87" s="2019" t="s">
        <v>90</v>
      </c>
      <c r="C87" s="1723" t="s">
        <v>91</v>
      </c>
      <c r="D87" s="2020">
        <v>4500155353</v>
      </c>
      <c r="E87" s="2324" t="s">
        <v>451</v>
      </c>
      <c r="F87" s="2019" t="s">
        <v>452</v>
      </c>
      <c r="G87" s="2019" t="s">
        <v>94</v>
      </c>
      <c r="H87" s="2023" t="s">
        <v>94</v>
      </c>
      <c r="I87" s="2036" t="s">
        <v>55</v>
      </c>
      <c r="J87" s="1989">
        <v>1570</v>
      </c>
      <c r="K87" s="2037">
        <v>0</v>
      </c>
      <c r="L87" s="2038">
        <v>2</v>
      </c>
      <c r="M87" s="2039">
        <f t="shared" si="19"/>
        <v>785</v>
      </c>
      <c r="N87" s="2040">
        <v>45742</v>
      </c>
      <c r="O87" s="2040">
        <v>45738</v>
      </c>
      <c r="P87" s="2042" t="s">
        <v>449</v>
      </c>
      <c r="Q87" s="1363" t="s">
        <v>56</v>
      </c>
      <c r="R87" s="1363" t="s">
        <v>453</v>
      </c>
      <c r="S87" s="1406" t="s">
        <v>97</v>
      </c>
      <c r="T87" s="1406"/>
      <c r="U87" s="1406" t="s">
        <v>413</v>
      </c>
      <c r="V87" s="2054" t="s">
        <v>414</v>
      </c>
      <c r="W87" s="2055" t="s">
        <v>299</v>
      </c>
      <c r="X87" s="2056" t="s">
        <v>101</v>
      </c>
      <c r="Y87" s="2065">
        <v>3.7145</v>
      </c>
      <c r="Z87" s="2066">
        <f t="shared" si="23"/>
        <v>5831.765</v>
      </c>
      <c r="AA87" s="2068" t="s">
        <v>454</v>
      </c>
      <c r="AB87" s="2068">
        <v>1570</v>
      </c>
      <c r="AC87" s="2068">
        <f t="shared" si="26"/>
        <v>0</v>
      </c>
      <c r="AD87" s="2069" t="s">
        <v>81</v>
      </c>
      <c r="AE87" s="2070" t="s">
        <v>63</v>
      </c>
      <c r="AF87" s="2070" t="s">
        <v>38</v>
      </c>
      <c r="AG87" s="2084"/>
      <c r="AH87" s="2073">
        <f t="shared" si="24"/>
        <v>1570</v>
      </c>
      <c r="AI87" s="2042"/>
      <c r="AJ87" s="2085"/>
      <c r="AK87" s="2086"/>
      <c r="AL87" s="2042">
        <f t="shared" si="25"/>
        <v>1570</v>
      </c>
      <c r="AM87" s="2087"/>
      <c r="AN87" s="2086"/>
      <c r="AO87" s="2086"/>
      <c r="AP87" s="2086"/>
      <c r="AQ87" s="2086"/>
      <c r="AR87" s="2086"/>
      <c r="AS87" s="2089"/>
      <c r="AT87" s="2086"/>
      <c r="AU87" s="2086"/>
      <c r="AV87" s="2086"/>
      <c r="AW87" s="2042"/>
      <c r="AX87" s="2042"/>
      <c r="AY87" s="2042"/>
      <c r="AZ87" s="2093"/>
      <c r="BA87" s="2042">
        <f>J87</f>
        <v>1570</v>
      </c>
      <c r="BB87" s="2042"/>
      <c r="BC87" s="2042"/>
      <c r="BD87" s="2094">
        <f t="shared" si="11"/>
        <v>1570</v>
      </c>
      <c r="BE87" s="2094">
        <f t="shared" si="12"/>
        <v>0</v>
      </c>
    </row>
    <row r="88" s="1988" customFormat="1" ht="36" customHeight="1" spans="1:57">
      <c r="A88" s="2018">
        <v>45701</v>
      </c>
      <c r="B88" s="2019" t="s">
        <v>133</v>
      </c>
      <c r="C88" s="1723" t="s">
        <v>91</v>
      </c>
      <c r="D88" s="2020">
        <v>4500157297</v>
      </c>
      <c r="E88" s="2021" t="s">
        <v>455</v>
      </c>
      <c r="F88" s="2019" t="s">
        <v>456</v>
      </c>
      <c r="G88" s="2023" t="s">
        <v>64</v>
      </c>
      <c r="H88" s="2023" t="s">
        <v>64</v>
      </c>
      <c r="I88" s="2036" t="s">
        <v>65</v>
      </c>
      <c r="J88" s="1989">
        <v>600</v>
      </c>
      <c r="K88" s="2037">
        <v>0</v>
      </c>
      <c r="L88" s="2038">
        <v>12</v>
      </c>
      <c r="M88" s="2039">
        <f t="shared" si="19"/>
        <v>50</v>
      </c>
      <c r="N88" s="2040">
        <v>45742</v>
      </c>
      <c r="O88" s="2040">
        <v>45738</v>
      </c>
      <c r="P88" s="2042"/>
      <c r="Q88" s="1363" t="s">
        <v>56</v>
      </c>
      <c r="R88" s="1363" t="s">
        <v>457</v>
      </c>
      <c r="S88" s="1406" t="s">
        <v>458</v>
      </c>
      <c r="T88" s="1406" t="s">
        <v>58</v>
      </c>
      <c r="U88" s="1406" t="s">
        <v>459</v>
      </c>
      <c r="V88" s="2054"/>
      <c r="W88" s="2055" t="s">
        <v>149</v>
      </c>
      <c r="X88" s="2056" t="s">
        <v>139</v>
      </c>
      <c r="Y88" s="2065">
        <v>4.0344</v>
      </c>
      <c r="Z88" s="2066">
        <f t="shared" si="23"/>
        <v>2420.64</v>
      </c>
      <c r="AA88" s="2068" t="s">
        <v>460</v>
      </c>
      <c r="AB88" s="2068">
        <v>600</v>
      </c>
      <c r="AC88" s="2068">
        <f t="shared" si="26"/>
        <v>0</v>
      </c>
      <c r="AD88" s="2069" t="s">
        <v>327</v>
      </c>
      <c r="AE88" s="2070" t="s">
        <v>63</v>
      </c>
      <c r="AF88" s="2070" t="s">
        <v>38</v>
      </c>
      <c r="AG88" s="2084"/>
      <c r="AH88" s="2073"/>
      <c r="AI88" s="2042">
        <f>J88</f>
        <v>600</v>
      </c>
      <c r="AJ88" s="2085"/>
      <c r="AK88" s="2110"/>
      <c r="AL88" s="2042">
        <f t="shared" si="25"/>
        <v>600</v>
      </c>
      <c r="AM88" s="2087"/>
      <c r="AN88" s="2110"/>
      <c r="AO88" s="2110"/>
      <c r="AP88" s="2110"/>
      <c r="AQ88" s="2110"/>
      <c r="AR88" s="2110"/>
      <c r="AS88" s="2111"/>
      <c r="AT88" s="2110"/>
      <c r="AU88" s="2110"/>
      <c r="AV88" s="2110"/>
      <c r="AW88" s="2042"/>
      <c r="AX88" s="2042">
        <f>J88</f>
        <v>600</v>
      </c>
      <c r="AY88" s="2042"/>
      <c r="AZ88" s="2095"/>
      <c r="BA88" s="2042"/>
      <c r="BB88" s="2042"/>
      <c r="BC88" s="2042"/>
      <c r="BD88" s="2094">
        <f t="shared" si="11"/>
        <v>600</v>
      </c>
      <c r="BE88" s="2094">
        <f t="shared" si="12"/>
        <v>0</v>
      </c>
    </row>
    <row r="89" s="1988" customFormat="1" ht="36" customHeight="1" spans="1:57">
      <c r="A89" s="2018">
        <v>45701</v>
      </c>
      <c r="B89" s="2019" t="s">
        <v>133</v>
      </c>
      <c r="C89" s="1723" t="s">
        <v>91</v>
      </c>
      <c r="D89" s="2020">
        <v>4500157297</v>
      </c>
      <c r="E89" s="2021" t="s">
        <v>461</v>
      </c>
      <c r="F89" s="2019" t="s">
        <v>462</v>
      </c>
      <c r="G89" s="2023" t="s">
        <v>66</v>
      </c>
      <c r="H89" s="2023" t="s">
        <v>66</v>
      </c>
      <c r="I89" s="2036" t="s">
        <v>67</v>
      </c>
      <c r="J89" s="1989">
        <v>600</v>
      </c>
      <c r="K89" s="2037">
        <v>0</v>
      </c>
      <c r="L89" s="2038">
        <v>12</v>
      </c>
      <c r="M89" s="2039">
        <f t="shared" si="19"/>
        <v>50</v>
      </c>
      <c r="N89" s="2040">
        <v>45742</v>
      </c>
      <c r="O89" s="2040">
        <v>45738</v>
      </c>
      <c r="P89" s="2042"/>
      <c r="Q89" s="1363" t="s">
        <v>56</v>
      </c>
      <c r="R89" s="1363" t="s">
        <v>457</v>
      </c>
      <c r="S89" s="1406" t="s">
        <v>458</v>
      </c>
      <c r="T89" s="1406" t="s">
        <v>58</v>
      </c>
      <c r="U89" s="1406" t="s">
        <v>459</v>
      </c>
      <c r="V89" s="2054"/>
      <c r="W89" s="2055" t="s">
        <v>149</v>
      </c>
      <c r="X89" s="2056" t="s">
        <v>139</v>
      </c>
      <c r="Y89" s="2065">
        <v>3.7168</v>
      </c>
      <c r="Z89" s="2066">
        <f t="shared" si="23"/>
        <v>2230.08</v>
      </c>
      <c r="AA89" s="2068" t="s">
        <v>460</v>
      </c>
      <c r="AB89" s="2068">
        <v>600</v>
      </c>
      <c r="AC89" s="2068">
        <f t="shared" si="26"/>
        <v>0</v>
      </c>
      <c r="AD89" s="2069" t="s">
        <v>327</v>
      </c>
      <c r="AE89" s="2070" t="s">
        <v>63</v>
      </c>
      <c r="AF89" s="2070" t="s">
        <v>38</v>
      </c>
      <c r="AG89" s="2084"/>
      <c r="AH89" s="2073"/>
      <c r="AI89" s="2042"/>
      <c r="AJ89" s="2085">
        <f>J89</f>
        <v>600</v>
      </c>
      <c r="AK89" s="2110"/>
      <c r="AL89" s="2042">
        <f t="shared" si="25"/>
        <v>600</v>
      </c>
      <c r="AM89" s="2087"/>
      <c r="AN89" s="2110"/>
      <c r="AO89" s="2110"/>
      <c r="AP89" s="2110"/>
      <c r="AQ89" s="2110"/>
      <c r="AR89" s="2110"/>
      <c r="AS89" s="2111"/>
      <c r="AT89" s="2110"/>
      <c r="AU89" s="2110"/>
      <c r="AV89" s="2110"/>
      <c r="AW89" s="2042"/>
      <c r="AX89" s="2042"/>
      <c r="AY89" s="2042">
        <f>J89</f>
        <v>600</v>
      </c>
      <c r="AZ89" s="2095"/>
      <c r="BA89" s="2042"/>
      <c r="BB89" s="2042"/>
      <c r="BC89" s="2042"/>
      <c r="BD89" s="2094">
        <f t="shared" si="11"/>
        <v>600</v>
      </c>
      <c r="BE89" s="2094">
        <f t="shared" si="12"/>
        <v>0</v>
      </c>
    </row>
    <row r="90" s="1988" customFormat="1" ht="36" customHeight="1" spans="1:57">
      <c r="A90" s="2018">
        <v>45701</v>
      </c>
      <c r="B90" s="2019" t="s">
        <v>133</v>
      </c>
      <c r="C90" s="1723" t="s">
        <v>91</v>
      </c>
      <c r="D90" s="2020">
        <v>4500157300</v>
      </c>
      <c r="E90" s="2021" t="s">
        <v>463</v>
      </c>
      <c r="F90" s="2019" t="s">
        <v>464</v>
      </c>
      <c r="G90" s="2023" t="s">
        <v>64</v>
      </c>
      <c r="H90" s="2023" t="s">
        <v>64</v>
      </c>
      <c r="I90" s="2036" t="s">
        <v>65</v>
      </c>
      <c r="J90" s="1989">
        <v>804</v>
      </c>
      <c r="K90" s="2037">
        <v>0</v>
      </c>
      <c r="L90" s="2038">
        <v>12</v>
      </c>
      <c r="M90" s="2039">
        <f t="shared" si="19"/>
        <v>67</v>
      </c>
      <c r="N90" s="2040">
        <v>45742</v>
      </c>
      <c r="O90" s="2040">
        <v>45738</v>
      </c>
      <c r="P90" s="2042"/>
      <c r="Q90" s="1363" t="s">
        <v>56</v>
      </c>
      <c r="R90" s="1363" t="s">
        <v>465</v>
      </c>
      <c r="S90" s="1406" t="s">
        <v>458</v>
      </c>
      <c r="T90" s="1406" t="s">
        <v>58</v>
      </c>
      <c r="U90" s="1406" t="s">
        <v>466</v>
      </c>
      <c r="V90" s="2054"/>
      <c r="W90" s="2055" t="s">
        <v>149</v>
      </c>
      <c r="X90" s="2056" t="s">
        <v>139</v>
      </c>
      <c r="Y90" s="2065">
        <v>4.0344</v>
      </c>
      <c r="Z90" s="2066">
        <f t="shared" si="23"/>
        <v>3243.6576</v>
      </c>
      <c r="AA90" s="2068" t="s">
        <v>467</v>
      </c>
      <c r="AB90" s="2068">
        <v>804</v>
      </c>
      <c r="AC90" s="2068">
        <f t="shared" si="26"/>
        <v>0</v>
      </c>
      <c r="AD90" s="2069" t="s">
        <v>327</v>
      </c>
      <c r="AE90" s="2070" t="s">
        <v>63</v>
      </c>
      <c r="AF90" s="2070" t="s">
        <v>38</v>
      </c>
      <c r="AG90" s="2084"/>
      <c r="AH90" s="2073"/>
      <c r="AI90" s="2042">
        <f>J90</f>
        <v>804</v>
      </c>
      <c r="AJ90" s="2085"/>
      <c r="AK90" s="2110"/>
      <c r="AL90" s="2042">
        <f t="shared" si="25"/>
        <v>804</v>
      </c>
      <c r="AM90" s="2087"/>
      <c r="AN90" s="2110"/>
      <c r="AO90" s="2110"/>
      <c r="AP90" s="2110"/>
      <c r="AQ90" s="2110"/>
      <c r="AR90" s="2110"/>
      <c r="AS90" s="2111"/>
      <c r="AT90" s="2110"/>
      <c r="AU90" s="2110"/>
      <c r="AV90" s="2110"/>
      <c r="AW90" s="2042"/>
      <c r="AX90" s="2042">
        <f>J90</f>
        <v>804</v>
      </c>
      <c r="AY90" s="2042"/>
      <c r="AZ90" s="2095"/>
      <c r="BA90" s="2042"/>
      <c r="BB90" s="2042"/>
      <c r="BC90" s="2042"/>
      <c r="BD90" s="2094">
        <f t="shared" ref="BD90:BD97" si="27">SUM(AH90:AJ90)</f>
        <v>804</v>
      </c>
      <c r="BE90" s="2094">
        <f t="shared" ref="BE90:BE97" si="28">BD90-J90</f>
        <v>0</v>
      </c>
    </row>
    <row r="91" s="1988" customFormat="1" ht="36" customHeight="1" spans="1:57">
      <c r="A91" s="2018">
        <v>45701</v>
      </c>
      <c r="B91" s="2019" t="s">
        <v>133</v>
      </c>
      <c r="C91" s="1723" t="s">
        <v>91</v>
      </c>
      <c r="D91" s="2020">
        <v>4500157300</v>
      </c>
      <c r="E91" s="2021" t="s">
        <v>468</v>
      </c>
      <c r="F91" s="2019" t="s">
        <v>469</v>
      </c>
      <c r="G91" s="2023" t="s">
        <v>66</v>
      </c>
      <c r="H91" s="2023" t="s">
        <v>66</v>
      </c>
      <c r="I91" s="2036" t="s">
        <v>67</v>
      </c>
      <c r="J91" s="1989">
        <v>804</v>
      </c>
      <c r="K91" s="2037">
        <v>0</v>
      </c>
      <c r="L91" s="2038">
        <v>12</v>
      </c>
      <c r="M91" s="2039">
        <f t="shared" si="19"/>
        <v>67</v>
      </c>
      <c r="N91" s="2040">
        <v>45742</v>
      </c>
      <c r="O91" s="2040">
        <v>45738</v>
      </c>
      <c r="P91" s="2042"/>
      <c r="Q91" s="1363" t="s">
        <v>56</v>
      </c>
      <c r="R91" s="1363" t="s">
        <v>465</v>
      </c>
      <c r="S91" s="1406" t="s">
        <v>458</v>
      </c>
      <c r="T91" s="1406" t="s">
        <v>58</v>
      </c>
      <c r="U91" s="1406" t="s">
        <v>466</v>
      </c>
      <c r="V91" s="2054"/>
      <c r="W91" s="2055" t="s">
        <v>149</v>
      </c>
      <c r="X91" s="2056" t="s">
        <v>139</v>
      </c>
      <c r="Y91" s="2065">
        <v>3.7168</v>
      </c>
      <c r="Z91" s="2066">
        <f t="shared" si="23"/>
        <v>2988.3072</v>
      </c>
      <c r="AA91" s="2068" t="s">
        <v>467</v>
      </c>
      <c r="AB91" s="2068">
        <v>804</v>
      </c>
      <c r="AC91" s="2068">
        <f t="shared" si="26"/>
        <v>0</v>
      </c>
      <c r="AD91" s="2069" t="s">
        <v>327</v>
      </c>
      <c r="AE91" s="2070" t="s">
        <v>63</v>
      </c>
      <c r="AF91" s="2070" t="s">
        <v>38</v>
      </c>
      <c r="AG91" s="2084"/>
      <c r="AH91" s="2073"/>
      <c r="AI91" s="2042"/>
      <c r="AJ91" s="2085">
        <f>J91</f>
        <v>804</v>
      </c>
      <c r="AK91" s="2110"/>
      <c r="AL91" s="2042">
        <f t="shared" si="25"/>
        <v>804</v>
      </c>
      <c r="AM91" s="2087"/>
      <c r="AN91" s="2110"/>
      <c r="AO91" s="2110"/>
      <c r="AP91" s="2110"/>
      <c r="AQ91" s="2110"/>
      <c r="AR91" s="2110"/>
      <c r="AS91" s="2111"/>
      <c r="AT91" s="2110"/>
      <c r="AU91" s="2110"/>
      <c r="AV91" s="2110"/>
      <c r="AW91" s="2042"/>
      <c r="AX91" s="2042"/>
      <c r="AY91" s="2042">
        <f>J91</f>
        <v>804</v>
      </c>
      <c r="AZ91" s="2095"/>
      <c r="BA91" s="2042"/>
      <c r="BB91" s="2042"/>
      <c r="BC91" s="2042"/>
      <c r="BD91" s="2094">
        <f t="shared" si="27"/>
        <v>804</v>
      </c>
      <c r="BE91" s="2094">
        <f t="shared" si="28"/>
        <v>0</v>
      </c>
    </row>
    <row r="92" s="1988" customFormat="1" ht="36" customHeight="1" spans="1:57">
      <c r="A92" s="2018">
        <v>45674</v>
      </c>
      <c r="B92" s="2019" t="s">
        <v>90</v>
      </c>
      <c r="C92" s="1723" t="s">
        <v>91</v>
      </c>
      <c r="D92" s="2020">
        <v>4500155356</v>
      </c>
      <c r="E92" s="2324" t="s">
        <v>470</v>
      </c>
      <c r="F92" s="2019" t="s">
        <v>471</v>
      </c>
      <c r="G92" s="2019" t="s">
        <v>94</v>
      </c>
      <c r="H92" s="2023" t="s">
        <v>94</v>
      </c>
      <c r="I92" s="2036" t="s">
        <v>55</v>
      </c>
      <c r="J92" s="1989">
        <v>544</v>
      </c>
      <c r="K92" s="2037">
        <v>0</v>
      </c>
      <c r="L92" s="2038">
        <v>2</v>
      </c>
      <c r="M92" s="2039">
        <f t="shared" si="19"/>
        <v>272</v>
      </c>
      <c r="N92" s="2040">
        <v>45748</v>
      </c>
      <c r="O92" s="2040">
        <v>45745</v>
      </c>
      <c r="P92" s="2042" t="s">
        <v>472</v>
      </c>
      <c r="Q92" s="1363" t="s">
        <v>56</v>
      </c>
      <c r="R92" s="1363" t="s">
        <v>473</v>
      </c>
      <c r="S92" s="1406" t="s">
        <v>97</v>
      </c>
      <c r="T92" s="1406"/>
      <c r="U92" s="1406" t="s">
        <v>413</v>
      </c>
      <c r="V92" s="2054" t="s">
        <v>414</v>
      </c>
      <c r="W92" s="2055" t="s">
        <v>299</v>
      </c>
      <c r="X92" s="2056" t="s">
        <v>101</v>
      </c>
      <c r="Y92" s="2065">
        <v>4.0771</v>
      </c>
      <c r="Z92" s="2066">
        <f t="shared" si="23"/>
        <v>2217.9424</v>
      </c>
      <c r="AA92" s="2068" t="s">
        <v>474</v>
      </c>
      <c r="AB92" s="2068">
        <f>542+2</f>
        <v>544</v>
      </c>
      <c r="AC92" s="2068">
        <f t="shared" si="26"/>
        <v>0</v>
      </c>
      <c r="AD92" s="2069" t="s">
        <v>81</v>
      </c>
      <c r="AE92" s="2070" t="s">
        <v>63</v>
      </c>
      <c r="AF92" s="2070" t="s">
        <v>38</v>
      </c>
      <c r="AG92" s="2084"/>
      <c r="AH92" s="2073">
        <f>J92</f>
        <v>544</v>
      </c>
      <c r="AI92" s="2042"/>
      <c r="AJ92" s="2085"/>
      <c r="AK92" s="2086"/>
      <c r="AL92" s="2042">
        <f t="shared" si="25"/>
        <v>544</v>
      </c>
      <c r="AM92" s="2087"/>
      <c r="AN92" s="2086"/>
      <c r="AO92" s="2086"/>
      <c r="AP92" s="2086"/>
      <c r="AQ92" s="2086"/>
      <c r="AR92" s="2086"/>
      <c r="AS92" s="2089"/>
      <c r="AT92" s="2086"/>
      <c r="AU92" s="2086"/>
      <c r="AV92" s="2086"/>
      <c r="AW92" s="2042"/>
      <c r="AX92" s="2042"/>
      <c r="AY92" s="2042"/>
      <c r="AZ92" s="2093"/>
      <c r="BA92" s="2042">
        <f>J92</f>
        <v>544</v>
      </c>
      <c r="BB92" s="2042"/>
      <c r="BC92" s="2042"/>
      <c r="BD92" s="2094">
        <f t="shared" si="27"/>
        <v>544</v>
      </c>
      <c r="BE92" s="2094">
        <f t="shared" si="28"/>
        <v>0</v>
      </c>
    </row>
    <row r="93" s="1988" customFormat="1" ht="36" customHeight="1" spans="1:57">
      <c r="A93" s="2018">
        <v>45674</v>
      </c>
      <c r="B93" s="2019" t="s">
        <v>90</v>
      </c>
      <c r="C93" s="1723" t="s">
        <v>91</v>
      </c>
      <c r="D93" s="2020">
        <v>4500155357</v>
      </c>
      <c r="E93" s="2324" t="s">
        <v>475</v>
      </c>
      <c r="F93" s="2019" t="s">
        <v>476</v>
      </c>
      <c r="G93" s="2019" t="s">
        <v>94</v>
      </c>
      <c r="H93" s="2023" t="s">
        <v>94</v>
      </c>
      <c r="I93" s="2036" t="s">
        <v>55</v>
      </c>
      <c r="J93" s="1989">
        <v>1176</v>
      </c>
      <c r="K93" s="2037">
        <v>0</v>
      </c>
      <c r="L93" s="2038">
        <v>2</v>
      </c>
      <c r="M93" s="2039">
        <f t="shared" si="19"/>
        <v>588</v>
      </c>
      <c r="N93" s="2040">
        <v>45748</v>
      </c>
      <c r="O93" s="2040">
        <v>45745</v>
      </c>
      <c r="P93" s="2042" t="s">
        <v>472</v>
      </c>
      <c r="Q93" s="1363" t="s">
        <v>56</v>
      </c>
      <c r="R93" s="1363" t="s">
        <v>477</v>
      </c>
      <c r="S93" s="1406" t="s">
        <v>97</v>
      </c>
      <c r="T93" s="1406"/>
      <c r="U93" s="1406" t="s">
        <v>413</v>
      </c>
      <c r="V93" s="2054" t="s">
        <v>414</v>
      </c>
      <c r="W93" s="2055" t="s">
        <v>299</v>
      </c>
      <c r="X93" s="2056" t="s">
        <v>101</v>
      </c>
      <c r="Y93" s="2065">
        <v>3.7145</v>
      </c>
      <c r="Z93" s="2066">
        <f t="shared" si="23"/>
        <v>4368.252</v>
      </c>
      <c r="AA93" s="2068" t="s">
        <v>478</v>
      </c>
      <c r="AB93" s="2068">
        <v>1176</v>
      </c>
      <c r="AC93" s="2068">
        <f t="shared" si="26"/>
        <v>0</v>
      </c>
      <c r="AD93" s="2069" t="s">
        <v>81</v>
      </c>
      <c r="AE93" s="2070" t="s">
        <v>63</v>
      </c>
      <c r="AF93" s="2070" t="s">
        <v>38</v>
      </c>
      <c r="AG93" s="2084"/>
      <c r="AH93" s="2073">
        <f>J93</f>
        <v>1176</v>
      </c>
      <c r="AI93" s="2042"/>
      <c r="AJ93" s="2085"/>
      <c r="AK93" s="2086"/>
      <c r="AL93" s="2042">
        <f t="shared" si="25"/>
        <v>1176</v>
      </c>
      <c r="AM93" s="2087"/>
      <c r="AN93" s="2086"/>
      <c r="AO93" s="2086"/>
      <c r="AP93" s="2086"/>
      <c r="AQ93" s="2086"/>
      <c r="AR93" s="2086"/>
      <c r="AS93" s="2089"/>
      <c r="AT93" s="2086"/>
      <c r="AU93" s="2086"/>
      <c r="AV93" s="2086"/>
      <c r="AW93" s="2042"/>
      <c r="AX93" s="2042"/>
      <c r="AY93" s="2042"/>
      <c r="AZ93" s="2093"/>
      <c r="BA93" s="2042">
        <f>J93</f>
        <v>1176</v>
      </c>
      <c r="BB93" s="2042"/>
      <c r="BC93" s="2042"/>
      <c r="BD93" s="2094">
        <f t="shared" si="27"/>
        <v>1176</v>
      </c>
      <c r="BE93" s="2094">
        <f t="shared" si="28"/>
        <v>0</v>
      </c>
    </row>
    <row r="94" s="1988" customFormat="1" ht="36" customHeight="1" spans="1:57">
      <c r="A94" s="2018">
        <v>45677</v>
      </c>
      <c r="B94" s="2098" t="s">
        <v>479</v>
      </c>
      <c r="C94" s="1723" t="s">
        <v>91</v>
      </c>
      <c r="D94" s="2099">
        <v>4500156207</v>
      </c>
      <c r="E94" s="2100" t="s">
        <v>480</v>
      </c>
      <c r="F94" s="2019" t="s">
        <v>481</v>
      </c>
      <c r="G94" s="2101" t="s">
        <v>482</v>
      </c>
      <c r="H94" s="2023" t="s">
        <v>483</v>
      </c>
      <c r="I94" s="2103" t="s">
        <v>484</v>
      </c>
      <c r="J94" s="2104">
        <v>1170</v>
      </c>
      <c r="K94" s="2037">
        <v>0</v>
      </c>
      <c r="L94" s="2038">
        <v>6</v>
      </c>
      <c r="M94" s="2039">
        <f t="shared" si="19"/>
        <v>195</v>
      </c>
      <c r="N94" s="2040">
        <v>45748</v>
      </c>
      <c r="O94" s="2040">
        <v>45745</v>
      </c>
      <c r="P94" s="1365"/>
      <c r="Q94" s="1363" t="s">
        <v>56</v>
      </c>
      <c r="R94" s="1363" t="s">
        <v>485</v>
      </c>
      <c r="S94" s="1364" t="s">
        <v>486</v>
      </c>
      <c r="T94" s="1364"/>
      <c r="U94" s="1406" t="s">
        <v>487</v>
      </c>
      <c r="V94" s="2054" t="s">
        <v>488</v>
      </c>
      <c r="W94" s="2055" t="s">
        <v>489</v>
      </c>
      <c r="X94" s="2087" t="s">
        <v>490</v>
      </c>
      <c r="Y94" s="2065">
        <v>24.2136</v>
      </c>
      <c r="Z94" s="2066">
        <f>Y94*M94</f>
        <v>4721.652</v>
      </c>
      <c r="AA94" s="2068" t="s">
        <v>491</v>
      </c>
      <c r="AB94" s="2107">
        <v>1170</v>
      </c>
      <c r="AC94" s="2068">
        <f t="shared" si="26"/>
        <v>0</v>
      </c>
      <c r="AD94" s="2108" t="s">
        <v>81</v>
      </c>
      <c r="AE94" s="2070" t="s">
        <v>63</v>
      </c>
      <c r="AF94" s="2070" t="s">
        <v>38</v>
      </c>
      <c r="AG94" s="1363"/>
      <c r="AH94" s="2042">
        <f>J94/3</f>
        <v>390</v>
      </c>
      <c r="AI94" s="2042">
        <f>J94/3</f>
        <v>390</v>
      </c>
      <c r="AJ94" s="2042">
        <f>J94/3</f>
        <v>390</v>
      </c>
      <c r="AK94" s="2088"/>
      <c r="AL94" s="2042"/>
      <c r="AM94" s="2042">
        <f>J94</f>
        <v>1170</v>
      </c>
      <c r="AN94" s="2088"/>
      <c r="AO94" s="2088"/>
      <c r="AP94" s="2088"/>
      <c r="AQ94" s="2088"/>
      <c r="AR94" s="2088"/>
      <c r="AS94" s="2088"/>
      <c r="AT94" s="2088"/>
      <c r="AU94" s="2088"/>
      <c r="AV94" s="2088"/>
      <c r="AW94" s="2042">
        <f>J94/3</f>
        <v>390</v>
      </c>
      <c r="AX94" s="2042">
        <f>J94/3</f>
        <v>390</v>
      </c>
      <c r="AY94" s="2042">
        <f>J94/3</f>
        <v>390</v>
      </c>
      <c r="AZ94" s="2096"/>
      <c r="BA94" s="2042"/>
      <c r="BB94" s="2042"/>
      <c r="BC94" s="2042"/>
      <c r="BD94" s="2094">
        <f t="shared" si="27"/>
        <v>1170</v>
      </c>
      <c r="BE94" s="2094">
        <f t="shared" si="28"/>
        <v>0</v>
      </c>
    </row>
    <row r="95" s="1988" customFormat="1" ht="36" customHeight="1" spans="1:57">
      <c r="A95" s="2018">
        <v>45716</v>
      </c>
      <c r="B95" s="2098" t="s">
        <v>492</v>
      </c>
      <c r="C95" s="1723" t="s">
        <v>493</v>
      </c>
      <c r="D95" s="2099">
        <v>4500158935</v>
      </c>
      <c r="E95" s="2100">
        <v>4400468554</v>
      </c>
      <c r="F95" s="2019" t="s">
        <v>494</v>
      </c>
      <c r="G95" s="2101" t="s">
        <v>495</v>
      </c>
      <c r="H95" s="2023" t="s">
        <v>54</v>
      </c>
      <c r="I95" s="2036" t="s">
        <v>55</v>
      </c>
      <c r="J95" s="1989">
        <v>2208</v>
      </c>
      <c r="K95" s="2037">
        <v>0</v>
      </c>
      <c r="L95" s="2038">
        <v>12</v>
      </c>
      <c r="M95" s="2039">
        <f t="shared" si="19"/>
        <v>184</v>
      </c>
      <c r="N95" s="2040">
        <v>45750</v>
      </c>
      <c r="O95" s="2040">
        <v>45747</v>
      </c>
      <c r="P95" s="1365"/>
      <c r="Q95" s="1363" t="s">
        <v>56</v>
      </c>
      <c r="R95" s="1363"/>
      <c r="S95" s="1364" t="s">
        <v>496</v>
      </c>
      <c r="T95" s="1364"/>
      <c r="U95" s="1406" t="s">
        <v>497</v>
      </c>
      <c r="V95" s="2054" t="s">
        <v>498</v>
      </c>
      <c r="W95" s="2055" t="s">
        <v>499</v>
      </c>
      <c r="X95" s="2056" t="s">
        <v>500</v>
      </c>
      <c r="Y95" s="2065">
        <v>3.4606</v>
      </c>
      <c r="Z95" s="2066">
        <f>Y95*J95</f>
        <v>7641.0048</v>
      </c>
      <c r="AA95" s="2068" t="s">
        <v>501</v>
      </c>
      <c r="AB95" s="2107">
        <f>1080+1128</f>
        <v>2208</v>
      </c>
      <c r="AC95" s="2068">
        <f t="shared" si="26"/>
        <v>0</v>
      </c>
      <c r="AD95" s="2108" t="s">
        <v>81</v>
      </c>
      <c r="AE95" s="2070" t="s">
        <v>63</v>
      </c>
      <c r="AF95" s="2070" t="s">
        <v>38</v>
      </c>
      <c r="AG95" s="1363"/>
      <c r="AH95" s="2073">
        <f>J95</f>
        <v>2208</v>
      </c>
      <c r="AI95" s="2042"/>
      <c r="AJ95" s="2042"/>
      <c r="AK95" s="2088"/>
      <c r="AL95" s="2042"/>
      <c r="AM95" s="2042">
        <f>J95</f>
        <v>2208</v>
      </c>
      <c r="AN95" s="2088"/>
      <c r="AO95" s="2088"/>
      <c r="AP95" s="2088"/>
      <c r="AQ95" s="2088"/>
      <c r="AR95" s="2088"/>
      <c r="AS95" s="2088"/>
      <c r="AT95" s="2088"/>
      <c r="AU95" s="2088"/>
      <c r="AV95" s="2088"/>
      <c r="AW95" s="2042"/>
      <c r="AX95" s="2042"/>
      <c r="AY95" s="2042"/>
      <c r="AZ95" s="2096"/>
      <c r="BA95" s="2042"/>
      <c r="BB95" s="2042"/>
      <c r="BC95" s="2042"/>
      <c r="BD95" s="2094">
        <f t="shared" si="27"/>
        <v>2208</v>
      </c>
      <c r="BE95" s="2094">
        <f t="shared" si="28"/>
        <v>0</v>
      </c>
    </row>
    <row r="96" s="1988" customFormat="1" ht="36" customHeight="1" spans="1:57">
      <c r="A96" s="2018">
        <v>45765</v>
      </c>
      <c r="B96" s="2098" t="s">
        <v>111</v>
      </c>
      <c r="C96" s="1723" t="s">
        <v>112</v>
      </c>
      <c r="D96" s="2099">
        <v>4500163959</v>
      </c>
      <c r="E96" s="2100" t="s">
        <v>502</v>
      </c>
      <c r="F96" s="2019" t="s">
        <v>503</v>
      </c>
      <c r="G96" s="2024" t="s">
        <v>64</v>
      </c>
      <c r="H96" s="2023" t="s">
        <v>64</v>
      </c>
      <c r="I96" s="2036" t="s">
        <v>65</v>
      </c>
      <c r="J96" s="1989">
        <v>96</v>
      </c>
      <c r="K96" s="2037">
        <v>0</v>
      </c>
      <c r="L96" s="2038">
        <v>12</v>
      </c>
      <c r="M96" s="2039">
        <f t="shared" si="19"/>
        <v>8</v>
      </c>
      <c r="N96" s="2040">
        <v>45765</v>
      </c>
      <c r="O96" s="2040">
        <v>45761</v>
      </c>
      <c r="P96" s="1365" t="s">
        <v>504</v>
      </c>
      <c r="Q96" s="1363" t="s">
        <v>56</v>
      </c>
      <c r="R96" s="1363" t="s">
        <v>505</v>
      </c>
      <c r="S96" s="1406" t="s">
        <v>270</v>
      </c>
      <c r="T96" s="1406"/>
      <c r="U96" s="1406" t="s">
        <v>506</v>
      </c>
      <c r="V96" s="1402" t="s">
        <v>118</v>
      </c>
      <c r="W96" s="2055" t="s">
        <v>507</v>
      </c>
      <c r="X96" s="2087" t="s">
        <v>508</v>
      </c>
      <c r="Y96" s="2065">
        <v>3.9509</v>
      </c>
      <c r="Z96" s="2066">
        <f>Y96*J96</f>
        <v>379.2864</v>
      </c>
      <c r="AA96" s="2068" t="s">
        <v>509</v>
      </c>
      <c r="AB96" s="2068">
        <v>96</v>
      </c>
      <c r="AC96" s="2068">
        <f t="shared" si="26"/>
        <v>0</v>
      </c>
      <c r="AD96" s="2069"/>
      <c r="AE96" s="2070" t="s">
        <v>63</v>
      </c>
      <c r="AF96" s="2070" t="s">
        <v>38</v>
      </c>
      <c r="AG96" s="1363"/>
      <c r="AH96" s="2073"/>
      <c r="AI96" s="2042">
        <f>J96</f>
        <v>96</v>
      </c>
      <c r="AJ96" s="2042"/>
      <c r="AK96" s="2086"/>
      <c r="AL96" s="2042">
        <f>J96</f>
        <v>96</v>
      </c>
      <c r="AM96" s="2042"/>
      <c r="AN96" s="2086"/>
      <c r="AO96" s="2086"/>
      <c r="AP96" s="2086"/>
      <c r="AQ96" s="2086"/>
      <c r="AR96" s="2086"/>
      <c r="AS96" s="2086"/>
      <c r="AT96" s="2086"/>
      <c r="AU96" s="2086"/>
      <c r="AV96" s="2086"/>
      <c r="AW96" s="2042"/>
      <c r="AX96" s="2042">
        <f>J96</f>
        <v>96</v>
      </c>
      <c r="AY96" s="2042"/>
      <c r="AZ96" s="2093"/>
      <c r="BA96" s="2042"/>
      <c r="BB96" s="2042"/>
      <c r="BC96" s="2042"/>
      <c r="BD96" s="2094">
        <f t="shared" si="27"/>
        <v>96</v>
      </c>
      <c r="BE96" s="2094">
        <f t="shared" si="28"/>
        <v>0</v>
      </c>
    </row>
    <row r="97" s="1988" customFormat="1" ht="36" customHeight="1" spans="1:57">
      <c r="A97" s="2018">
        <v>45720</v>
      </c>
      <c r="B97" s="2098" t="s">
        <v>510</v>
      </c>
      <c r="C97" s="1723" t="s">
        <v>398</v>
      </c>
      <c r="D97" s="2099">
        <v>4500158924</v>
      </c>
      <c r="E97" s="2100" t="s">
        <v>511</v>
      </c>
      <c r="F97" s="2019" t="s">
        <v>512</v>
      </c>
      <c r="G97" s="2024" t="s">
        <v>513</v>
      </c>
      <c r="H97" s="2023" t="s">
        <v>64</v>
      </c>
      <c r="I97" s="2036" t="s">
        <v>65</v>
      </c>
      <c r="J97" s="1989">
        <v>600</v>
      </c>
      <c r="K97" s="2037">
        <v>0</v>
      </c>
      <c r="L97" s="2038">
        <v>12</v>
      </c>
      <c r="M97" s="2039">
        <f t="shared" si="19"/>
        <v>50</v>
      </c>
      <c r="N97" s="2040">
        <v>45768</v>
      </c>
      <c r="O97" s="2040">
        <v>45764</v>
      </c>
      <c r="P97" s="1365"/>
      <c r="Q97" s="1363" t="s">
        <v>56</v>
      </c>
      <c r="R97" s="1363"/>
      <c r="S97" s="1406" t="s">
        <v>496</v>
      </c>
      <c r="T97" s="1406"/>
      <c r="U97" s="1406" t="s">
        <v>514</v>
      </c>
      <c r="V97" s="2054" t="s">
        <v>515</v>
      </c>
      <c r="W97" s="2055" t="s">
        <v>516</v>
      </c>
      <c r="X97" s="2087" t="s">
        <v>517</v>
      </c>
      <c r="Y97" s="2065">
        <v>3.6195</v>
      </c>
      <c r="Z97" s="2066">
        <f t="shared" ref="Z97:Z125" si="29">Y97*J97</f>
        <v>2171.7</v>
      </c>
      <c r="AA97" s="2068" t="s">
        <v>518</v>
      </c>
      <c r="AB97" s="2107">
        <v>600</v>
      </c>
      <c r="AC97" s="2068">
        <f t="shared" ref="AC97:AC153" si="30">AB97-J97</f>
        <v>0</v>
      </c>
      <c r="AD97" s="2069" t="s">
        <v>327</v>
      </c>
      <c r="AE97" s="2070" t="s">
        <v>63</v>
      </c>
      <c r="AF97" s="2070" t="s">
        <v>38</v>
      </c>
      <c r="AG97" s="1363"/>
      <c r="AH97" s="2073"/>
      <c r="AI97" s="2042">
        <f>J97</f>
        <v>600</v>
      </c>
      <c r="AJ97" s="2042"/>
      <c r="AK97" s="2086"/>
      <c r="AL97" s="2042"/>
      <c r="AM97" s="2042">
        <f t="shared" ref="AM97:AM102" si="31">J97</f>
        <v>600</v>
      </c>
      <c r="AN97" s="2086"/>
      <c r="AO97" s="2086"/>
      <c r="AP97" s="2086"/>
      <c r="AQ97" s="2086"/>
      <c r="AR97" s="2086"/>
      <c r="AS97" s="2086"/>
      <c r="AT97" s="2086"/>
      <c r="AU97" s="2086"/>
      <c r="AV97" s="2086"/>
      <c r="AW97" s="2042"/>
      <c r="AX97" s="2042"/>
      <c r="AY97" s="2042"/>
      <c r="AZ97" s="2093"/>
      <c r="BA97" s="2042"/>
      <c r="BB97" s="2042">
        <f>J97</f>
        <v>600</v>
      </c>
      <c r="BC97" s="2042"/>
      <c r="BD97" s="2094">
        <f t="shared" ref="BD97:BD160" si="32">SUM(AH97:AJ97)</f>
        <v>600</v>
      </c>
      <c r="BE97" s="2094">
        <f t="shared" ref="BE97:BE160" si="33">BD97-J97</f>
        <v>0</v>
      </c>
    </row>
    <row r="98" s="1988" customFormat="1" ht="36" customHeight="1" spans="1:57">
      <c r="A98" s="2018">
        <v>45720</v>
      </c>
      <c r="B98" s="2098" t="s">
        <v>510</v>
      </c>
      <c r="C98" s="1723" t="s">
        <v>398</v>
      </c>
      <c r="D98" s="2099">
        <v>4500158924</v>
      </c>
      <c r="E98" s="2100" t="s">
        <v>511</v>
      </c>
      <c r="F98" s="2019" t="s">
        <v>519</v>
      </c>
      <c r="G98" s="2024" t="s">
        <v>180</v>
      </c>
      <c r="H98" s="2023" t="s">
        <v>66</v>
      </c>
      <c r="I98" s="2036" t="s">
        <v>67</v>
      </c>
      <c r="J98" s="1989">
        <v>600</v>
      </c>
      <c r="K98" s="2037">
        <v>0</v>
      </c>
      <c r="L98" s="2038">
        <v>12</v>
      </c>
      <c r="M98" s="2039">
        <f t="shared" si="19"/>
        <v>50</v>
      </c>
      <c r="N98" s="2040">
        <v>45768</v>
      </c>
      <c r="O98" s="2040">
        <v>45764</v>
      </c>
      <c r="P98" s="1365"/>
      <c r="Q98" s="1363" t="s">
        <v>56</v>
      </c>
      <c r="R98" s="1363"/>
      <c r="S98" s="1406" t="s">
        <v>496</v>
      </c>
      <c r="T98" s="1406"/>
      <c r="U98" s="1406" t="s">
        <v>514</v>
      </c>
      <c r="V98" s="2054" t="s">
        <v>515</v>
      </c>
      <c r="W98" s="2055" t="s">
        <v>520</v>
      </c>
      <c r="X98" s="2087" t="s">
        <v>517</v>
      </c>
      <c r="Y98" s="2065">
        <v>3.3019</v>
      </c>
      <c r="Z98" s="2066">
        <f t="shared" si="29"/>
        <v>1981.14</v>
      </c>
      <c r="AA98" s="2068" t="s">
        <v>518</v>
      </c>
      <c r="AB98" s="2107">
        <v>600</v>
      </c>
      <c r="AC98" s="2068">
        <f t="shared" si="30"/>
        <v>0</v>
      </c>
      <c r="AD98" s="2069" t="s">
        <v>327</v>
      </c>
      <c r="AE98" s="2070" t="s">
        <v>63</v>
      </c>
      <c r="AF98" s="2070" t="s">
        <v>38</v>
      </c>
      <c r="AG98" s="1363"/>
      <c r="AH98" s="2073"/>
      <c r="AI98" s="2042"/>
      <c r="AJ98" s="2085">
        <f>J98</f>
        <v>600</v>
      </c>
      <c r="AK98" s="2086"/>
      <c r="AL98" s="2042"/>
      <c r="AM98" s="2042">
        <f t="shared" si="31"/>
        <v>600</v>
      </c>
      <c r="AN98" s="2086"/>
      <c r="AO98" s="2086"/>
      <c r="AP98" s="2086"/>
      <c r="AQ98" s="2086"/>
      <c r="AR98" s="2086"/>
      <c r="AS98" s="2086"/>
      <c r="AT98" s="2086"/>
      <c r="AU98" s="2086"/>
      <c r="AV98" s="2086"/>
      <c r="AW98" s="2042"/>
      <c r="AX98" s="2042"/>
      <c r="AY98" s="2042"/>
      <c r="AZ98" s="2093"/>
      <c r="BA98" s="2042"/>
      <c r="BB98" s="2042"/>
      <c r="BC98" s="2042">
        <f>J98</f>
        <v>600</v>
      </c>
      <c r="BD98" s="2094">
        <f t="shared" si="32"/>
        <v>600</v>
      </c>
      <c r="BE98" s="2094">
        <f t="shared" si="33"/>
        <v>0</v>
      </c>
    </row>
    <row r="99" s="1988" customFormat="1" ht="36" customHeight="1" spans="1:57">
      <c r="A99" s="2018">
        <v>45720</v>
      </c>
      <c r="B99" s="2098" t="s">
        <v>510</v>
      </c>
      <c r="C99" s="1723" t="s">
        <v>398</v>
      </c>
      <c r="D99" s="2099">
        <v>4500158924</v>
      </c>
      <c r="E99" s="2100" t="s">
        <v>521</v>
      </c>
      <c r="F99" s="2019" t="s">
        <v>522</v>
      </c>
      <c r="G99" s="2024" t="s">
        <v>513</v>
      </c>
      <c r="H99" s="2023" t="s">
        <v>64</v>
      </c>
      <c r="I99" s="2036" t="s">
        <v>65</v>
      </c>
      <c r="J99" s="1989">
        <v>216</v>
      </c>
      <c r="K99" s="2037">
        <v>0</v>
      </c>
      <c r="L99" s="2038">
        <v>12</v>
      </c>
      <c r="M99" s="2039">
        <f t="shared" si="19"/>
        <v>18</v>
      </c>
      <c r="N99" s="2040">
        <v>45768</v>
      </c>
      <c r="O99" s="2040">
        <v>45764</v>
      </c>
      <c r="P99" s="1365"/>
      <c r="Q99" s="1363" t="s">
        <v>56</v>
      </c>
      <c r="R99" s="1363"/>
      <c r="S99" s="1406" t="s">
        <v>496</v>
      </c>
      <c r="T99" s="1406"/>
      <c r="U99" s="1406" t="s">
        <v>514</v>
      </c>
      <c r="V99" s="2054" t="s">
        <v>515</v>
      </c>
      <c r="W99" s="2055" t="s">
        <v>516</v>
      </c>
      <c r="X99" s="2087" t="s">
        <v>517</v>
      </c>
      <c r="Y99" s="2065">
        <v>3.6195</v>
      </c>
      <c r="Z99" s="2066">
        <f t="shared" si="29"/>
        <v>781.812</v>
      </c>
      <c r="AA99" s="2068" t="s">
        <v>518</v>
      </c>
      <c r="AB99" s="2107">
        <v>216</v>
      </c>
      <c r="AC99" s="2068">
        <f t="shared" si="30"/>
        <v>0</v>
      </c>
      <c r="AD99" s="2069" t="s">
        <v>327</v>
      </c>
      <c r="AE99" s="2070" t="s">
        <v>63</v>
      </c>
      <c r="AF99" s="2070" t="s">
        <v>38</v>
      </c>
      <c r="AG99" s="1363"/>
      <c r="AH99" s="2073"/>
      <c r="AI99" s="2042">
        <f>J99</f>
        <v>216</v>
      </c>
      <c r="AJ99" s="2042"/>
      <c r="AK99" s="2086"/>
      <c r="AL99" s="2042"/>
      <c r="AM99" s="2042">
        <f t="shared" si="31"/>
        <v>216</v>
      </c>
      <c r="AN99" s="2086"/>
      <c r="AO99" s="2086"/>
      <c r="AP99" s="2086"/>
      <c r="AQ99" s="2086"/>
      <c r="AR99" s="2086"/>
      <c r="AS99" s="2086"/>
      <c r="AT99" s="2086"/>
      <c r="AU99" s="2086"/>
      <c r="AV99" s="2086"/>
      <c r="AW99" s="2042"/>
      <c r="AX99" s="2042"/>
      <c r="AY99" s="2042"/>
      <c r="AZ99" s="2093"/>
      <c r="BA99" s="2042"/>
      <c r="BB99" s="2042">
        <f>J99</f>
        <v>216</v>
      </c>
      <c r="BC99" s="2042"/>
      <c r="BD99" s="2094">
        <f t="shared" si="32"/>
        <v>216</v>
      </c>
      <c r="BE99" s="2094">
        <f t="shared" si="33"/>
        <v>0</v>
      </c>
    </row>
    <row r="100" s="1988" customFormat="1" ht="36" customHeight="1" spans="1:57">
      <c r="A100" s="2018">
        <v>45720</v>
      </c>
      <c r="B100" s="2098" t="s">
        <v>510</v>
      </c>
      <c r="C100" s="1723" t="s">
        <v>398</v>
      </c>
      <c r="D100" s="2099">
        <v>4500158924</v>
      </c>
      <c r="E100" s="2100" t="s">
        <v>523</v>
      </c>
      <c r="F100" s="2019" t="s">
        <v>524</v>
      </c>
      <c r="G100" s="2024" t="s">
        <v>180</v>
      </c>
      <c r="H100" s="2023" t="s">
        <v>66</v>
      </c>
      <c r="I100" s="2036" t="s">
        <v>67</v>
      </c>
      <c r="J100" s="1989">
        <v>216</v>
      </c>
      <c r="K100" s="2037">
        <v>0</v>
      </c>
      <c r="L100" s="2038">
        <v>12</v>
      </c>
      <c r="M100" s="2039">
        <f t="shared" si="19"/>
        <v>18</v>
      </c>
      <c r="N100" s="2040">
        <v>45768</v>
      </c>
      <c r="O100" s="2040">
        <v>45764</v>
      </c>
      <c r="P100" s="1365"/>
      <c r="Q100" s="1363" t="s">
        <v>56</v>
      </c>
      <c r="R100" s="1363"/>
      <c r="S100" s="1406" t="s">
        <v>496</v>
      </c>
      <c r="T100" s="1406"/>
      <c r="U100" s="1406" t="s">
        <v>514</v>
      </c>
      <c r="V100" s="2054" t="s">
        <v>515</v>
      </c>
      <c r="W100" s="2055" t="s">
        <v>520</v>
      </c>
      <c r="X100" s="2087" t="s">
        <v>517</v>
      </c>
      <c r="Y100" s="2065">
        <v>3.3019</v>
      </c>
      <c r="Z100" s="2066">
        <f t="shared" si="29"/>
        <v>713.2104</v>
      </c>
      <c r="AA100" s="2068" t="s">
        <v>518</v>
      </c>
      <c r="AB100" s="2107">
        <v>216</v>
      </c>
      <c r="AC100" s="2068">
        <f t="shared" si="30"/>
        <v>0</v>
      </c>
      <c r="AD100" s="2069" t="s">
        <v>327</v>
      </c>
      <c r="AE100" s="2070" t="s">
        <v>63</v>
      </c>
      <c r="AF100" s="2070" t="s">
        <v>38</v>
      </c>
      <c r="AG100" s="1363"/>
      <c r="AH100" s="2073"/>
      <c r="AI100" s="2042"/>
      <c r="AJ100" s="2085">
        <f>J100</f>
        <v>216</v>
      </c>
      <c r="AK100" s="2086"/>
      <c r="AL100" s="2042"/>
      <c r="AM100" s="2042">
        <f t="shared" si="31"/>
        <v>216</v>
      </c>
      <c r="AN100" s="2086"/>
      <c r="AO100" s="2086"/>
      <c r="AP100" s="2086"/>
      <c r="AQ100" s="2086"/>
      <c r="AR100" s="2086"/>
      <c r="AS100" s="2086"/>
      <c r="AT100" s="2086"/>
      <c r="AU100" s="2086"/>
      <c r="AV100" s="2086"/>
      <c r="AW100" s="2042"/>
      <c r="AX100" s="2042"/>
      <c r="AY100" s="2042"/>
      <c r="AZ100" s="2093"/>
      <c r="BA100" s="2042"/>
      <c r="BB100" s="2042"/>
      <c r="BC100" s="2042">
        <f>J100</f>
        <v>216</v>
      </c>
      <c r="BD100" s="2094">
        <f t="shared" si="32"/>
        <v>216</v>
      </c>
      <c r="BE100" s="2094">
        <f t="shared" si="33"/>
        <v>0</v>
      </c>
    </row>
    <row r="101" s="1988" customFormat="1" ht="36" customHeight="1" spans="1:57">
      <c r="A101" s="2018">
        <v>45720</v>
      </c>
      <c r="B101" s="2098" t="s">
        <v>510</v>
      </c>
      <c r="C101" s="1723" t="s">
        <v>398</v>
      </c>
      <c r="D101" s="2099">
        <v>4500158924</v>
      </c>
      <c r="E101" s="2100" t="s">
        <v>525</v>
      </c>
      <c r="F101" s="2019" t="s">
        <v>526</v>
      </c>
      <c r="G101" s="2024" t="s">
        <v>513</v>
      </c>
      <c r="H101" s="2023" t="s">
        <v>64</v>
      </c>
      <c r="I101" s="2036" t="s">
        <v>65</v>
      </c>
      <c r="J101" s="1989">
        <v>444</v>
      </c>
      <c r="K101" s="2037">
        <v>0</v>
      </c>
      <c r="L101" s="2038">
        <v>12</v>
      </c>
      <c r="M101" s="2039">
        <f t="shared" si="19"/>
        <v>37</v>
      </c>
      <c r="N101" s="2040">
        <v>45768</v>
      </c>
      <c r="O101" s="2040">
        <v>45764</v>
      </c>
      <c r="P101" s="1365"/>
      <c r="Q101" s="1363" t="s">
        <v>56</v>
      </c>
      <c r="R101" s="1363"/>
      <c r="S101" s="1406" t="s">
        <v>496</v>
      </c>
      <c r="T101" s="1406"/>
      <c r="U101" s="1406" t="s">
        <v>514</v>
      </c>
      <c r="V101" s="2054" t="s">
        <v>515</v>
      </c>
      <c r="W101" s="2055" t="s">
        <v>516</v>
      </c>
      <c r="X101" s="2087" t="s">
        <v>517</v>
      </c>
      <c r="Y101" s="2065">
        <v>3.6195</v>
      </c>
      <c r="Z101" s="2066">
        <f t="shared" si="29"/>
        <v>1607.058</v>
      </c>
      <c r="AA101" s="2068" t="s">
        <v>518</v>
      </c>
      <c r="AB101" s="2107">
        <v>444</v>
      </c>
      <c r="AC101" s="2068">
        <f t="shared" si="30"/>
        <v>0</v>
      </c>
      <c r="AD101" s="2069" t="s">
        <v>327</v>
      </c>
      <c r="AE101" s="2070" t="s">
        <v>63</v>
      </c>
      <c r="AF101" s="2070" t="s">
        <v>38</v>
      </c>
      <c r="AG101" s="1363"/>
      <c r="AH101" s="2073"/>
      <c r="AI101" s="2042">
        <f>J101</f>
        <v>444</v>
      </c>
      <c r="AJ101" s="2042"/>
      <c r="AK101" s="2086"/>
      <c r="AL101" s="2042"/>
      <c r="AM101" s="2042">
        <f t="shared" si="31"/>
        <v>444</v>
      </c>
      <c r="AN101" s="2086"/>
      <c r="AO101" s="2086"/>
      <c r="AP101" s="2086"/>
      <c r="AQ101" s="2086"/>
      <c r="AR101" s="2086"/>
      <c r="AS101" s="2086"/>
      <c r="AT101" s="2086"/>
      <c r="AU101" s="2086"/>
      <c r="AV101" s="2086"/>
      <c r="AW101" s="2042"/>
      <c r="AX101" s="2042"/>
      <c r="AY101" s="2042"/>
      <c r="AZ101" s="2093"/>
      <c r="BA101" s="2042"/>
      <c r="BB101" s="2042">
        <f>J101</f>
        <v>444</v>
      </c>
      <c r="BC101" s="2042"/>
      <c r="BD101" s="2094">
        <f t="shared" si="32"/>
        <v>444</v>
      </c>
      <c r="BE101" s="2094">
        <f t="shared" si="33"/>
        <v>0</v>
      </c>
    </row>
    <row r="102" s="1988" customFormat="1" ht="36" customHeight="1" spans="1:57">
      <c r="A102" s="2018">
        <v>45720</v>
      </c>
      <c r="B102" s="2098" t="s">
        <v>510</v>
      </c>
      <c r="C102" s="1723" t="s">
        <v>398</v>
      </c>
      <c r="D102" s="2099">
        <v>4500158924</v>
      </c>
      <c r="E102" s="2100" t="s">
        <v>525</v>
      </c>
      <c r="F102" s="2019" t="s">
        <v>527</v>
      </c>
      <c r="G102" s="2024" t="s">
        <v>180</v>
      </c>
      <c r="H102" s="2023" t="s">
        <v>66</v>
      </c>
      <c r="I102" s="2036" t="s">
        <v>67</v>
      </c>
      <c r="J102" s="1989">
        <v>444</v>
      </c>
      <c r="K102" s="2037">
        <v>0</v>
      </c>
      <c r="L102" s="2038">
        <v>12</v>
      </c>
      <c r="M102" s="2039">
        <f t="shared" si="19"/>
        <v>37</v>
      </c>
      <c r="N102" s="2040">
        <v>45768</v>
      </c>
      <c r="O102" s="2040">
        <v>45764</v>
      </c>
      <c r="P102" s="1365"/>
      <c r="Q102" s="1363" t="s">
        <v>56</v>
      </c>
      <c r="R102" s="1363"/>
      <c r="S102" s="1406" t="s">
        <v>496</v>
      </c>
      <c r="T102" s="1406"/>
      <c r="U102" s="1406" t="s">
        <v>514</v>
      </c>
      <c r="V102" s="2054" t="s">
        <v>515</v>
      </c>
      <c r="W102" s="2055" t="s">
        <v>520</v>
      </c>
      <c r="X102" s="2087" t="s">
        <v>517</v>
      </c>
      <c r="Y102" s="2065">
        <v>3.3019</v>
      </c>
      <c r="Z102" s="2066">
        <f t="shared" si="29"/>
        <v>1466.0436</v>
      </c>
      <c r="AA102" s="2068" t="s">
        <v>518</v>
      </c>
      <c r="AB102" s="2107">
        <v>444</v>
      </c>
      <c r="AC102" s="2068">
        <f t="shared" si="30"/>
        <v>0</v>
      </c>
      <c r="AD102" s="2069" t="s">
        <v>327</v>
      </c>
      <c r="AE102" s="2070" t="s">
        <v>63</v>
      </c>
      <c r="AF102" s="2070" t="s">
        <v>38</v>
      </c>
      <c r="AG102" s="1363"/>
      <c r="AH102" s="2073"/>
      <c r="AI102" s="2042"/>
      <c r="AJ102" s="2085">
        <f>J102</f>
        <v>444</v>
      </c>
      <c r="AK102" s="2086"/>
      <c r="AL102" s="2042"/>
      <c r="AM102" s="2042">
        <f t="shared" si="31"/>
        <v>444</v>
      </c>
      <c r="AN102" s="2086"/>
      <c r="AO102" s="2086"/>
      <c r="AP102" s="2086"/>
      <c r="AQ102" s="2086"/>
      <c r="AR102" s="2086"/>
      <c r="AS102" s="2086"/>
      <c r="AT102" s="2086"/>
      <c r="AU102" s="2086"/>
      <c r="AV102" s="2086"/>
      <c r="AW102" s="2042"/>
      <c r="AX102" s="2042"/>
      <c r="AY102" s="2042"/>
      <c r="AZ102" s="2093"/>
      <c r="BA102" s="2042"/>
      <c r="BB102" s="2042"/>
      <c r="BC102" s="2042">
        <f>J102</f>
        <v>444</v>
      </c>
      <c r="BD102" s="2094">
        <f t="shared" si="32"/>
        <v>444</v>
      </c>
      <c r="BE102" s="2094">
        <f t="shared" si="33"/>
        <v>0</v>
      </c>
    </row>
    <row r="103" s="1988" customFormat="1" ht="36" customHeight="1" spans="1:57">
      <c r="A103" s="2018">
        <v>45720</v>
      </c>
      <c r="B103" s="2098" t="s">
        <v>510</v>
      </c>
      <c r="C103" s="1723" t="s">
        <v>398</v>
      </c>
      <c r="D103" s="2099">
        <v>4500159075</v>
      </c>
      <c r="E103" s="2100" t="s">
        <v>528</v>
      </c>
      <c r="F103" s="2019" t="s">
        <v>529</v>
      </c>
      <c r="G103" s="2024" t="s">
        <v>513</v>
      </c>
      <c r="H103" s="2023" t="s">
        <v>64</v>
      </c>
      <c r="I103" s="2036" t="s">
        <v>65</v>
      </c>
      <c r="J103" s="1989">
        <v>120</v>
      </c>
      <c r="K103" s="2037">
        <v>0</v>
      </c>
      <c r="L103" s="2038">
        <v>12</v>
      </c>
      <c r="M103" s="2039">
        <f t="shared" si="19"/>
        <v>10</v>
      </c>
      <c r="N103" s="2040">
        <v>45768</v>
      </c>
      <c r="O103" s="2040">
        <v>45764</v>
      </c>
      <c r="P103" s="1365"/>
      <c r="Q103" s="1363" t="s">
        <v>56</v>
      </c>
      <c r="R103" s="1363" t="s">
        <v>530</v>
      </c>
      <c r="S103" s="1406" t="s">
        <v>496</v>
      </c>
      <c r="T103" s="1406"/>
      <c r="U103" s="1406" t="s">
        <v>58</v>
      </c>
      <c r="V103" s="2054" t="s">
        <v>515</v>
      </c>
      <c r="W103" s="2055" t="s">
        <v>531</v>
      </c>
      <c r="X103" s="2087" t="s">
        <v>517</v>
      </c>
      <c r="Y103" s="2065">
        <v>4.0344</v>
      </c>
      <c r="Z103" s="2066">
        <f t="shared" si="29"/>
        <v>484.128</v>
      </c>
      <c r="AA103" s="2068" t="s">
        <v>532</v>
      </c>
      <c r="AB103" s="2107">
        <v>120</v>
      </c>
      <c r="AC103" s="2068">
        <f t="shared" si="30"/>
        <v>0</v>
      </c>
      <c r="AD103" s="2108" t="s">
        <v>58</v>
      </c>
      <c r="AE103" s="2070" t="s">
        <v>63</v>
      </c>
      <c r="AF103" s="2070" t="s">
        <v>38</v>
      </c>
      <c r="AG103" s="1363"/>
      <c r="AH103" s="2073"/>
      <c r="AI103" s="2042">
        <f>J103</f>
        <v>120</v>
      </c>
      <c r="AJ103" s="2042"/>
      <c r="AK103" s="2086"/>
      <c r="AL103" s="2042"/>
      <c r="AM103" s="2042">
        <f t="shared" ref="AM103:AM116" si="34">J103</f>
        <v>120</v>
      </c>
      <c r="AN103" s="2086"/>
      <c r="AO103" s="2086"/>
      <c r="AP103" s="2086"/>
      <c r="AQ103" s="2086"/>
      <c r="AR103" s="2086"/>
      <c r="AS103" s="2086"/>
      <c r="AT103" s="2086"/>
      <c r="AU103" s="2086"/>
      <c r="AV103" s="2086"/>
      <c r="AW103" s="2042"/>
      <c r="AX103" s="2042"/>
      <c r="AY103" s="2042"/>
      <c r="AZ103" s="2093"/>
      <c r="BA103" s="2042"/>
      <c r="BB103" s="2042">
        <f>J103</f>
        <v>120</v>
      </c>
      <c r="BC103" s="2042"/>
      <c r="BD103" s="2094">
        <f t="shared" si="32"/>
        <v>120</v>
      </c>
      <c r="BE103" s="2094">
        <f t="shared" si="33"/>
        <v>0</v>
      </c>
    </row>
    <row r="104" s="1988" customFormat="1" ht="36" customHeight="1" spans="1:57">
      <c r="A104" s="2018">
        <v>45720</v>
      </c>
      <c r="B104" s="2098" t="s">
        <v>510</v>
      </c>
      <c r="C104" s="1723" t="s">
        <v>398</v>
      </c>
      <c r="D104" s="2099">
        <v>4500159075</v>
      </c>
      <c r="E104" s="2100" t="s">
        <v>528</v>
      </c>
      <c r="F104" s="2019" t="s">
        <v>533</v>
      </c>
      <c r="G104" s="2024" t="s">
        <v>180</v>
      </c>
      <c r="H104" s="2023" t="s">
        <v>66</v>
      </c>
      <c r="I104" s="2036" t="s">
        <v>67</v>
      </c>
      <c r="J104" s="1989">
        <v>120</v>
      </c>
      <c r="K104" s="2037">
        <v>0</v>
      </c>
      <c r="L104" s="2038">
        <v>12</v>
      </c>
      <c r="M104" s="2039">
        <f t="shared" si="19"/>
        <v>10</v>
      </c>
      <c r="N104" s="2040">
        <v>45768</v>
      </c>
      <c r="O104" s="2040">
        <v>45764</v>
      </c>
      <c r="P104" s="1365"/>
      <c r="Q104" s="1363" t="s">
        <v>56</v>
      </c>
      <c r="R104" s="1363" t="s">
        <v>530</v>
      </c>
      <c r="S104" s="1406" t="s">
        <v>496</v>
      </c>
      <c r="T104" s="1406"/>
      <c r="U104" s="1406" t="s">
        <v>58</v>
      </c>
      <c r="V104" s="2054" t="s">
        <v>515</v>
      </c>
      <c r="W104" s="2055" t="s">
        <v>534</v>
      </c>
      <c r="X104" s="2087" t="s">
        <v>517</v>
      </c>
      <c r="Y104" s="2065">
        <v>3.7168</v>
      </c>
      <c r="Z104" s="2066">
        <f t="shared" si="29"/>
        <v>446.016</v>
      </c>
      <c r="AA104" s="2068" t="s">
        <v>532</v>
      </c>
      <c r="AB104" s="2107">
        <v>120</v>
      </c>
      <c r="AC104" s="2068">
        <f t="shared" si="30"/>
        <v>0</v>
      </c>
      <c r="AD104" s="2108" t="s">
        <v>58</v>
      </c>
      <c r="AE104" s="2070" t="s">
        <v>63</v>
      </c>
      <c r="AF104" s="2070" t="s">
        <v>38</v>
      </c>
      <c r="AG104" s="1363"/>
      <c r="AH104" s="2073"/>
      <c r="AI104" s="2042"/>
      <c r="AJ104" s="2042">
        <f>J104</f>
        <v>120</v>
      </c>
      <c r="AK104" s="2086"/>
      <c r="AL104" s="2042"/>
      <c r="AM104" s="2042">
        <f t="shared" si="34"/>
        <v>120</v>
      </c>
      <c r="AN104" s="2086"/>
      <c r="AO104" s="2086"/>
      <c r="AP104" s="2086"/>
      <c r="AQ104" s="2086"/>
      <c r="AR104" s="2086"/>
      <c r="AS104" s="2086"/>
      <c r="AT104" s="2086"/>
      <c r="AU104" s="2086"/>
      <c r="AV104" s="2086"/>
      <c r="AW104" s="2042"/>
      <c r="AX104" s="2042"/>
      <c r="AY104" s="2042"/>
      <c r="AZ104" s="2093"/>
      <c r="BA104" s="2042"/>
      <c r="BB104" s="2042"/>
      <c r="BC104" s="2042">
        <f>J104</f>
        <v>120</v>
      </c>
      <c r="BD104" s="2094">
        <f t="shared" si="32"/>
        <v>120</v>
      </c>
      <c r="BE104" s="2094">
        <f t="shared" si="33"/>
        <v>0</v>
      </c>
    </row>
    <row r="105" s="1988" customFormat="1" ht="36" customHeight="1" spans="1:57">
      <c r="A105" s="2018">
        <v>45720</v>
      </c>
      <c r="B105" s="2098" t="s">
        <v>510</v>
      </c>
      <c r="C105" s="1723" t="s">
        <v>398</v>
      </c>
      <c r="D105" s="2099">
        <v>4500159075</v>
      </c>
      <c r="E105" s="2100" t="s">
        <v>535</v>
      </c>
      <c r="F105" s="2019" t="s">
        <v>536</v>
      </c>
      <c r="G105" s="2024" t="s">
        <v>513</v>
      </c>
      <c r="H105" s="2023" t="s">
        <v>64</v>
      </c>
      <c r="I105" s="2036" t="s">
        <v>65</v>
      </c>
      <c r="J105" s="1989">
        <v>120</v>
      </c>
      <c r="K105" s="2037">
        <v>0</v>
      </c>
      <c r="L105" s="2038">
        <v>12</v>
      </c>
      <c r="M105" s="2039">
        <f t="shared" si="19"/>
        <v>10</v>
      </c>
      <c r="N105" s="2040">
        <v>45768</v>
      </c>
      <c r="O105" s="2040">
        <v>45764</v>
      </c>
      <c r="P105" s="1365"/>
      <c r="Q105" s="1363" t="s">
        <v>56</v>
      </c>
      <c r="R105" s="1363" t="s">
        <v>530</v>
      </c>
      <c r="S105" s="1406" t="s">
        <v>496</v>
      </c>
      <c r="T105" s="1406"/>
      <c r="U105" s="1406" t="s">
        <v>58</v>
      </c>
      <c r="V105" s="2054" t="s">
        <v>515</v>
      </c>
      <c r="W105" s="2055" t="s">
        <v>531</v>
      </c>
      <c r="X105" s="2087" t="s">
        <v>517</v>
      </c>
      <c r="Y105" s="2065">
        <v>4.0344</v>
      </c>
      <c r="Z105" s="2066">
        <f t="shared" si="29"/>
        <v>484.128</v>
      </c>
      <c r="AA105" s="2068" t="s">
        <v>532</v>
      </c>
      <c r="AB105" s="2107">
        <v>120</v>
      </c>
      <c r="AC105" s="2068">
        <f t="shared" si="30"/>
        <v>0</v>
      </c>
      <c r="AD105" s="2108" t="s">
        <v>58</v>
      </c>
      <c r="AE105" s="2070" t="s">
        <v>63</v>
      </c>
      <c r="AF105" s="2070" t="s">
        <v>38</v>
      </c>
      <c r="AG105" s="1363"/>
      <c r="AH105" s="2073"/>
      <c r="AI105" s="2042">
        <f>J105</f>
        <v>120</v>
      </c>
      <c r="AJ105" s="2042"/>
      <c r="AK105" s="2086"/>
      <c r="AL105" s="2042"/>
      <c r="AM105" s="2042">
        <f t="shared" si="34"/>
        <v>120</v>
      </c>
      <c r="AN105" s="2086"/>
      <c r="AO105" s="2086"/>
      <c r="AP105" s="2086"/>
      <c r="AQ105" s="2086"/>
      <c r="AR105" s="2086"/>
      <c r="AS105" s="2086"/>
      <c r="AT105" s="2086"/>
      <c r="AU105" s="2086"/>
      <c r="AV105" s="2086"/>
      <c r="AW105" s="2042"/>
      <c r="AX105" s="2042"/>
      <c r="AY105" s="2042"/>
      <c r="AZ105" s="2093"/>
      <c r="BA105" s="2042"/>
      <c r="BB105" s="2042">
        <f>J105</f>
        <v>120</v>
      </c>
      <c r="BC105" s="2042"/>
      <c r="BD105" s="2094">
        <f t="shared" si="32"/>
        <v>120</v>
      </c>
      <c r="BE105" s="2094">
        <f t="shared" si="33"/>
        <v>0</v>
      </c>
    </row>
    <row r="106" s="1988" customFormat="1" ht="36" customHeight="1" spans="1:57">
      <c r="A106" s="2018">
        <v>45720</v>
      </c>
      <c r="B106" s="2098" t="s">
        <v>510</v>
      </c>
      <c r="C106" s="1723" t="s">
        <v>398</v>
      </c>
      <c r="D106" s="2099">
        <v>4500159075</v>
      </c>
      <c r="E106" s="2100" t="s">
        <v>537</v>
      </c>
      <c r="F106" s="2019" t="s">
        <v>538</v>
      </c>
      <c r="G106" s="2024" t="s">
        <v>180</v>
      </c>
      <c r="H106" s="2023" t="s">
        <v>66</v>
      </c>
      <c r="I106" s="2036" t="s">
        <v>67</v>
      </c>
      <c r="J106" s="1989">
        <v>120</v>
      </c>
      <c r="K106" s="2037">
        <v>0</v>
      </c>
      <c r="L106" s="2038">
        <v>12</v>
      </c>
      <c r="M106" s="2039">
        <f t="shared" si="19"/>
        <v>10</v>
      </c>
      <c r="N106" s="2040">
        <v>45768</v>
      </c>
      <c r="O106" s="2040">
        <v>45764</v>
      </c>
      <c r="P106" s="1365"/>
      <c r="Q106" s="1363" t="s">
        <v>56</v>
      </c>
      <c r="R106" s="1363" t="s">
        <v>530</v>
      </c>
      <c r="S106" s="1406" t="s">
        <v>496</v>
      </c>
      <c r="T106" s="1406"/>
      <c r="U106" s="1406" t="s">
        <v>58</v>
      </c>
      <c r="V106" s="2054" t="s">
        <v>515</v>
      </c>
      <c r="W106" s="2055" t="s">
        <v>534</v>
      </c>
      <c r="X106" s="2087" t="s">
        <v>517</v>
      </c>
      <c r="Y106" s="2065">
        <v>3.7168</v>
      </c>
      <c r="Z106" s="2066">
        <f t="shared" si="29"/>
        <v>446.016</v>
      </c>
      <c r="AA106" s="2068" t="s">
        <v>532</v>
      </c>
      <c r="AB106" s="2107">
        <v>120</v>
      </c>
      <c r="AC106" s="2068">
        <f t="shared" si="30"/>
        <v>0</v>
      </c>
      <c r="AD106" s="2108" t="s">
        <v>58</v>
      </c>
      <c r="AE106" s="2070" t="s">
        <v>63</v>
      </c>
      <c r="AF106" s="2070" t="s">
        <v>38</v>
      </c>
      <c r="AG106" s="1363"/>
      <c r="AH106" s="2073"/>
      <c r="AI106" s="2042"/>
      <c r="AJ106" s="2042">
        <f>J106</f>
        <v>120</v>
      </c>
      <c r="AK106" s="2086"/>
      <c r="AL106" s="2042"/>
      <c r="AM106" s="2042">
        <f t="shared" si="34"/>
        <v>120</v>
      </c>
      <c r="AN106" s="2086"/>
      <c r="AO106" s="2086"/>
      <c r="AP106" s="2086"/>
      <c r="AQ106" s="2086"/>
      <c r="AR106" s="2086"/>
      <c r="AS106" s="2086"/>
      <c r="AT106" s="2086"/>
      <c r="AU106" s="2086"/>
      <c r="AV106" s="2086"/>
      <c r="AW106" s="2042"/>
      <c r="AX106" s="2042"/>
      <c r="AY106" s="2042"/>
      <c r="AZ106" s="2093"/>
      <c r="BA106" s="2042"/>
      <c r="BB106" s="2042"/>
      <c r="BC106" s="2042">
        <f>J106</f>
        <v>120</v>
      </c>
      <c r="BD106" s="2094">
        <f t="shared" si="32"/>
        <v>120</v>
      </c>
      <c r="BE106" s="2094">
        <f t="shared" si="33"/>
        <v>0</v>
      </c>
    </row>
    <row r="107" s="1988" customFormat="1" ht="36" customHeight="1" spans="1:57">
      <c r="A107" s="2018">
        <v>45720</v>
      </c>
      <c r="B107" s="2098" t="s">
        <v>510</v>
      </c>
      <c r="C107" s="1723" t="s">
        <v>398</v>
      </c>
      <c r="D107" s="2099">
        <v>4500159075</v>
      </c>
      <c r="E107" s="2100" t="s">
        <v>539</v>
      </c>
      <c r="F107" s="2019" t="s">
        <v>540</v>
      </c>
      <c r="G107" s="2024" t="s">
        <v>513</v>
      </c>
      <c r="H107" s="2023" t="s">
        <v>64</v>
      </c>
      <c r="I107" s="2036" t="s">
        <v>65</v>
      </c>
      <c r="J107" s="1989">
        <v>96</v>
      </c>
      <c r="K107" s="2037">
        <v>0</v>
      </c>
      <c r="L107" s="2038">
        <v>12</v>
      </c>
      <c r="M107" s="2039">
        <f t="shared" si="19"/>
        <v>8</v>
      </c>
      <c r="N107" s="2040">
        <v>45768</v>
      </c>
      <c r="O107" s="2040">
        <v>45764</v>
      </c>
      <c r="P107" s="1365"/>
      <c r="Q107" s="1363" t="s">
        <v>56</v>
      </c>
      <c r="R107" s="1363" t="s">
        <v>530</v>
      </c>
      <c r="S107" s="1406" t="s">
        <v>496</v>
      </c>
      <c r="T107" s="1406"/>
      <c r="U107" s="1406" t="s">
        <v>58</v>
      </c>
      <c r="V107" s="2054" t="s">
        <v>515</v>
      </c>
      <c r="W107" s="2055" t="s">
        <v>531</v>
      </c>
      <c r="X107" s="2087" t="s">
        <v>517</v>
      </c>
      <c r="Y107" s="2065">
        <v>4.0344</v>
      </c>
      <c r="Z107" s="2066">
        <f t="shared" si="29"/>
        <v>387.3024</v>
      </c>
      <c r="AA107" s="2068" t="s">
        <v>532</v>
      </c>
      <c r="AB107" s="2107">
        <v>96</v>
      </c>
      <c r="AC107" s="2068">
        <f t="shared" si="30"/>
        <v>0</v>
      </c>
      <c r="AD107" s="2108" t="s">
        <v>58</v>
      </c>
      <c r="AE107" s="2070" t="s">
        <v>63</v>
      </c>
      <c r="AF107" s="2070" t="s">
        <v>38</v>
      </c>
      <c r="AG107" s="1363"/>
      <c r="AH107" s="2073"/>
      <c r="AI107" s="2042">
        <f>J107</f>
        <v>96</v>
      </c>
      <c r="AJ107" s="2042"/>
      <c r="AK107" s="2086"/>
      <c r="AL107" s="2042"/>
      <c r="AM107" s="2042">
        <f t="shared" si="34"/>
        <v>96</v>
      </c>
      <c r="AN107" s="2086"/>
      <c r="AO107" s="2086"/>
      <c r="AP107" s="2086"/>
      <c r="AQ107" s="2086"/>
      <c r="AR107" s="2086"/>
      <c r="AS107" s="2086"/>
      <c r="AT107" s="2086"/>
      <c r="AU107" s="2086"/>
      <c r="AV107" s="2086"/>
      <c r="AW107" s="2042"/>
      <c r="AX107" s="2042"/>
      <c r="AY107" s="2042"/>
      <c r="AZ107" s="2093"/>
      <c r="BA107" s="2042"/>
      <c r="BB107" s="2042">
        <f>J107</f>
        <v>96</v>
      </c>
      <c r="BC107" s="2042"/>
      <c r="BD107" s="2094">
        <f t="shared" si="32"/>
        <v>96</v>
      </c>
      <c r="BE107" s="2094">
        <f t="shared" si="33"/>
        <v>0</v>
      </c>
    </row>
    <row r="108" s="1988" customFormat="1" ht="36" customHeight="1" spans="1:57">
      <c r="A108" s="2018">
        <v>45720</v>
      </c>
      <c r="B108" s="2098" t="s">
        <v>510</v>
      </c>
      <c r="C108" s="1723" t="s">
        <v>398</v>
      </c>
      <c r="D108" s="2099">
        <v>4500159075</v>
      </c>
      <c r="E108" s="2100" t="s">
        <v>539</v>
      </c>
      <c r="F108" s="2019" t="s">
        <v>541</v>
      </c>
      <c r="G108" s="2024" t="s">
        <v>180</v>
      </c>
      <c r="H108" s="2023" t="s">
        <v>66</v>
      </c>
      <c r="I108" s="2036" t="s">
        <v>67</v>
      </c>
      <c r="J108" s="1989">
        <v>96</v>
      </c>
      <c r="K108" s="2037">
        <v>0</v>
      </c>
      <c r="L108" s="2038">
        <v>12</v>
      </c>
      <c r="M108" s="2039">
        <f t="shared" si="19"/>
        <v>8</v>
      </c>
      <c r="N108" s="2040">
        <v>45768</v>
      </c>
      <c r="O108" s="2040">
        <v>45764</v>
      </c>
      <c r="P108" s="1365"/>
      <c r="Q108" s="1363" t="s">
        <v>56</v>
      </c>
      <c r="R108" s="1363" t="s">
        <v>530</v>
      </c>
      <c r="S108" s="1406" t="s">
        <v>496</v>
      </c>
      <c r="T108" s="1406"/>
      <c r="U108" s="1406" t="s">
        <v>58</v>
      </c>
      <c r="V108" s="2054" t="s">
        <v>515</v>
      </c>
      <c r="W108" s="2055" t="s">
        <v>534</v>
      </c>
      <c r="X108" s="2087" t="s">
        <v>517</v>
      </c>
      <c r="Y108" s="2065">
        <v>3.7168</v>
      </c>
      <c r="Z108" s="2066">
        <f t="shared" si="29"/>
        <v>356.8128</v>
      </c>
      <c r="AA108" s="2068" t="s">
        <v>532</v>
      </c>
      <c r="AB108" s="2107">
        <v>96</v>
      </c>
      <c r="AC108" s="2068">
        <f t="shared" si="30"/>
        <v>0</v>
      </c>
      <c r="AD108" s="2108" t="s">
        <v>58</v>
      </c>
      <c r="AE108" s="2070" t="s">
        <v>63</v>
      </c>
      <c r="AF108" s="2070" t="s">
        <v>38</v>
      </c>
      <c r="AG108" s="1363"/>
      <c r="AH108" s="2073"/>
      <c r="AI108" s="2042"/>
      <c r="AJ108" s="2042">
        <f>J108</f>
        <v>96</v>
      </c>
      <c r="AK108" s="2086"/>
      <c r="AL108" s="2042"/>
      <c r="AM108" s="2042">
        <f t="shared" si="34"/>
        <v>96</v>
      </c>
      <c r="AN108" s="2086"/>
      <c r="AO108" s="2086"/>
      <c r="AP108" s="2086"/>
      <c r="AQ108" s="2086"/>
      <c r="AR108" s="2086"/>
      <c r="AS108" s="2086"/>
      <c r="AT108" s="2086"/>
      <c r="AU108" s="2086"/>
      <c r="AV108" s="2086"/>
      <c r="AW108" s="2042"/>
      <c r="AX108" s="2042"/>
      <c r="AY108" s="2042"/>
      <c r="AZ108" s="2093"/>
      <c r="BA108" s="2042"/>
      <c r="BB108" s="2042"/>
      <c r="BC108" s="2042">
        <f>J108</f>
        <v>96</v>
      </c>
      <c r="BD108" s="2094">
        <f t="shared" si="32"/>
        <v>96</v>
      </c>
      <c r="BE108" s="2094">
        <f t="shared" si="33"/>
        <v>0</v>
      </c>
    </row>
    <row r="109" s="1988" customFormat="1" ht="36" customHeight="1" spans="1:57">
      <c r="A109" s="2018">
        <v>45720</v>
      </c>
      <c r="B109" s="2098" t="s">
        <v>510</v>
      </c>
      <c r="C109" s="1723" t="s">
        <v>398</v>
      </c>
      <c r="D109" s="2099">
        <v>4500158873</v>
      </c>
      <c r="E109" s="2100" t="s">
        <v>542</v>
      </c>
      <c r="F109" s="2019" t="s">
        <v>543</v>
      </c>
      <c r="G109" s="2024" t="s">
        <v>513</v>
      </c>
      <c r="H109" s="2023" t="s">
        <v>64</v>
      </c>
      <c r="I109" s="2036" t="s">
        <v>65</v>
      </c>
      <c r="J109" s="1989">
        <v>156</v>
      </c>
      <c r="K109" s="2037">
        <v>0</v>
      </c>
      <c r="L109" s="2038">
        <v>12</v>
      </c>
      <c r="M109" s="2039">
        <f t="shared" si="19"/>
        <v>13</v>
      </c>
      <c r="N109" s="2040">
        <v>45768</v>
      </c>
      <c r="O109" s="2040">
        <v>45764</v>
      </c>
      <c r="P109" s="1365"/>
      <c r="Q109" s="1363" t="s">
        <v>56</v>
      </c>
      <c r="R109" s="1363" t="s">
        <v>530</v>
      </c>
      <c r="S109" s="1406" t="s">
        <v>496</v>
      </c>
      <c r="T109" s="1406"/>
      <c r="U109" s="1406" t="s">
        <v>514</v>
      </c>
      <c r="V109" s="2054" t="s">
        <v>515</v>
      </c>
      <c r="W109" s="2055" t="s">
        <v>544</v>
      </c>
      <c r="X109" s="2087" t="s">
        <v>517</v>
      </c>
      <c r="Y109" s="2065">
        <v>4.0344</v>
      </c>
      <c r="Z109" s="2066">
        <f t="shared" si="29"/>
        <v>629.3664</v>
      </c>
      <c r="AA109" s="2068" t="s">
        <v>545</v>
      </c>
      <c r="AB109" s="2107">
        <v>156</v>
      </c>
      <c r="AC109" s="2068">
        <f t="shared" si="30"/>
        <v>0</v>
      </c>
      <c r="AD109" s="2069" t="s">
        <v>327</v>
      </c>
      <c r="AE109" s="2070" t="s">
        <v>63</v>
      </c>
      <c r="AF109" s="2070" t="s">
        <v>38</v>
      </c>
      <c r="AG109" s="1363"/>
      <c r="AH109" s="2073"/>
      <c r="AI109" s="2042">
        <f>J109</f>
        <v>156</v>
      </c>
      <c r="AJ109" s="2042"/>
      <c r="AK109" s="2086"/>
      <c r="AL109" s="2042"/>
      <c r="AM109" s="2042">
        <f t="shared" si="34"/>
        <v>156</v>
      </c>
      <c r="AN109" s="2086"/>
      <c r="AO109" s="2086"/>
      <c r="AP109" s="2086"/>
      <c r="AQ109" s="2086"/>
      <c r="AR109" s="2086"/>
      <c r="AS109" s="2086"/>
      <c r="AT109" s="2086"/>
      <c r="AU109" s="2086"/>
      <c r="AV109" s="2086"/>
      <c r="AW109" s="2042"/>
      <c r="AX109" s="2042"/>
      <c r="AY109" s="2042"/>
      <c r="AZ109" s="2093"/>
      <c r="BA109" s="2042"/>
      <c r="BB109" s="2042">
        <f>J109</f>
        <v>156</v>
      </c>
      <c r="BC109" s="2042"/>
      <c r="BD109" s="2094">
        <f t="shared" si="32"/>
        <v>156</v>
      </c>
      <c r="BE109" s="2094">
        <f t="shared" si="33"/>
        <v>0</v>
      </c>
    </row>
    <row r="110" s="1988" customFormat="1" ht="36" customHeight="1" spans="1:57">
      <c r="A110" s="2018">
        <v>45720</v>
      </c>
      <c r="B110" s="2098" t="s">
        <v>510</v>
      </c>
      <c r="C110" s="1723" t="s">
        <v>398</v>
      </c>
      <c r="D110" s="2099">
        <v>4500158873</v>
      </c>
      <c r="E110" s="2100" t="s">
        <v>542</v>
      </c>
      <c r="F110" s="2019" t="s">
        <v>546</v>
      </c>
      <c r="G110" s="2024" t="s">
        <v>180</v>
      </c>
      <c r="H110" s="2023" t="s">
        <v>66</v>
      </c>
      <c r="I110" s="2036" t="s">
        <v>67</v>
      </c>
      <c r="J110" s="1989">
        <v>156</v>
      </c>
      <c r="K110" s="2037">
        <v>0</v>
      </c>
      <c r="L110" s="2038">
        <v>12</v>
      </c>
      <c r="M110" s="2039">
        <f t="shared" si="19"/>
        <v>13</v>
      </c>
      <c r="N110" s="2040">
        <v>45768</v>
      </c>
      <c r="O110" s="2040">
        <v>45764</v>
      </c>
      <c r="P110" s="1365"/>
      <c r="Q110" s="1363" t="s">
        <v>56</v>
      </c>
      <c r="R110" s="1363" t="s">
        <v>530</v>
      </c>
      <c r="S110" s="1406" t="s">
        <v>496</v>
      </c>
      <c r="T110" s="1406"/>
      <c r="U110" s="1406" t="s">
        <v>514</v>
      </c>
      <c r="V110" s="2054" t="s">
        <v>515</v>
      </c>
      <c r="W110" s="2055" t="s">
        <v>547</v>
      </c>
      <c r="X110" s="2087" t="s">
        <v>517</v>
      </c>
      <c r="Y110" s="2065">
        <v>3.7168</v>
      </c>
      <c r="Z110" s="2066">
        <f t="shared" si="29"/>
        <v>579.8208</v>
      </c>
      <c r="AA110" s="2068" t="s">
        <v>545</v>
      </c>
      <c r="AB110" s="2107">
        <v>156</v>
      </c>
      <c r="AC110" s="2068">
        <f t="shared" si="30"/>
        <v>0</v>
      </c>
      <c r="AD110" s="2069" t="s">
        <v>327</v>
      </c>
      <c r="AE110" s="2070" t="s">
        <v>63</v>
      </c>
      <c r="AF110" s="2070" t="s">
        <v>38</v>
      </c>
      <c r="AG110" s="1363"/>
      <c r="AH110" s="2073"/>
      <c r="AI110" s="2042"/>
      <c r="AJ110" s="2042">
        <f>J110</f>
        <v>156</v>
      </c>
      <c r="AK110" s="2086"/>
      <c r="AL110" s="2042"/>
      <c r="AM110" s="2042">
        <f t="shared" si="34"/>
        <v>156</v>
      </c>
      <c r="AN110" s="2086"/>
      <c r="AO110" s="2086"/>
      <c r="AP110" s="2086"/>
      <c r="AQ110" s="2086"/>
      <c r="AR110" s="2086"/>
      <c r="AS110" s="2086"/>
      <c r="AT110" s="2086"/>
      <c r="AU110" s="2086"/>
      <c r="AV110" s="2086"/>
      <c r="AW110" s="2042"/>
      <c r="AX110" s="2042"/>
      <c r="AY110" s="2042"/>
      <c r="AZ110" s="2093"/>
      <c r="BA110" s="2042"/>
      <c r="BB110" s="2042"/>
      <c r="BC110" s="2042">
        <f>J110</f>
        <v>156</v>
      </c>
      <c r="BD110" s="2094">
        <f t="shared" si="32"/>
        <v>156</v>
      </c>
      <c r="BE110" s="2094">
        <f t="shared" si="33"/>
        <v>0</v>
      </c>
    </row>
    <row r="111" s="1988" customFormat="1" ht="36" customHeight="1" spans="1:57">
      <c r="A111" s="2018">
        <v>45720</v>
      </c>
      <c r="B111" s="2098" t="s">
        <v>510</v>
      </c>
      <c r="C111" s="1723" t="s">
        <v>398</v>
      </c>
      <c r="D111" s="2099">
        <v>4500158873</v>
      </c>
      <c r="E111" s="2100" t="s">
        <v>548</v>
      </c>
      <c r="F111" s="2019" t="s">
        <v>549</v>
      </c>
      <c r="G111" s="2024" t="s">
        <v>513</v>
      </c>
      <c r="H111" s="2023" t="s">
        <v>64</v>
      </c>
      <c r="I111" s="2036" t="s">
        <v>65</v>
      </c>
      <c r="J111" s="1989">
        <v>600</v>
      </c>
      <c r="K111" s="2037">
        <v>0</v>
      </c>
      <c r="L111" s="2038">
        <v>12</v>
      </c>
      <c r="M111" s="2039">
        <f t="shared" si="19"/>
        <v>50</v>
      </c>
      <c r="N111" s="2040">
        <v>45768</v>
      </c>
      <c r="O111" s="2040">
        <v>45764</v>
      </c>
      <c r="P111" s="1365"/>
      <c r="Q111" s="1363" t="s">
        <v>56</v>
      </c>
      <c r="R111" s="1363" t="s">
        <v>530</v>
      </c>
      <c r="S111" s="1363" t="s">
        <v>496</v>
      </c>
      <c r="T111" s="1406"/>
      <c r="U111" s="1406" t="s">
        <v>514</v>
      </c>
      <c r="V111" s="2054" t="s">
        <v>515</v>
      </c>
      <c r="W111" s="2055" t="s">
        <v>544</v>
      </c>
      <c r="X111" s="2087" t="s">
        <v>517</v>
      </c>
      <c r="Y111" s="2065">
        <v>4.0344</v>
      </c>
      <c r="Z111" s="2066">
        <f t="shared" si="29"/>
        <v>2420.64</v>
      </c>
      <c r="AA111" s="2068" t="s">
        <v>550</v>
      </c>
      <c r="AB111" s="2107">
        <v>600</v>
      </c>
      <c r="AC111" s="2068">
        <f t="shared" si="30"/>
        <v>0</v>
      </c>
      <c r="AD111" s="2069" t="s">
        <v>327</v>
      </c>
      <c r="AE111" s="2070" t="s">
        <v>63</v>
      </c>
      <c r="AF111" s="2070" t="s">
        <v>38</v>
      </c>
      <c r="AG111" s="1363"/>
      <c r="AH111" s="2073"/>
      <c r="AI111" s="2042">
        <f>J111</f>
        <v>600</v>
      </c>
      <c r="AJ111" s="2042"/>
      <c r="AK111" s="2086"/>
      <c r="AL111" s="2042"/>
      <c r="AM111" s="2042">
        <f t="shared" si="34"/>
        <v>600</v>
      </c>
      <c r="AN111" s="2086"/>
      <c r="AO111" s="2086"/>
      <c r="AP111" s="2086"/>
      <c r="AQ111" s="2086"/>
      <c r="AR111" s="2086"/>
      <c r="AS111" s="2086"/>
      <c r="AT111" s="2086"/>
      <c r="AU111" s="2086"/>
      <c r="AV111" s="2086"/>
      <c r="AW111" s="2042"/>
      <c r="AX111" s="2042"/>
      <c r="AY111" s="2042"/>
      <c r="AZ111" s="2093"/>
      <c r="BA111" s="2042"/>
      <c r="BB111" s="2042">
        <f>J111</f>
        <v>600</v>
      </c>
      <c r="BC111" s="2042"/>
      <c r="BD111" s="2094">
        <f t="shared" si="32"/>
        <v>600</v>
      </c>
      <c r="BE111" s="2094">
        <f t="shared" si="33"/>
        <v>0</v>
      </c>
    </row>
    <row r="112" s="1988" customFormat="1" ht="36" customHeight="1" spans="1:57">
      <c r="A112" s="2018">
        <v>45720</v>
      </c>
      <c r="B112" s="2098" t="s">
        <v>510</v>
      </c>
      <c r="C112" s="1723" t="s">
        <v>398</v>
      </c>
      <c r="D112" s="2099">
        <v>4500158873</v>
      </c>
      <c r="E112" s="2100" t="s">
        <v>548</v>
      </c>
      <c r="F112" s="2019" t="s">
        <v>551</v>
      </c>
      <c r="G112" s="2024" t="s">
        <v>180</v>
      </c>
      <c r="H112" s="2023" t="s">
        <v>66</v>
      </c>
      <c r="I112" s="2036" t="s">
        <v>67</v>
      </c>
      <c r="J112" s="1989">
        <v>600</v>
      </c>
      <c r="K112" s="2037">
        <v>0</v>
      </c>
      <c r="L112" s="2038">
        <v>12</v>
      </c>
      <c r="M112" s="2039">
        <f t="shared" si="19"/>
        <v>50</v>
      </c>
      <c r="N112" s="2040">
        <v>45768</v>
      </c>
      <c r="O112" s="2040">
        <v>45764</v>
      </c>
      <c r="P112" s="1365"/>
      <c r="Q112" s="1363" t="s">
        <v>56</v>
      </c>
      <c r="R112" s="1363" t="s">
        <v>530</v>
      </c>
      <c r="S112" s="1363" t="s">
        <v>496</v>
      </c>
      <c r="T112" s="1406"/>
      <c r="U112" s="1406" t="s">
        <v>514</v>
      </c>
      <c r="V112" s="2054" t="s">
        <v>515</v>
      </c>
      <c r="W112" s="2055" t="s">
        <v>547</v>
      </c>
      <c r="X112" s="2087" t="s">
        <v>517</v>
      </c>
      <c r="Y112" s="2065">
        <v>3.7168</v>
      </c>
      <c r="Z112" s="2066">
        <f t="shared" si="29"/>
        <v>2230.08</v>
      </c>
      <c r="AA112" s="2068" t="s">
        <v>550</v>
      </c>
      <c r="AB112" s="2107">
        <v>600</v>
      </c>
      <c r="AC112" s="2068">
        <f t="shared" si="30"/>
        <v>0</v>
      </c>
      <c r="AD112" s="2069" t="s">
        <v>327</v>
      </c>
      <c r="AE112" s="2070" t="s">
        <v>63</v>
      </c>
      <c r="AF112" s="2070" t="s">
        <v>38</v>
      </c>
      <c r="AG112" s="1363"/>
      <c r="AH112" s="2073"/>
      <c r="AI112" s="2042"/>
      <c r="AJ112" s="2042">
        <f>J112</f>
        <v>600</v>
      </c>
      <c r="AK112" s="2086"/>
      <c r="AL112" s="2042"/>
      <c r="AM112" s="2042">
        <f t="shared" si="34"/>
        <v>600</v>
      </c>
      <c r="AN112" s="2086"/>
      <c r="AO112" s="2086"/>
      <c r="AP112" s="2086"/>
      <c r="AQ112" s="2086"/>
      <c r="AR112" s="2086"/>
      <c r="AS112" s="2086"/>
      <c r="AT112" s="2086"/>
      <c r="AU112" s="2086"/>
      <c r="AV112" s="2086"/>
      <c r="AW112" s="2042"/>
      <c r="AX112" s="2042"/>
      <c r="AY112" s="2042"/>
      <c r="AZ112" s="2093"/>
      <c r="BA112" s="2042"/>
      <c r="BB112" s="2042"/>
      <c r="BC112" s="2042">
        <f>J112</f>
        <v>600</v>
      </c>
      <c r="BD112" s="2094">
        <f t="shared" si="32"/>
        <v>600</v>
      </c>
      <c r="BE112" s="2094">
        <f t="shared" si="33"/>
        <v>0</v>
      </c>
    </row>
    <row r="113" s="1988" customFormat="1" ht="36" customHeight="1" spans="1:57">
      <c r="A113" s="2018">
        <v>45720</v>
      </c>
      <c r="B113" s="2098" t="s">
        <v>510</v>
      </c>
      <c r="C113" s="1723" t="s">
        <v>398</v>
      </c>
      <c r="D113" s="2099">
        <v>4500158873</v>
      </c>
      <c r="E113" s="2100" t="s">
        <v>552</v>
      </c>
      <c r="F113" s="2019" t="s">
        <v>553</v>
      </c>
      <c r="G113" s="2024" t="s">
        <v>513</v>
      </c>
      <c r="H113" s="2023" t="s">
        <v>64</v>
      </c>
      <c r="I113" s="2036" t="s">
        <v>65</v>
      </c>
      <c r="J113" s="1989">
        <v>216</v>
      </c>
      <c r="K113" s="2037">
        <v>0</v>
      </c>
      <c r="L113" s="2038">
        <v>12</v>
      </c>
      <c r="M113" s="2039">
        <f t="shared" si="19"/>
        <v>18</v>
      </c>
      <c r="N113" s="2040">
        <v>45768</v>
      </c>
      <c r="O113" s="2040">
        <v>45764</v>
      </c>
      <c r="P113" s="1365"/>
      <c r="Q113" s="1363" t="s">
        <v>56</v>
      </c>
      <c r="R113" s="1363" t="s">
        <v>530</v>
      </c>
      <c r="S113" s="1363" t="s">
        <v>496</v>
      </c>
      <c r="T113" s="1406"/>
      <c r="U113" s="1406" t="s">
        <v>514</v>
      </c>
      <c r="V113" s="2054" t="s">
        <v>515</v>
      </c>
      <c r="W113" s="2055" t="s">
        <v>544</v>
      </c>
      <c r="X113" s="2087" t="s">
        <v>517</v>
      </c>
      <c r="Y113" s="2065">
        <v>4.0344</v>
      </c>
      <c r="Z113" s="2066">
        <f t="shared" si="29"/>
        <v>871.4304</v>
      </c>
      <c r="AA113" s="2068" t="s">
        <v>550</v>
      </c>
      <c r="AB113" s="2107">
        <v>216</v>
      </c>
      <c r="AC113" s="2068">
        <f t="shared" si="30"/>
        <v>0</v>
      </c>
      <c r="AD113" s="2069" t="s">
        <v>327</v>
      </c>
      <c r="AE113" s="2070" t="s">
        <v>63</v>
      </c>
      <c r="AF113" s="2070" t="s">
        <v>38</v>
      </c>
      <c r="AG113" s="1363"/>
      <c r="AH113" s="2073"/>
      <c r="AI113" s="2042">
        <f>J113</f>
        <v>216</v>
      </c>
      <c r="AJ113" s="2042"/>
      <c r="AK113" s="2086"/>
      <c r="AL113" s="2042"/>
      <c r="AM113" s="2042">
        <f t="shared" si="34"/>
        <v>216</v>
      </c>
      <c r="AN113" s="2086"/>
      <c r="AO113" s="2086"/>
      <c r="AP113" s="2086"/>
      <c r="AQ113" s="2086"/>
      <c r="AR113" s="2086"/>
      <c r="AS113" s="2086"/>
      <c r="AT113" s="2086"/>
      <c r="AU113" s="2086"/>
      <c r="AV113" s="2086"/>
      <c r="AW113" s="2042"/>
      <c r="AX113" s="2042"/>
      <c r="AY113" s="2042"/>
      <c r="AZ113" s="2093"/>
      <c r="BA113" s="2042"/>
      <c r="BB113" s="2042">
        <f>J113</f>
        <v>216</v>
      </c>
      <c r="BC113" s="2042"/>
      <c r="BD113" s="2094">
        <f t="shared" si="32"/>
        <v>216</v>
      </c>
      <c r="BE113" s="2094">
        <f t="shared" si="33"/>
        <v>0</v>
      </c>
    </row>
    <row r="114" s="1988" customFormat="1" ht="36" customHeight="1" spans="1:57">
      <c r="A114" s="2018">
        <v>45720</v>
      </c>
      <c r="B114" s="2098" t="s">
        <v>510</v>
      </c>
      <c r="C114" s="1723" t="s">
        <v>398</v>
      </c>
      <c r="D114" s="2099">
        <v>4500158873</v>
      </c>
      <c r="E114" s="2100" t="s">
        <v>552</v>
      </c>
      <c r="F114" s="2019" t="s">
        <v>554</v>
      </c>
      <c r="G114" s="2024" t="s">
        <v>180</v>
      </c>
      <c r="H114" s="2023" t="s">
        <v>66</v>
      </c>
      <c r="I114" s="2036" t="s">
        <v>67</v>
      </c>
      <c r="J114" s="1989">
        <v>216</v>
      </c>
      <c r="K114" s="2037">
        <v>0</v>
      </c>
      <c r="L114" s="2038">
        <v>12</v>
      </c>
      <c r="M114" s="2039">
        <f t="shared" si="19"/>
        <v>18</v>
      </c>
      <c r="N114" s="2040">
        <v>45768</v>
      </c>
      <c r="O114" s="2040">
        <v>45764</v>
      </c>
      <c r="P114" s="1365"/>
      <c r="Q114" s="1363" t="s">
        <v>56</v>
      </c>
      <c r="R114" s="1363" t="s">
        <v>530</v>
      </c>
      <c r="S114" s="1363" t="s">
        <v>496</v>
      </c>
      <c r="T114" s="1406"/>
      <c r="U114" s="1406" t="s">
        <v>514</v>
      </c>
      <c r="V114" s="2054" t="s">
        <v>515</v>
      </c>
      <c r="W114" s="2055" t="s">
        <v>547</v>
      </c>
      <c r="X114" s="2087" t="s">
        <v>517</v>
      </c>
      <c r="Y114" s="2065">
        <v>3.6292</v>
      </c>
      <c r="Z114" s="2066">
        <f t="shared" si="29"/>
        <v>783.9072</v>
      </c>
      <c r="AA114" s="2068" t="s">
        <v>550</v>
      </c>
      <c r="AB114" s="2107">
        <v>216</v>
      </c>
      <c r="AC114" s="2068">
        <f t="shared" si="30"/>
        <v>0</v>
      </c>
      <c r="AD114" s="2069" t="s">
        <v>327</v>
      </c>
      <c r="AE114" s="2070" t="s">
        <v>63</v>
      </c>
      <c r="AF114" s="2070" t="s">
        <v>38</v>
      </c>
      <c r="AG114" s="1363"/>
      <c r="AH114" s="2073"/>
      <c r="AI114" s="2042"/>
      <c r="AJ114" s="2042">
        <f>J114</f>
        <v>216</v>
      </c>
      <c r="AK114" s="2086"/>
      <c r="AL114" s="2042"/>
      <c r="AM114" s="2042">
        <f t="shared" si="34"/>
        <v>216</v>
      </c>
      <c r="AN114" s="2086"/>
      <c r="AO114" s="2086"/>
      <c r="AP114" s="2086"/>
      <c r="AQ114" s="2086"/>
      <c r="AR114" s="2086"/>
      <c r="AS114" s="2086"/>
      <c r="AT114" s="2086"/>
      <c r="AU114" s="2086"/>
      <c r="AV114" s="2086"/>
      <c r="AW114" s="2042"/>
      <c r="AX114" s="2042"/>
      <c r="AY114" s="2042"/>
      <c r="AZ114" s="2093"/>
      <c r="BA114" s="2042"/>
      <c r="BB114" s="2042"/>
      <c r="BC114" s="2042">
        <f>J114</f>
        <v>216</v>
      </c>
      <c r="BD114" s="2094">
        <f t="shared" si="32"/>
        <v>216</v>
      </c>
      <c r="BE114" s="2094">
        <f t="shared" si="33"/>
        <v>0</v>
      </c>
    </row>
    <row r="115" s="1988" customFormat="1" ht="36" customHeight="1" spans="1:57">
      <c r="A115" s="2018">
        <v>45701</v>
      </c>
      <c r="B115" s="2098" t="s">
        <v>133</v>
      </c>
      <c r="C115" s="1723" t="s">
        <v>91</v>
      </c>
      <c r="D115" s="2099">
        <v>4500157317</v>
      </c>
      <c r="E115" s="2100" t="s">
        <v>555</v>
      </c>
      <c r="F115" s="2019" t="s">
        <v>556</v>
      </c>
      <c r="G115" s="2023" t="s">
        <v>64</v>
      </c>
      <c r="H115" s="2023" t="s">
        <v>64</v>
      </c>
      <c r="I115" s="2036" t="s">
        <v>65</v>
      </c>
      <c r="J115" s="1989">
        <v>804</v>
      </c>
      <c r="K115" s="2037">
        <v>0</v>
      </c>
      <c r="L115" s="2038">
        <v>12</v>
      </c>
      <c r="M115" s="2039">
        <f t="shared" si="19"/>
        <v>67</v>
      </c>
      <c r="N115" s="2040">
        <v>45772</v>
      </c>
      <c r="O115" s="2040">
        <f>N115-4</f>
        <v>45768</v>
      </c>
      <c r="P115" s="2105" t="s">
        <v>557</v>
      </c>
      <c r="Q115" s="1363" t="s">
        <v>56</v>
      </c>
      <c r="R115" s="1363" t="s">
        <v>558</v>
      </c>
      <c r="S115" s="1406" t="s">
        <v>458</v>
      </c>
      <c r="T115" s="1406" t="s">
        <v>58</v>
      </c>
      <c r="U115" s="1406" t="s">
        <v>58</v>
      </c>
      <c r="V115" s="2054" t="s">
        <v>137</v>
      </c>
      <c r="W115" s="2055" t="s">
        <v>559</v>
      </c>
      <c r="X115" s="2087" t="s">
        <v>139</v>
      </c>
      <c r="Y115" s="2065">
        <v>3.9509</v>
      </c>
      <c r="Z115" s="2066">
        <f t="shared" si="29"/>
        <v>3176.5236</v>
      </c>
      <c r="AA115" s="2068" t="s">
        <v>560</v>
      </c>
      <c r="AB115" s="2107">
        <v>804</v>
      </c>
      <c r="AC115" s="2068">
        <f t="shared" si="30"/>
        <v>0</v>
      </c>
      <c r="AD115" s="2108" t="s">
        <v>81</v>
      </c>
      <c r="AE115" s="2070" t="s">
        <v>63</v>
      </c>
      <c r="AF115" s="2070" t="s">
        <v>38</v>
      </c>
      <c r="AG115" s="1363"/>
      <c r="AH115" s="2042"/>
      <c r="AI115" s="2042">
        <f>J115</f>
        <v>804</v>
      </c>
      <c r="AJ115" s="2042"/>
      <c r="AK115" s="2110"/>
      <c r="AL115" s="2042">
        <f t="shared" ref="AL115:AL133" si="35">J115</f>
        <v>804</v>
      </c>
      <c r="AM115" s="2042"/>
      <c r="AN115" s="2110"/>
      <c r="AO115" s="2110"/>
      <c r="AP115" s="2110"/>
      <c r="AQ115" s="2110"/>
      <c r="AR115" s="2110"/>
      <c r="AS115" s="2110"/>
      <c r="AT115" s="2110"/>
      <c r="AU115" s="2110"/>
      <c r="AV115" s="2110"/>
      <c r="AW115" s="2042"/>
      <c r="AX115" s="2042">
        <f>J115</f>
        <v>804</v>
      </c>
      <c r="AY115" s="2042"/>
      <c r="AZ115" s="2095"/>
      <c r="BA115" s="2042"/>
      <c r="BB115" s="2042"/>
      <c r="BC115" s="2042"/>
      <c r="BD115" s="2094">
        <f t="shared" si="32"/>
        <v>804</v>
      </c>
      <c r="BE115" s="2094">
        <f t="shared" si="33"/>
        <v>0</v>
      </c>
    </row>
    <row r="116" s="1988" customFormat="1" ht="36" customHeight="1" spans="1:57">
      <c r="A116" s="2018">
        <v>45701</v>
      </c>
      <c r="B116" s="2098" t="s">
        <v>133</v>
      </c>
      <c r="C116" s="1723" t="s">
        <v>91</v>
      </c>
      <c r="D116" s="2099">
        <v>4500157317</v>
      </c>
      <c r="E116" s="2100" t="s">
        <v>561</v>
      </c>
      <c r="F116" s="2019" t="s">
        <v>562</v>
      </c>
      <c r="G116" s="2023" t="s">
        <v>66</v>
      </c>
      <c r="H116" s="1989" t="s">
        <v>66</v>
      </c>
      <c r="I116" s="2036" t="s">
        <v>67</v>
      </c>
      <c r="J116" s="1989">
        <v>804</v>
      </c>
      <c r="K116" s="2037">
        <v>0</v>
      </c>
      <c r="L116" s="2038">
        <v>12</v>
      </c>
      <c r="M116" s="2039">
        <f t="shared" si="19"/>
        <v>67</v>
      </c>
      <c r="N116" s="2040">
        <v>45772</v>
      </c>
      <c r="O116" s="2040">
        <f>N116-4</f>
        <v>45768</v>
      </c>
      <c r="P116" s="2105" t="s">
        <v>557</v>
      </c>
      <c r="Q116" s="1363" t="s">
        <v>56</v>
      </c>
      <c r="R116" s="1363" t="s">
        <v>558</v>
      </c>
      <c r="S116" s="1406" t="s">
        <v>458</v>
      </c>
      <c r="T116" s="1406" t="s">
        <v>58</v>
      </c>
      <c r="U116" s="1406" t="s">
        <v>58</v>
      </c>
      <c r="V116" s="2054" t="s">
        <v>137</v>
      </c>
      <c r="W116" s="2055" t="s">
        <v>559</v>
      </c>
      <c r="X116" s="2087" t="s">
        <v>139</v>
      </c>
      <c r="Y116" s="2065">
        <v>3.7168</v>
      </c>
      <c r="Z116" s="2066">
        <f t="shared" si="29"/>
        <v>2988.3072</v>
      </c>
      <c r="AA116" s="2068" t="s">
        <v>560</v>
      </c>
      <c r="AB116" s="2107">
        <v>804</v>
      </c>
      <c r="AC116" s="2068">
        <f t="shared" si="30"/>
        <v>0</v>
      </c>
      <c r="AD116" s="2108" t="s">
        <v>81</v>
      </c>
      <c r="AE116" s="2070" t="s">
        <v>63</v>
      </c>
      <c r="AF116" s="2070" t="s">
        <v>38</v>
      </c>
      <c r="AG116" s="1363"/>
      <c r="AH116" s="2042"/>
      <c r="AI116" s="2042"/>
      <c r="AJ116" s="2085">
        <f>J116</f>
        <v>804</v>
      </c>
      <c r="AK116" s="2110"/>
      <c r="AL116" s="2042">
        <f t="shared" si="35"/>
        <v>804</v>
      </c>
      <c r="AM116" s="2042"/>
      <c r="AN116" s="2110"/>
      <c r="AO116" s="2110"/>
      <c r="AP116" s="2110"/>
      <c r="AQ116" s="2110"/>
      <c r="AR116" s="2110"/>
      <c r="AS116" s="2110"/>
      <c r="AT116" s="2110"/>
      <c r="AU116" s="2110"/>
      <c r="AV116" s="2110"/>
      <c r="AW116" s="2042"/>
      <c r="AX116" s="2042"/>
      <c r="AY116" s="2042">
        <f>J116</f>
        <v>804</v>
      </c>
      <c r="AZ116" s="2095"/>
      <c r="BA116" s="2042"/>
      <c r="BB116" s="2042"/>
      <c r="BC116" s="2042"/>
      <c r="BD116" s="2094">
        <f t="shared" si="32"/>
        <v>804</v>
      </c>
      <c r="BE116" s="2094">
        <f t="shared" si="33"/>
        <v>0</v>
      </c>
    </row>
    <row r="117" s="1988" customFormat="1" ht="36" customHeight="1" spans="1:57">
      <c r="A117" s="2018">
        <v>45701</v>
      </c>
      <c r="B117" s="2098" t="s">
        <v>133</v>
      </c>
      <c r="C117" s="1723" t="s">
        <v>91</v>
      </c>
      <c r="D117" s="2099">
        <v>4500157316</v>
      </c>
      <c r="E117" s="2100" t="s">
        <v>563</v>
      </c>
      <c r="F117" s="2019" t="s">
        <v>564</v>
      </c>
      <c r="G117" s="2023" t="s">
        <v>64</v>
      </c>
      <c r="H117" s="2023" t="s">
        <v>64</v>
      </c>
      <c r="I117" s="2036" t="s">
        <v>65</v>
      </c>
      <c r="J117" s="1989">
        <v>600</v>
      </c>
      <c r="K117" s="2037">
        <v>0</v>
      </c>
      <c r="L117" s="2038">
        <v>12</v>
      </c>
      <c r="M117" s="2039">
        <f t="shared" si="19"/>
        <v>50</v>
      </c>
      <c r="N117" s="2040">
        <v>45772</v>
      </c>
      <c r="O117" s="2040">
        <f>N117-4</f>
        <v>45768</v>
      </c>
      <c r="P117" s="2105" t="s">
        <v>557</v>
      </c>
      <c r="Q117" s="1363" t="s">
        <v>56</v>
      </c>
      <c r="R117" s="1363" t="s">
        <v>558</v>
      </c>
      <c r="S117" s="1406" t="s">
        <v>458</v>
      </c>
      <c r="T117" s="1406" t="s">
        <v>58</v>
      </c>
      <c r="U117" s="1406" t="s">
        <v>58</v>
      </c>
      <c r="V117" s="2054" t="s">
        <v>137</v>
      </c>
      <c r="W117" s="2055" t="s">
        <v>559</v>
      </c>
      <c r="X117" s="2087" t="s">
        <v>139</v>
      </c>
      <c r="Y117" s="2065">
        <v>3.9509</v>
      </c>
      <c r="Z117" s="2066">
        <f t="shared" si="29"/>
        <v>2370.54</v>
      </c>
      <c r="AA117" s="2068" t="s">
        <v>565</v>
      </c>
      <c r="AB117" s="2107">
        <v>600</v>
      </c>
      <c r="AC117" s="2068">
        <f t="shared" si="30"/>
        <v>0</v>
      </c>
      <c r="AD117" s="2108" t="s">
        <v>81</v>
      </c>
      <c r="AE117" s="2070" t="s">
        <v>63</v>
      </c>
      <c r="AF117" s="2070" t="s">
        <v>38</v>
      </c>
      <c r="AG117" s="1363"/>
      <c r="AH117" s="2042"/>
      <c r="AI117" s="2042">
        <f>J117</f>
        <v>600</v>
      </c>
      <c r="AJ117" s="2085"/>
      <c r="AK117" s="2110"/>
      <c r="AL117" s="2042">
        <f t="shared" si="35"/>
        <v>600</v>
      </c>
      <c r="AM117" s="2042"/>
      <c r="AN117" s="2110"/>
      <c r="AO117" s="2110"/>
      <c r="AP117" s="2110"/>
      <c r="AQ117" s="2110"/>
      <c r="AR117" s="2110"/>
      <c r="AS117" s="2110"/>
      <c r="AT117" s="2110"/>
      <c r="AU117" s="2110"/>
      <c r="AV117" s="2110"/>
      <c r="AW117" s="2042"/>
      <c r="AX117" s="2042">
        <f>J117</f>
        <v>600</v>
      </c>
      <c r="AY117" s="2042"/>
      <c r="AZ117" s="2095"/>
      <c r="BA117" s="2042"/>
      <c r="BB117" s="2042"/>
      <c r="BC117" s="2042"/>
      <c r="BD117" s="2094">
        <f t="shared" si="32"/>
        <v>600</v>
      </c>
      <c r="BE117" s="2094">
        <f t="shared" si="33"/>
        <v>0</v>
      </c>
    </row>
    <row r="118" s="1988" customFormat="1" ht="36" customHeight="1" spans="1:57">
      <c r="A118" s="2018">
        <v>45701</v>
      </c>
      <c r="B118" s="2098" t="s">
        <v>133</v>
      </c>
      <c r="C118" s="1723" t="s">
        <v>91</v>
      </c>
      <c r="D118" s="2099">
        <v>4500157316</v>
      </c>
      <c r="E118" s="2100" t="s">
        <v>566</v>
      </c>
      <c r="F118" s="2019" t="s">
        <v>567</v>
      </c>
      <c r="G118" s="2023" t="s">
        <v>66</v>
      </c>
      <c r="H118" s="1989" t="s">
        <v>66</v>
      </c>
      <c r="I118" s="2036" t="s">
        <v>67</v>
      </c>
      <c r="J118" s="1989">
        <v>600</v>
      </c>
      <c r="K118" s="2037">
        <v>0</v>
      </c>
      <c r="L118" s="2038">
        <v>12</v>
      </c>
      <c r="M118" s="2039">
        <f t="shared" si="19"/>
        <v>50</v>
      </c>
      <c r="N118" s="2040">
        <v>45772</v>
      </c>
      <c r="O118" s="2040">
        <f>N118-4</f>
        <v>45768</v>
      </c>
      <c r="P118" s="2105" t="s">
        <v>557</v>
      </c>
      <c r="Q118" s="1363" t="s">
        <v>56</v>
      </c>
      <c r="R118" s="1363" t="s">
        <v>558</v>
      </c>
      <c r="S118" s="1406" t="s">
        <v>458</v>
      </c>
      <c r="T118" s="1406" t="s">
        <v>58</v>
      </c>
      <c r="U118" s="1406" t="s">
        <v>58</v>
      </c>
      <c r="V118" s="2054" t="s">
        <v>137</v>
      </c>
      <c r="W118" s="2055" t="s">
        <v>559</v>
      </c>
      <c r="X118" s="2087" t="s">
        <v>139</v>
      </c>
      <c r="Y118" s="2065">
        <v>3.7168</v>
      </c>
      <c r="Z118" s="2066">
        <f t="shared" si="29"/>
        <v>2230.08</v>
      </c>
      <c r="AA118" s="2068" t="s">
        <v>565</v>
      </c>
      <c r="AB118" s="2107">
        <v>600</v>
      </c>
      <c r="AC118" s="2068">
        <f t="shared" si="30"/>
        <v>0</v>
      </c>
      <c r="AD118" s="2108" t="s">
        <v>81</v>
      </c>
      <c r="AE118" s="2070" t="s">
        <v>63</v>
      </c>
      <c r="AF118" s="2070" t="s">
        <v>38</v>
      </c>
      <c r="AG118" s="1363"/>
      <c r="AH118" s="2042"/>
      <c r="AI118" s="2042"/>
      <c r="AJ118" s="2085">
        <f>J118</f>
        <v>600</v>
      </c>
      <c r="AK118" s="2110"/>
      <c r="AL118" s="2042">
        <f t="shared" si="35"/>
        <v>600</v>
      </c>
      <c r="AM118" s="2042"/>
      <c r="AN118" s="2110"/>
      <c r="AO118" s="2110"/>
      <c r="AP118" s="2110"/>
      <c r="AQ118" s="2110"/>
      <c r="AR118" s="2110"/>
      <c r="AS118" s="2110"/>
      <c r="AT118" s="2110"/>
      <c r="AU118" s="2110"/>
      <c r="AV118" s="2110"/>
      <c r="AW118" s="2042"/>
      <c r="AX118" s="2042"/>
      <c r="AY118" s="2042">
        <f>J118</f>
        <v>600</v>
      </c>
      <c r="AZ118" s="2095"/>
      <c r="BA118" s="2042"/>
      <c r="BB118" s="2042"/>
      <c r="BC118" s="2042"/>
      <c r="BD118" s="2094">
        <f t="shared" si="32"/>
        <v>600</v>
      </c>
      <c r="BE118" s="2094">
        <f t="shared" si="33"/>
        <v>0</v>
      </c>
    </row>
    <row r="119" s="1988" customFormat="1" ht="36" customHeight="1" spans="1:57">
      <c r="A119" s="2018">
        <v>45737</v>
      </c>
      <c r="B119" s="2098" t="s">
        <v>428</v>
      </c>
      <c r="C119" s="1723" t="s">
        <v>429</v>
      </c>
      <c r="D119" s="2099">
        <v>4500161027</v>
      </c>
      <c r="E119" s="2100" t="s">
        <v>568</v>
      </c>
      <c r="F119" s="2019" t="s">
        <v>569</v>
      </c>
      <c r="G119" s="2021" t="s">
        <v>54</v>
      </c>
      <c r="H119" s="2023" t="s">
        <v>54</v>
      </c>
      <c r="I119" s="2036" t="s">
        <v>55</v>
      </c>
      <c r="J119" s="1989">
        <v>576</v>
      </c>
      <c r="K119" s="2037">
        <v>0</v>
      </c>
      <c r="L119" s="2038">
        <v>12</v>
      </c>
      <c r="M119" s="2039">
        <f t="shared" si="19"/>
        <v>48</v>
      </c>
      <c r="N119" s="2040">
        <v>45784</v>
      </c>
      <c r="O119" s="2040">
        <v>45780</v>
      </c>
      <c r="P119" s="1365"/>
      <c r="Q119" s="1363" t="s">
        <v>56</v>
      </c>
      <c r="R119" s="1363" t="s">
        <v>570</v>
      </c>
      <c r="S119" s="1406" t="s">
        <v>571</v>
      </c>
      <c r="T119" s="1406" t="s">
        <v>58</v>
      </c>
      <c r="U119" s="1406" t="s">
        <v>572</v>
      </c>
      <c r="V119" s="2054" t="s">
        <v>573</v>
      </c>
      <c r="W119" s="2055" t="s">
        <v>574</v>
      </c>
      <c r="X119" s="2087" t="s">
        <v>435</v>
      </c>
      <c r="Y119" s="2065">
        <v>3.8242</v>
      </c>
      <c r="Z119" s="2066">
        <f t="shared" si="29"/>
        <v>2202.7392</v>
      </c>
      <c r="AA119" s="2068"/>
      <c r="AB119" s="2107">
        <v>576</v>
      </c>
      <c r="AC119" s="2068">
        <f t="shared" si="30"/>
        <v>0</v>
      </c>
      <c r="AD119" s="1363" t="s">
        <v>327</v>
      </c>
      <c r="AE119" s="2070" t="s">
        <v>63</v>
      </c>
      <c r="AF119" s="1402" t="s">
        <v>38</v>
      </c>
      <c r="AG119" s="1363"/>
      <c r="AH119" s="2073">
        <f>J119</f>
        <v>576</v>
      </c>
      <c r="AI119" s="2042"/>
      <c r="AJ119" s="2085"/>
      <c r="AK119" s="2088"/>
      <c r="AL119" s="2042">
        <f t="shared" si="35"/>
        <v>576</v>
      </c>
      <c r="AM119" s="2042"/>
      <c r="AN119" s="2088"/>
      <c r="AO119" s="2088"/>
      <c r="AP119" s="2088"/>
      <c r="AQ119" s="2088"/>
      <c r="AR119" s="2088"/>
      <c r="AS119" s="2088"/>
      <c r="AT119" s="2088"/>
      <c r="AU119" s="2088"/>
      <c r="AV119" s="2088"/>
      <c r="AW119" s="2042">
        <f>J119</f>
        <v>576</v>
      </c>
      <c r="AX119" s="2042"/>
      <c r="AY119" s="2042"/>
      <c r="AZ119" s="2096"/>
      <c r="BA119" s="2042"/>
      <c r="BB119" s="2042"/>
      <c r="BC119" s="2042"/>
      <c r="BD119" s="2094">
        <f t="shared" si="32"/>
        <v>576</v>
      </c>
      <c r="BE119" s="2094">
        <f t="shared" si="33"/>
        <v>0</v>
      </c>
    </row>
    <row r="120" s="1988" customFormat="1" ht="36" customHeight="1" spans="1:57">
      <c r="A120" s="2018">
        <v>45737</v>
      </c>
      <c r="B120" s="2098" t="s">
        <v>428</v>
      </c>
      <c r="C120" s="1723" t="s">
        <v>429</v>
      </c>
      <c r="D120" s="2099">
        <v>4500161027</v>
      </c>
      <c r="E120" s="2100" t="s">
        <v>568</v>
      </c>
      <c r="F120" s="2019" t="s">
        <v>575</v>
      </c>
      <c r="G120" s="2023" t="s">
        <v>66</v>
      </c>
      <c r="H120" s="2023" t="s">
        <v>66</v>
      </c>
      <c r="I120" s="2036" t="s">
        <v>67</v>
      </c>
      <c r="J120" s="1989">
        <v>252</v>
      </c>
      <c r="K120" s="2037">
        <v>0</v>
      </c>
      <c r="L120" s="2038">
        <v>12</v>
      </c>
      <c r="M120" s="2039">
        <f t="shared" si="19"/>
        <v>21</v>
      </c>
      <c r="N120" s="2040">
        <v>45784</v>
      </c>
      <c r="O120" s="2040">
        <v>45780</v>
      </c>
      <c r="P120" s="1365"/>
      <c r="Q120" s="1363" t="s">
        <v>56</v>
      </c>
      <c r="R120" s="1363" t="s">
        <v>570</v>
      </c>
      <c r="S120" s="1406" t="s">
        <v>571</v>
      </c>
      <c r="T120" s="1406" t="s">
        <v>58</v>
      </c>
      <c r="U120" s="1406" t="s">
        <v>576</v>
      </c>
      <c r="V120" s="2054" t="s">
        <v>573</v>
      </c>
      <c r="W120" s="2055" t="s">
        <v>577</v>
      </c>
      <c r="X120" s="2087" t="s">
        <v>435</v>
      </c>
      <c r="Y120" s="2065">
        <v>3.7168</v>
      </c>
      <c r="Z120" s="2066">
        <f t="shared" si="29"/>
        <v>936.6336</v>
      </c>
      <c r="AA120" s="2068"/>
      <c r="AB120" s="2107">
        <v>252</v>
      </c>
      <c r="AC120" s="2068">
        <f t="shared" si="30"/>
        <v>0</v>
      </c>
      <c r="AD120" s="1363" t="s">
        <v>327</v>
      </c>
      <c r="AE120" s="2070" t="s">
        <v>63</v>
      </c>
      <c r="AF120" s="2070" t="s">
        <v>38</v>
      </c>
      <c r="AG120" s="1363"/>
      <c r="AH120" s="2073"/>
      <c r="AI120" s="2042"/>
      <c r="AJ120" s="2085">
        <f>J120</f>
        <v>252</v>
      </c>
      <c r="AK120" s="2088"/>
      <c r="AL120" s="2042">
        <f t="shared" si="35"/>
        <v>252</v>
      </c>
      <c r="AM120" s="2042"/>
      <c r="AN120" s="2088"/>
      <c r="AO120" s="2088"/>
      <c r="AP120" s="2088"/>
      <c r="AQ120" s="2088"/>
      <c r="AR120" s="2088"/>
      <c r="AS120" s="2088"/>
      <c r="AT120" s="2088"/>
      <c r="AU120" s="2088"/>
      <c r="AV120" s="2088"/>
      <c r="AW120" s="2042"/>
      <c r="AX120" s="2042"/>
      <c r="AY120" s="2042">
        <f>J120</f>
        <v>252</v>
      </c>
      <c r="AZ120" s="2096"/>
      <c r="BA120" s="2042"/>
      <c r="BB120" s="2042"/>
      <c r="BC120" s="2042"/>
      <c r="BD120" s="2094">
        <f t="shared" si="32"/>
        <v>252</v>
      </c>
      <c r="BE120" s="2094">
        <f t="shared" si="33"/>
        <v>0</v>
      </c>
    </row>
    <row r="121" s="1988" customFormat="1" ht="36" customHeight="1" spans="1:57">
      <c r="A121" s="2018">
        <v>45737</v>
      </c>
      <c r="B121" s="2098" t="s">
        <v>428</v>
      </c>
      <c r="C121" s="1723" t="s">
        <v>429</v>
      </c>
      <c r="D121" s="2099">
        <v>4500161027</v>
      </c>
      <c r="E121" s="2100" t="s">
        <v>568</v>
      </c>
      <c r="F121" s="2019" t="s">
        <v>578</v>
      </c>
      <c r="G121" s="2023" t="s">
        <v>64</v>
      </c>
      <c r="H121" s="2023" t="s">
        <v>64</v>
      </c>
      <c r="I121" s="2036" t="s">
        <v>65</v>
      </c>
      <c r="J121" s="1989">
        <v>252</v>
      </c>
      <c r="K121" s="2037">
        <v>0</v>
      </c>
      <c r="L121" s="2038">
        <v>12</v>
      </c>
      <c r="M121" s="2039">
        <f t="shared" si="19"/>
        <v>21</v>
      </c>
      <c r="N121" s="2040">
        <v>45784</v>
      </c>
      <c r="O121" s="2040">
        <v>45780</v>
      </c>
      <c r="P121" s="1365"/>
      <c r="Q121" s="1363" t="s">
        <v>56</v>
      </c>
      <c r="R121" s="1363" t="s">
        <v>570</v>
      </c>
      <c r="S121" s="1406" t="s">
        <v>571</v>
      </c>
      <c r="T121" s="1406" t="s">
        <v>58</v>
      </c>
      <c r="U121" s="1406" t="s">
        <v>572</v>
      </c>
      <c r="V121" s="2054" t="s">
        <v>573</v>
      </c>
      <c r="W121" s="2055" t="s">
        <v>579</v>
      </c>
      <c r="X121" s="2087" t="s">
        <v>435</v>
      </c>
      <c r="Y121" s="2065">
        <v>3.9509</v>
      </c>
      <c r="Z121" s="2066">
        <f t="shared" si="29"/>
        <v>995.6268</v>
      </c>
      <c r="AA121" s="2068"/>
      <c r="AB121" s="2107">
        <v>252</v>
      </c>
      <c r="AC121" s="2068">
        <f t="shared" si="30"/>
        <v>0</v>
      </c>
      <c r="AD121" s="1363" t="s">
        <v>327</v>
      </c>
      <c r="AE121" s="2070" t="s">
        <v>63</v>
      </c>
      <c r="AF121" s="2070" t="s">
        <v>38</v>
      </c>
      <c r="AG121" s="1363"/>
      <c r="AH121" s="2073"/>
      <c r="AI121" s="2042">
        <f>J121</f>
        <v>252</v>
      </c>
      <c r="AJ121" s="2085"/>
      <c r="AK121" s="2088"/>
      <c r="AL121" s="2042">
        <f t="shared" si="35"/>
        <v>252</v>
      </c>
      <c r="AM121" s="2042"/>
      <c r="AN121" s="2088"/>
      <c r="AO121" s="2088"/>
      <c r="AP121" s="2088"/>
      <c r="AQ121" s="2088"/>
      <c r="AR121" s="2088"/>
      <c r="AS121" s="2088"/>
      <c r="AT121" s="2088"/>
      <c r="AU121" s="2088"/>
      <c r="AV121" s="2088"/>
      <c r="AW121" s="2042"/>
      <c r="AX121" s="2042">
        <f>J121</f>
        <v>252</v>
      </c>
      <c r="AY121" s="2042"/>
      <c r="AZ121" s="2096"/>
      <c r="BA121" s="2042"/>
      <c r="BB121" s="2042"/>
      <c r="BC121" s="2042"/>
      <c r="BD121" s="2094">
        <f t="shared" si="32"/>
        <v>252</v>
      </c>
      <c r="BE121" s="2094">
        <f t="shared" si="33"/>
        <v>0</v>
      </c>
    </row>
    <row r="122" s="1988" customFormat="1" ht="36" customHeight="1" spans="1:57">
      <c r="A122" s="2018">
        <v>45701</v>
      </c>
      <c r="B122" s="2098" t="s">
        <v>133</v>
      </c>
      <c r="C122" s="1723" t="s">
        <v>91</v>
      </c>
      <c r="D122" s="2099">
        <v>4500157320</v>
      </c>
      <c r="E122" s="2100" t="s">
        <v>580</v>
      </c>
      <c r="F122" s="2019" t="s">
        <v>581</v>
      </c>
      <c r="G122" s="2023" t="s">
        <v>64</v>
      </c>
      <c r="H122" s="2023" t="s">
        <v>64</v>
      </c>
      <c r="I122" s="2036" t="s">
        <v>65</v>
      </c>
      <c r="J122" s="1989">
        <v>600</v>
      </c>
      <c r="K122" s="2037">
        <v>0</v>
      </c>
      <c r="L122" s="2038">
        <v>12</v>
      </c>
      <c r="M122" s="2039">
        <f t="shared" si="19"/>
        <v>50</v>
      </c>
      <c r="N122" s="2040">
        <v>45786</v>
      </c>
      <c r="O122" s="2040">
        <f>N122-4</f>
        <v>45782</v>
      </c>
      <c r="P122" s="2105" t="s">
        <v>557</v>
      </c>
      <c r="Q122" s="1363" t="s">
        <v>56</v>
      </c>
      <c r="R122" s="1363" t="s">
        <v>582</v>
      </c>
      <c r="S122" s="1406" t="s">
        <v>458</v>
      </c>
      <c r="T122" s="1406" t="s">
        <v>58</v>
      </c>
      <c r="U122" s="1406" t="s">
        <v>58</v>
      </c>
      <c r="V122" s="2054" t="s">
        <v>137</v>
      </c>
      <c r="W122" s="2055" t="s">
        <v>559</v>
      </c>
      <c r="X122" s="2087" t="s">
        <v>139</v>
      </c>
      <c r="Y122" s="2065">
        <v>3.9509</v>
      </c>
      <c r="Z122" s="2066">
        <f t="shared" si="29"/>
        <v>2370.54</v>
      </c>
      <c r="AA122" s="2068"/>
      <c r="AB122" s="2107">
        <v>600</v>
      </c>
      <c r="AC122" s="2068">
        <f t="shared" si="30"/>
        <v>0</v>
      </c>
      <c r="AD122" s="2108" t="s">
        <v>81</v>
      </c>
      <c r="AE122" s="2070" t="s">
        <v>63</v>
      </c>
      <c r="AF122" s="2070" t="s">
        <v>38</v>
      </c>
      <c r="AG122" s="1363"/>
      <c r="AH122" s="2042"/>
      <c r="AI122" s="2042">
        <f>J122</f>
        <v>600</v>
      </c>
      <c r="AJ122" s="2042"/>
      <c r="AK122" s="2110"/>
      <c r="AL122" s="2042">
        <f t="shared" si="35"/>
        <v>600</v>
      </c>
      <c r="AM122" s="2042"/>
      <c r="AN122" s="2110"/>
      <c r="AO122" s="2110"/>
      <c r="AP122" s="2110"/>
      <c r="AQ122" s="2110"/>
      <c r="AR122" s="2110"/>
      <c r="AS122" s="2110"/>
      <c r="AT122" s="2110"/>
      <c r="AU122" s="2110"/>
      <c r="AV122" s="2110"/>
      <c r="AW122" s="2042"/>
      <c r="AX122" s="2042">
        <f>J122</f>
        <v>600</v>
      </c>
      <c r="AY122" s="2042"/>
      <c r="AZ122" s="2095"/>
      <c r="BA122" s="2042"/>
      <c r="BB122" s="2042"/>
      <c r="BC122" s="2042"/>
      <c r="BD122" s="2094">
        <f t="shared" si="32"/>
        <v>600</v>
      </c>
      <c r="BE122" s="2094">
        <f t="shared" si="33"/>
        <v>0</v>
      </c>
    </row>
    <row r="123" s="1988" customFormat="1" ht="36" customHeight="1" spans="1:57">
      <c r="A123" s="2018">
        <v>45701</v>
      </c>
      <c r="B123" s="2098" t="s">
        <v>133</v>
      </c>
      <c r="C123" s="1723" t="s">
        <v>91</v>
      </c>
      <c r="D123" s="2099">
        <v>4500157320</v>
      </c>
      <c r="E123" s="2098" t="s">
        <v>583</v>
      </c>
      <c r="F123" s="2019" t="s">
        <v>584</v>
      </c>
      <c r="G123" s="2023" t="s">
        <v>66</v>
      </c>
      <c r="H123" s="1989" t="s">
        <v>66</v>
      </c>
      <c r="I123" s="2036" t="s">
        <v>67</v>
      </c>
      <c r="J123" s="1989">
        <v>600</v>
      </c>
      <c r="K123" s="2037">
        <v>0</v>
      </c>
      <c r="L123" s="2038">
        <v>12</v>
      </c>
      <c r="M123" s="2039">
        <f t="shared" si="19"/>
        <v>50</v>
      </c>
      <c r="N123" s="2040">
        <v>45786</v>
      </c>
      <c r="O123" s="2040">
        <f>N123-4</f>
        <v>45782</v>
      </c>
      <c r="P123" s="2105" t="s">
        <v>557</v>
      </c>
      <c r="Q123" s="1363" t="s">
        <v>56</v>
      </c>
      <c r="R123" s="1363" t="s">
        <v>582</v>
      </c>
      <c r="S123" s="1406" t="s">
        <v>458</v>
      </c>
      <c r="T123" s="1406" t="s">
        <v>58</v>
      </c>
      <c r="U123" s="1406" t="s">
        <v>58</v>
      </c>
      <c r="V123" s="2054" t="s">
        <v>137</v>
      </c>
      <c r="W123" s="2055" t="s">
        <v>559</v>
      </c>
      <c r="X123" s="2087" t="s">
        <v>139</v>
      </c>
      <c r="Y123" s="2065">
        <v>3.7168</v>
      </c>
      <c r="Z123" s="2066">
        <f t="shared" si="29"/>
        <v>2230.08</v>
      </c>
      <c r="AA123" s="2068"/>
      <c r="AB123" s="2107">
        <v>600</v>
      </c>
      <c r="AC123" s="2068">
        <f t="shared" si="30"/>
        <v>0</v>
      </c>
      <c r="AD123" s="2108" t="s">
        <v>81</v>
      </c>
      <c r="AE123" s="2070" t="s">
        <v>63</v>
      </c>
      <c r="AF123" s="2070" t="s">
        <v>38</v>
      </c>
      <c r="AG123" s="1363"/>
      <c r="AH123" s="2042"/>
      <c r="AI123" s="2042"/>
      <c r="AJ123" s="2085">
        <f>J123</f>
        <v>600</v>
      </c>
      <c r="AK123" s="2110"/>
      <c r="AL123" s="2042">
        <f t="shared" si="35"/>
        <v>600</v>
      </c>
      <c r="AM123" s="2042"/>
      <c r="AN123" s="2110"/>
      <c r="AO123" s="2110"/>
      <c r="AP123" s="2110"/>
      <c r="AQ123" s="2110"/>
      <c r="AR123" s="2110"/>
      <c r="AS123" s="2110"/>
      <c r="AT123" s="2110"/>
      <c r="AU123" s="2110"/>
      <c r="AV123" s="2110"/>
      <c r="AW123" s="2042"/>
      <c r="AX123" s="2042"/>
      <c r="AY123" s="2042">
        <f>J123</f>
        <v>600</v>
      </c>
      <c r="AZ123" s="2095"/>
      <c r="BA123" s="2042"/>
      <c r="BB123" s="2042"/>
      <c r="BC123" s="2042"/>
      <c r="BD123" s="2094">
        <f t="shared" si="32"/>
        <v>600</v>
      </c>
      <c r="BE123" s="2094">
        <f t="shared" si="33"/>
        <v>0</v>
      </c>
    </row>
    <row r="124" s="1988" customFormat="1" ht="36" customHeight="1" spans="1:57">
      <c r="A124" s="2018">
        <v>45701</v>
      </c>
      <c r="B124" s="2098" t="s">
        <v>133</v>
      </c>
      <c r="C124" s="1723" t="s">
        <v>91</v>
      </c>
      <c r="D124" s="2099">
        <v>4500157321</v>
      </c>
      <c r="E124" s="2098" t="s">
        <v>585</v>
      </c>
      <c r="F124" s="2019" t="s">
        <v>586</v>
      </c>
      <c r="G124" s="2023" t="s">
        <v>64</v>
      </c>
      <c r="H124" s="2023" t="s">
        <v>64</v>
      </c>
      <c r="I124" s="2036" t="s">
        <v>65</v>
      </c>
      <c r="J124" s="1989">
        <v>804</v>
      </c>
      <c r="K124" s="2037">
        <v>0</v>
      </c>
      <c r="L124" s="2038">
        <v>12</v>
      </c>
      <c r="M124" s="2039">
        <f t="shared" si="19"/>
        <v>67</v>
      </c>
      <c r="N124" s="2040">
        <v>45786</v>
      </c>
      <c r="O124" s="2040">
        <f>N124-4</f>
        <v>45782</v>
      </c>
      <c r="P124" s="2105" t="s">
        <v>557</v>
      </c>
      <c r="Q124" s="1363" t="s">
        <v>56</v>
      </c>
      <c r="R124" s="1363" t="s">
        <v>582</v>
      </c>
      <c r="S124" s="1406" t="s">
        <v>458</v>
      </c>
      <c r="T124" s="1406" t="s">
        <v>58</v>
      </c>
      <c r="U124" s="1406" t="s">
        <v>587</v>
      </c>
      <c r="V124" s="2054" t="s">
        <v>137</v>
      </c>
      <c r="W124" s="2055" t="s">
        <v>149</v>
      </c>
      <c r="X124" s="2087" t="s">
        <v>139</v>
      </c>
      <c r="Y124" s="2065">
        <v>4.0344</v>
      </c>
      <c r="Z124" s="2066">
        <f t="shared" si="29"/>
        <v>3243.6576</v>
      </c>
      <c r="AA124" s="2068"/>
      <c r="AB124" s="2107">
        <v>804</v>
      </c>
      <c r="AC124" s="2068">
        <f t="shared" si="30"/>
        <v>0</v>
      </c>
      <c r="AD124" s="2108" t="s">
        <v>81</v>
      </c>
      <c r="AE124" s="2070" t="s">
        <v>63</v>
      </c>
      <c r="AF124" s="2070" t="s">
        <v>38</v>
      </c>
      <c r="AG124" s="1363"/>
      <c r="AH124" s="2042"/>
      <c r="AI124" s="2042">
        <f>J124</f>
        <v>804</v>
      </c>
      <c r="AJ124" s="2085"/>
      <c r="AK124" s="2110"/>
      <c r="AL124" s="2042">
        <f t="shared" si="35"/>
        <v>804</v>
      </c>
      <c r="AM124" s="2042"/>
      <c r="AN124" s="2110"/>
      <c r="AO124" s="2110"/>
      <c r="AP124" s="2110"/>
      <c r="AQ124" s="2110"/>
      <c r="AR124" s="2110"/>
      <c r="AS124" s="2110"/>
      <c r="AT124" s="2110"/>
      <c r="AU124" s="2110"/>
      <c r="AV124" s="2110"/>
      <c r="AW124" s="2042"/>
      <c r="AX124" s="2042">
        <f>J124</f>
        <v>804</v>
      </c>
      <c r="AY124" s="2042"/>
      <c r="AZ124" s="2095"/>
      <c r="BA124" s="2042"/>
      <c r="BB124" s="2042"/>
      <c r="BC124" s="2042"/>
      <c r="BD124" s="2094">
        <f t="shared" si="32"/>
        <v>804</v>
      </c>
      <c r="BE124" s="2094">
        <f t="shared" si="33"/>
        <v>0</v>
      </c>
    </row>
    <row r="125" s="1988" customFormat="1" ht="36" customHeight="1" spans="1:57">
      <c r="A125" s="2018">
        <v>45701</v>
      </c>
      <c r="B125" s="2098" t="s">
        <v>133</v>
      </c>
      <c r="C125" s="1723" t="s">
        <v>91</v>
      </c>
      <c r="D125" s="2099">
        <v>4500157321</v>
      </c>
      <c r="E125" s="2098" t="s">
        <v>585</v>
      </c>
      <c r="F125" s="2019" t="s">
        <v>588</v>
      </c>
      <c r="G125" s="2023" t="s">
        <v>66</v>
      </c>
      <c r="H125" s="1989" t="s">
        <v>66</v>
      </c>
      <c r="I125" s="2036" t="s">
        <v>67</v>
      </c>
      <c r="J125" s="1989">
        <v>804</v>
      </c>
      <c r="K125" s="2037">
        <v>0</v>
      </c>
      <c r="L125" s="2038">
        <v>12</v>
      </c>
      <c r="M125" s="2039">
        <f t="shared" si="19"/>
        <v>67</v>
      </c>
      <c r="N125" s="2040">
        <v>45786</v>
      </c>
      <c r="O125" s="2040">
        <f>N125-4</f>
        <v>45782</v>
      </c>
      <c r="P125" s="2105" t="s">
        <v>557</v>
      </c>
      <c r="Q125" s="1363" t="s">
        <v>56</v>
      </c>
      <c r="R125" s="1363" t="s">
        <v>582</v>
      </c>
      <c r="S125" s="1406" t="s">
        <v>458</v>
      </c>
      <c r="T125" s="1406" t="s">
        <v>58</v>
      </c>
      <c r="U125" s="1406" t="s">
        <v>587</v>
      </c>
      <c r="V125" s="2054" t="s">
        <v>137</v>
      </c>
      <c r="W125" s="2055" t="s">
        <v>149</v>
      </c>
      <c r="X125" s="2087" t="s">
        <v>139</v>
      </c>
      <c r="Y125" s="2065">
        <v>3.7168</v>
      </c>
      <c r="Z125" s="2066">
        <f t="shared" si="29"/>
        <v>2988.3072</v>
      </c>
      <c r="AA125" s="2068"/>
      <c r="AB125" s="2107">
        <v>804</v>
      </c>
      <c r="AC125" s="2068">
        <f t="shared" si="30"/>
        <v>0</v>
      </c>
      <c r="AD125" s="2108" t="s">
        <v>81</v>
      </c>
      <c r="AE125" s="2070" t="s">
        <v>63</v>
      </c>
      <c r="AF125" s="2070" t="s">
        <v>38</v>
      </c>
      <c r="AG125" s="1363"/>
      <c r="AH125" s="2042"/>
      <c r="AI125" s="2042"/>
      <c r="AJ125" s="2085">
        <f>J125</f>
        <v>804</v>
      </c>
      <c r="AK125" s="2110"/>
      <c r="AL125" s="2042">
        <f t="shared" si="35"/>
        <v>804</v>
      </c>
      <c r="AM125" s="2042"/>
      <c r="AN125" s="2110"/>
      <c r="AO125" s="2110"/>
      <c r="AP125" s="2110"/>
      <c r="AQ125" s="2110"/>
      <c r="AR125" s="2110"/>
      <c r="AS125" s="2110"/>
      <c r="AT125" s="2110"/>
      <c r="AU125" s="2110"/>
      <c r="AV125" s="2110"/>
      <c r="AW125" s="2042"/>
      <c r="AX125" s="2042"/>
      <c r="AY125" s="2042">
        <f>J125</f>
        <v>804</v>
      </c>
      <c r="AZ125" s="2095"/>
      <c r="BA125" s="2042"/>
      <c r="BB125" s="2042"/>
      <c r="BC125" s="2042"/>
      <c r="BD125" s="2094">
        <f t="shared" si="32"/>
        <v>804</v>
      </c>
      <c r="BE125" s="2094">
        <f t="shared" si="33"/>
        <v>0</v>
      </c>
    </row>
    <row r="126" s="1988" customFormat="1" ht="36" customHeight="1" spans="1:57">
      <c r="A126" s="2018">
        <v>45740</v>
      </c>
      <c r="B126" s="2098" t="s">
        <v>589</v>
      </c>
      <c r="C126" s="1723" t="s">
        <v>91</v>
      </c>
      <c r="D126" s="2099">
        <v>4500164335</v>
      </c>
      <c r="E126" s="2100">
        <v>216911586</v>
      </c>
      <c r="F126" s="2019" t="s">
        <v>590</v>
      </c>
      <c r="G126" s="1989" t="s">
        <v>591</v>
      </c>
      <c r="H126" s="1989" t="s">
        <v>591</v>
      </c>
      <c r="I126" s="2103" t="s">
        <v>484</v>
      </c>
      <c r="J126" s="1989">
        <v>1300</v>
      </c>
      <c r="K126" s="2037">
        <v>0</v>
      </c>
      <c r="L126" s="2038">
        <v>2</v>
      </c>
      <c r="M126" s="2039">
        <f t="shared" si="19"/>
        <v>650</v>
      </c>
      <c r="N126" s="2040">
        <v>45787</v>
      </c>
      <c r="O126" s="2040">
        <v>45783</v>
      </c>
      <c r="P126" s="1363" t="s">
        <v>592</v>
      </c>
      <c r="Q126" s="1363" t="s">
        <v>56</v>
      </c>
      <c r="R126" s="1363" t="s">
        <v>346</v>
      </c>
      <c r="S126" s="1406" t="s">
        <v>593</v>
      </c>
      <c r="T126" s="1406" t="s">
        <v>58</v>
      </c>
      <c r="U126" s="1406" t="s">
        <v>58</v>
      </c>
      <c r="V126" s="2054" t="s">
        <v>594</v>
      </c>
      <c r="W126" s="2057" t="s">
        <v>595</v>
      </c>
      <c r="X126" s="2087" t="s">
        <v>596</v>
      </c>
      <c r="Y126" s="2106">
        <v>15.5956</v>
      </c>
      <c r="Z126" s="2066">
        <f>Y126*M126</f>
        <v>10137.14</v>
      </c>
      <c r="AA126" s="2068"/>
      <c r="AB126" s="2107">
        <v>1300</v>
      </c>
      <c r="AC126" s="2068">
        <f t="shared" si="30"/>
        <v>0</v>
      </c>
      <c r="AD126" s="1406" t="s">
        <v>58</v>
      </c>
      <c r="AE126" s="2070" t="s">
        <v>63</v>
      </c>
      <c r="AF126" s="2070" t="s">
        <v>38</v>
      </c>
      <c r="AG126" s="1363"/>
      <c r="AH126" s="2073">
        <f>433</f>
        <v>433</v>
      </c>
      <c r="AI126" s="2042">
        <f>433</f>
        <v>433</v>
      </c>
      <c r="AJ126" s="2085">
        <f>434</f>
        <v>434</v>
      </c>
      <c r="AK126" s="2110"/>
      <c r="AL126" s="2042">
        <f t="shared" si="35"/>
        <v>1300</v>
      </c>
      <c r="AM126" s="2042"/>
      <c r="AN126" s="2110"/>
      <c r="AO126" s="2110"/>
      <c r="AP126" s="2110"/>
      <c r="AQ126" s="2110"/>
      <c r="AR126" s="2110"/>
      <c r="AS126" s="2110"/>
      <c r="AT126" s="2110"/>
      <c r="AU126" s="2110"/>
      <c r="AV126" s="2110"/>
      <c r="AW126" s="2042">
        <f>AH126</f>
        <v>433</v>
      </c>
      <c r="AX126" s="2042">
        <f>AI126</f>
        <v>433</v>
      </c>
      <c r="AY126" s="2042">
        <f>AJ126</f>
        <v>434</v>
      </c>
      <c r="AZ126" s="2095"/>
      <c r="BA126" s="2042"/>
      <c r="BB126" s="2042"/>
      <c r="BC126" s="2042"/>
      <c r="BD126" s="2094">
        <f t="shared" si="32"/>
        <v>1300</v>
      </c>
      <c r="BE126" s="2094">
        <f t="shared" si="33"/>
        <v>0</v>
      </c>
    </row>
    <row r="127" s="1988" customFormat="1" ht="36" customHeight="1" spans="1:57">
      <c r="A127" s="2018">
        <v>45740</v>
      </c>
      <c r="B127" s="2098" t="s">
        <v>589</v>
      </c>
      <c r="C127" s="1723" t="s">
        <v>91</v>
      </c>
      <c r="D127" s="2099">
        <v>4500164338</v>
      </c>
      <c r="E127" s="2100">
        <v>216911588</v>
      </c>
      <c r="F127" s="2019" t="s">
        <v>597</v>
      </c>
      <c r="G127" s="1989" t="s">
        <v>591</v>
      </c>
      <c r="H127" s="2023" t="s">
        <v>591</v>
      </c>
      <c r="I127" s="2103" t="s">
        <v>484</v>
      </c>
      <c r="J127" s="1989">
        <v>700</v>
      </c>
      <c r="K127" s="2037">
        <v>0</v>
      </c>
      <c r="L127" s="2038">
        <v>2</v>
      </c>
      <c r="M127" s="2039">
        <f t="shared" si="19"/>
        <v>350</v>
      </c>
      <c r="N127" s="2040">
        <v>45787</v>
      </c>
      <c r="O127" s="2040">
        <v>45783</v>
      </c>
      <c r="P127" s="1363" t="s">
        <v>598</v>
      </c>
      <c r="Q127" s="1363" t="s">
        <v>56</v>
      </c>
      <c r="R127" s="1363" t="s">
        <v>346</v>
      </c>
      <c r="S127" s="1406" t="s">
        <v>593</v>
      </c>
      <c r="T127" s="1406" t="s">
        <v>58</v>
      </c>
      <c r="U127" s="1406" t="s">
        <v>58</v>
      </c>
      <c r="V127" s="2054" t="s">
        <v>594</v>
      </c>
      <c r="W127" s="2057" t="s">
        <v>595</v>
      </c>
      <c r="X127" s="2087" t="s">
        <v>596</v>
      </c>
      <c r="Y127" s="2106">
        <v>4.7212</v>
      </c>
      <c r="Z127" s="2066">
        <f>Y127*M127</f>
        <v>1652.42</v>
      </c>
      <c r="AA127" s="2068"/>
      <c r="AB127" s="2107">
        <v>700</v>
      </c>
      <c r="AC127" s="2068">
        <f t="shared" si="30"/>
        <v>0</v>
      </c>
      <c r="AD127" s="1406" t="s">
        <v>58</v>
      </c>
      <c r="AE127" s="2070" t="s">
        <v>63</v>
      </c>
      <c r="AF127" s="2070" t="s">
        <v>38</v>
      </c>
      <c r="AG127" s="1363"/>
      <c r="AH127" s="2073">
        <f>234</f>
        <v>234</v>
      </c>
      <c r="AI127" s="2042">
        <f>233</f>
        <v>233</v>
      </c>
      <c r="AJ127" s="2085">
        <f>233</f>
        <v>233</v>
      </c>
      <c r="AK127" s="2110"/>
      <c r="AL127" s="2042">
        <f t="shared" si="35"/>
        <v>700</v>
      </c>
      <c r="AM127" s="2042"/>
      <c r="AN127" s="2110"/>
      <c r="AO127" s="2110"/>
      <c r="AP127" s="2110"/>
      <c r="AQ127" s="2110"/>
      <c r="AR127" s="2110"/>
      <c r="AS127" s="2110"/>
      <c r="AT127" s="2110"/>
      <c r="AU127" s="2110"/>
      <c r="AV127" s="2110"/>
      <c r="AW127" s="2042">
        <f>AH127</f>
        <v>234</v>
      </c>
      <c r="AX127" s="2042">
        <f>AI127</f>
        <v>233</v>
      </c>
      <c r="AY127" s="2042">
        <f>AJ127</f>
        <v>233</v>
      </c>
      <c r="AZ127" s="2095"/>
      <c r="BA127" s="2042"/>
      <c r="BB127" s="2042"/>
      <c r="BC127" s="2042"/>
      <c r="BD127" s="2094">
        <f t="shared" si="32"/>
        <v>700</v>
      </c>
      <c r="BE127" s="2094">
        <f t="shared" si="33"/>
        <v>0</v>
      </c>
    </row>
    <row r="128" s="1988" customFormat="1" ht="36" customHeight="1" spans="1:57">
      <c r="A128" s="2018">
        <v>45742</v>
      </c>
      <c r="B128" s="2098" t="s">
        <v>599</v>
      </c>
      <c r="C128" s="1723" t="s">
        <v>600</v>
      </c>
      <c r="D128" s="2099">
        <v>4500161075</v>
      </c>
      <c r="E128" s="2098">
        <v>11098</v>
      </c>
      <c r="F128" s="2019" t="s">
        <v>601</v>
      </c>
      <c r="G128" s="1723" t="s">
        <v>602</v>
      </c>
      <c r="H128" s="1989" t="s">
        <v>603</v>
      </c>
      <c r="I128" s="2036" t="s">
        <v>55</v>
      </c>
      <c r="J128" s="1989">
        <v>360</v>
      </c>
      <c r="K128" s="2037">
        <v>0</v>
      </c>
      <c r="L128" s="2038">
        <v>6</v>
      </c>
      <c r="M128" s="2039">
        <f t="shared" si="19"/>
        <v>60</v>
      </c>
      <c r="N128" s="2040">
        <v>45793</v>
      </c>
      <c r="O128" s="2040">
        <f>N128-4</f>
        <v>45789</v>
      </c>
      <c r="P128" s="1365" t="s">
        <v>73</v>
      </c>
      <c r="Q128" s="1363" t="s">
        <v>56</v>
      </c>
      <c r="R128" s="1363" t="s">
        <v>604</v>
      </c>
      <c r="S128" s="1406" t="s">
        <v>605</v>
      </c>
      <c r="T128" s="1406" t="s">
        <v>58</v>
      </c>
      <c r="U128" s="1405" t="s">
        <v>606</v>
      </c>
      <c r="V128" s="1365" t="s">
        <v>607</v>
      </c>
      <c r="W128" s="2055" t="s">
        <v>608</v>
      </c>
      <c r="X128" s="2087" t="s">
        <v>609</v>
      </c>
      <c r="Y128" s="2065">
        <v>3.9701</v>
      </c>
      <c r="Z128" s="2066">
        <f t="shared" ref="Z128:Z142" si="36">Y128*J128</f>
        <v>1429.236</v>
      </c>
      <c r="AA128" s="2068"/>
      <c r="AB128" s="2107">
        <v>360</v>
      </c>
      <c r="AC128" s="2068">
        <f t="shared" si="30"/>
        <v>0</v>
      </c>
      <c r="AD128" s="2108" t="s">
        <v>81</v>
      </c>
      <c r="AE128" s="1402" t="s">
        <v>63</v>
      </c>
      <c r="AF128" s="2070" t="s">
        <v>38</v>
      </c>
      <c r="AG128" s="1363"/>
      <c r="AH128" s="2042">
        <f>J128</f>
        <v>360</v>
      </c>
      <c r="AI128" s="2042"/>
      <c r="AJ128" s="2085"/>
      <c r="AK128" s="2088"/>
      <c r="AL128" s="2042">
        <f t="shared" si="35"/>
        <v>360</v>
      </c>
      <c r="AM128" s="2042"/>
      <c r="AN128" s="2088"/>
      <c r="AO128" s="2088"/>
      <c r="AP128" s="2088"/>
      <c r="AQ128" s="2088"/>
      <c r="AR128" s="2088"/>
      <c r="AS128" s="2088"/>
      <c r="AT128" s="2088"/>
      <c r="AU128" s="2088"/>
      <c r="AV128" s="2088"/>
      <c r="AW128" s="2042">
        <f>J128</f>
        <v>360</v>
      </c>
      <c r="AX128" s="2042"/>
      <c r="AY128" s="2042"/>
      <c r="AZ128" s="2096"/>
      <c r="BA128" s="2042"/>
      <c r="BB128" s="2042"/>
      <c r="BC128" s="2042"/>
      <c r="BD128" s="2094">
        <f t="shared" si="32"/>
        <v>360</v>
      </c>
      <c r="BE128" s="2094">
        <f t="shared" si="33"/>
        <v>0</v>
      </c>
    </row>
    <row r="129" s="1988" customFormat="1" ht="36" customHeight="1" spans="1:57">
      <c r="A129" s="2018">
        <v>45742</v>
      </c>
      <c r="B129" s="2098" t="s">
        <v>599</v>
      </c>
      <c r="C129" s="1723" t="s">
        <v>600</v>
      </c>
      <c r="D129" s="2099">
        <v>4500161075</v>
      </c>
      <c r="E129" s="2098">
        <v>11098</v>
      </c>
      <c r="F129" s="2019" t="s">
        <v>610</v>
      </c>
      <c r="G129" s="1989" t="s">
        <v>611</v>
      </c>
      <c r="H129" s="1989" t="s">
        <v>611</v>
      </c>
      <c r="I129" s="1989" t="s">
        <v>67</v>
      </c>
      <c r="J129" s="1989">
        <v>360</v>
      </c>
      <c r="K129" s="2037">
        <v>0</v>
      </c>
      <c r="L129" s="2038">
        <v>6</v>
      </c>
      <c r="M129" s="2039">
        <f t="shared" ref="M129:M192" si="37">J129/L129</f>
        <v>60</v>
      </c>
      <c r="N129" s="2040">
        <v>45793</v>
      </c>
      <c r="O129" s="2040">
        <f>N129-4</f>
        <v>45789</v>
      </c>
      <c r="P129" s="1365" t="s">
        <v>73</v>
      </c>
      <c r="Q129" s="1363" t="s">
        <v>56</v>
      </c>
      <c r="R129" s="1363" t="s">
        <v>604</v>
      </c>
      <c r="S129" s="1406" t="s">
        <v>605</v>
      </c>
      <c r="T129" s="1406" t="s">
        <v>58</v>
      </c>
      <c r="U129" s="1405" t="s">
        <v>606</v>
      </c>
      <c r="V129" s="1365" t="s">
        <v>607</v>
      </c>
      <c r="W129" s="2055" t="s">
        <v>612</v>
      </c>
      <c r="X129" s="2087" t="s">
        <v>609</v>
      </c>
      <c r="Y129" s="2065">
        <v>3.7751</v>
      </c>
      <c r="Z129" s="2066">
        <f t="shared" si="36"/>
        <v>1359.036</v>
      </c>
      <c r="AA129" s="2068"/>
      <c r="AB129" s="2107">
        <v>360</v>
      </c>
      <c r="AC129" s="2068">
        <f t="shared" si="30"/>
        <v>0</v>
      </c>
      <c r="AD129" s="2108" t="s">
        <v>81</v>
      </c>
      <c r="AE129" s="1402" t="s">
        <v>63</v>
      </c>
      <c r="AF129" s="2070" t="s">
        <v>38</v>
      </c>
      <c r="AG129" s="1363"/>
      <c r="AH129" s="2042"/>
      <c r="AI129" s="2042"/>
      <c r="AJ129" s="2085">
        <f>J129</f>
        <v>360</v>
      </c>
      <c r="AK129" s="2088"/>
      <c r="AL129" s="2042">
        <f t="shared" si="35"/>
        <v>360</v>
      </c>
      <c r="AM129" s="2042"/>
      <c r="AN129" s="2088"/>
      <c r="AO129" s="2088"/>
      <c r="AP129" s="2088"/>
      <c r="AQ129" s="2088"/>
      <c r="AR129" s="2088"/>
      <c r="AS129" s="2088"/>
      <c r="AT129" s="2088"/>
      <c r="AU129" s="2088"/>
      <c r="AV129" s="2088"/>
      <c r="AW129" s="2042"/>
      <c r="AX129" s="2042"/>
      <c r="AY129" s="2042">
        <f>J129</f>
        <v>360</v>
      </c>
      <c r="AZ129" s="2096"/>
      <c r="BA129" s="2042"/>
      <c r="BB129" s="2042"/>
      <c r="BC129" s="2042"/>
      <c r="BD129" s="2094">
        <f t="shared" si="32"/>
        <v>360</v>
      </c>
      <c r="BE129" s="2094">
        <f t="shared" si="33"/>
        <v>0</v>
      </c>
    </row>
    <row r="130" s="1988" customFormat="1" ht="36" customHeight="1" spans="1:57">
      <c r="A130" s="2018">
        <v>45768</v>
      </c>
      <c r="B130" s="2098" t="s">
        <v>613</v>
      </c>
      <c r="C130" s="1723" t="s">
        <v>614</v>
      </c>
      <c r="D130" s="2099">
        <v>4500163400</v>
      </c>
      <c r="E130" s="2098">
        <v>5200006595</v>
      </c>
      <c r="F130" s="2019" t="s">
        <v>615</v>
      </c>
      <c r="G130" s="1723" t="s">
        <v>602</v>
      </c>
      <c r="H130" s="2098" t="s">
        <v>616</v>
      </c>
      <c r="I130" s="2036" t="s">
        <v>55</v>
      </c>
      <c r="J130" s="1989">
        <v>198</v>
      </c>
      <c r="K130" s="2037">
        <v>0</v>
      </c>
      <c r="L130" s="2038">
        <v>6</v>
      </c>
      <c r="M130" s="2039">
        <f t="shared" si="37"/>
        <v>33</v>
      </c>
      <c r="N130" s="2040">
        <v>45796</v>
      </c>
      <c r="O130" s="2040">
        <v>45792</v>
      </c>
      <c r="P130" s="1365" t="s">
        <v>73</v>
      </c>
      <c r="Q130" s="1363" t="s">
        <v>56</v>
      </c>
      <c r="R130" s="1363" t="s">
        <v>617</v>
      </c>
      <c r="S130" s="1406" t="s">
        <v>618</v>
      </c>
      <c r="T130" s="1406"/>
      <c r="U130" s="1405" t="s">
        <v>619</v>
      </c>
      <c r="V130" s="1365" t="s">
        <v>620</v>
      </c>
      <c r="W130" s="2055" t="s">
        <v>621</v>
      </c>
      <c r="X130" s="2087" t="s">
        <v>622</v>
      </c>
      <c r="Y130" s="2065">
        <v>3.878</v>
      </c>
      <c r="Z130" s="2066">
        <f t="shared" si="36"/>
        <v>767.844</v>
      </c>
      <c r="AA130" s="2068"/>
      <c r="AB130" s="2107">
        <v>198</v>
      </c>
      <c r="AC130" s="2068">
        <f t="shared" si="30"/>
        <v>0</v>
      </c>
      <c r="AD130" s="2108" t="s">
        <v>81</v>
      </c>
      <c r="AE130" s="1402" t="s">
        <v>63</v>
      </c>
      <c r="AF130" s="1402" t="s">
        <v>38</v>
      </c>
      <c r="AG130" s="1363"/>
      <c r="AH130" s="2042">
        <f>J130</f>
        <v>198</v>
      </c>
      <c r="AI130" s="2042"/>
      <c r="AJ130" s="2085"/>
      <c r="AK130" s="2086"/>
      <c r="AL130" s="2042">
        <f t="shared" si="35"/>
        <v>198</v>
      </c>
      <c r="AM130" s="2042"/>
      <c r="AN130" s="2086"/>
      <c r="AO130" s="2086"/>
      <c r="AP130" s="2086"/>
      <c r="AQ130" s="2086"/>
      <c r="AR130" s="2086"/>
      <c r="AS130" s="2086"/>
      <c r="AT130" s="2086"/>
      <c r="AU130" s="2086"/>
      <c r="AV130" s="2086"/>
      <c r="AW130" s="2042">
        <f>J130</f>
        <v>198</v>
      </c>
      <c r="AX130" s="2042"/>
      <c r="AY130" s="2042"/>
      <c r="AZ130" s="2093"/>
      <c r="BA130" s="2042"/>
      <c r="BB130" s="2042"/>
      <c r="BC130" s="2042"/>
      <c r="BD130" s="2094">
        <f t="shared" si="32"/>
        <v>198</v>
      </c>
      <c r="BE130" s="2094">
        <f t="shared" si="33"/>
        <v>0</v>
      </c>
    </row>
    <row r="131" s="1988" customFormat="1" ht="36" customHeight="1" spans="1:57">
      <c r="A131" s="2018">
        <v>45768</v>
      </c>
      <c r="B131" s="2098" t="s">
        <v>613</v>
      </c>
      <c r="C131" s="1723" t="s">
        <v>614</v>
      </c>
      <c r="D131" s="2099">
        <v>4500163400</v>
      </c>
      <c r="E131" s="2098">
        <v>5200006595</v>
      </c>
      <c r="F131" s="2019" t="s">
        <v>623</v>
      </c>
      <c r="G131" s="1989" t="s">
        <v>624</v>
      </c>
      <c r="H131" s="2098" t="s">
        <v>625</v>
      </c>
      <c r="I131" s="2103" t="s">
        <v>65</v>
      </c>
      <c r="J131" s="1989">
        <v>198</v>
      </c>
      <c r="K131" s="2037">
        <v>0</v>
      </c>
      <c r="L131" s="2038">
        <v>6</v>
      </c>
      <c r="M131" s="2039">
        <f t="shared" si="37"/>
        <v>33</v>
      </c>
      <c r="N131" s="2040">
        <v>45796</v>
      </c>
      <c r="O131" s="2040">
        <v>45792</v>
      </c>
      <c r="P131" s="1365" t="s">
        <v>73</v>
      </c>
      <c r="Q131" s="1363" t="s">
        <v>56</v>
      </c>
      <c r="R131" s="1363" t="s">
        <v>617</v>
      </c>
      <c r="S131" s="1406" t="s">
        <v>618</v>
      </c>
      <c r="T131" s="1406"/>
      <c r="U131" s="1405" t="s">
        <v>619</v>
      </c>
      <c r="V131" s="1365" t="s">
        <v>626</v>
      </c>
      <c r="W131" s="2055" t="s">
        <v>627</v>
      </c>
      <c r="X131" s="2087" t="s">
        <v>622</v>
      </c>
      <c r="Y131" s="2065">
        <v>4.0006</v>
      </c>
      <c r="Z131" s="2066">
        <f t="shared" si="36"/>
        <v>792.1188</v>
      </c>
      <c r="AA131" s="2068"/>
      <c r="AB131" s="2107">
        <v>198</v>
      </c>
      <c r="AC131" s="2068">
        <f t="shared" si="30"/>
        <v>0</v>
      </c>
      <c r="AD131" s="2108" t="s">
        <v>81</v>
      </c>
      <c r="AE131" s="1402" t="s">
        <v>63</v>
      </c>
      <c r="AF131" s="1402" t="s">
        <v>38</v>
      </c>
      <c r="AG131" s="1363"/>
      <c r="AH131" s="2073"/>
      <c r="AI131" s="2042">
        <f>J131</f>
        <v>198</v>
      </c>
      <c r="AJ131" s="2085"/>
      <c r="AK131" s="2086"/>
      <c r="AL131" s="2042">
        <f t="shared" si="35"/>
        <v>198</v>
      </c>
      <c r="AM131" s="2042"/>
      <c r="AN131" s="2086"/>
      <c r="AO131" s="2086"/>
      <c r="AP131" s="2086"/>
      <c r="AQ131" s="2086"/>
      <c r="AR131" s="2086"/>
      <c r="AS131" s="2086"/>
      <c r="AT131" s="2086"/>
      <c r="AU131" s="2086"/>
      <c r="AV131" s="2086"/>
      <c r="AW131" s="2042"/>
      <c r="AX131" s="2042">
        <f>J131</f>
        <v>198</v>
      </c>
      <c r="AY131" s="2042"/>
      <c r="AZ131" s="2093"/>
      <c r="BA131" s="2042"/>
      <c r="BB131" s="2042"/>
      <c r="BC131" s="2042"/>
      <c r="BD131" s="2094">
        <f t="shared" si="32"/>
        <v>198</v>
      </c>
      <c r="BE131" s="2094">
        <f t="shared" si="33"/>
        <v>0</v>
      </c>
    </row>
    <row r="132" s="1988" customFormat="1" ht="36" customHeight="1" spans="1:57">
      <c r="A132" s="2018">
        <v>45768</v>
      </c>
      <c r="B132" s="2098" t="s">
        <v>613</v>
      </c>
      <c r="C132" s="1723" t="s">
        <v>614</v>
      </c>
      <c r="D132" s="2099">
        <v>4500163400</v>
      </c>
      <c r="E132" s="2098">
        <v>5200006595</v>
      </c>
      <c r="F132" s="2019" t="s">
        <v>628</v>
      </c>
      <c r="G132" s="2104" t="s">
        <v>629</v>
      </c>
      <c r="H132" s="2098" t="s">
        <v>630</v>
      </c>
      <c r="I132" s="1989" t="s">
        <v>67</v>
      </c>
      <c r="J132" s="1989">
        <v>198</v>
      </c>
      <c r="K132" s="2037">
        <v>0</v>
      </c>
      <c r="L132" s="2038">
        <v>6</v>
      </c>
      <c r="M132" s="2039">
        <f t="shared" si="37"/>
        <v>33</v>
      </c>
      <c r="N132" s="2040">
        <v>45796</v>
      </c>
      <c r="O132" s="2040">
        <v>45792</v>
      </c>
      <c r="P132" s="1365" t="s">
        <v>73</v>
      </c>
      <c r="Q132" s="1363" t="s">
        <v>56</v>
      </c>
      <c r="R132" s="1363" t="s">
        <v>617</v>
      </c>
      <c r="S132" s="1406" t="s">
        <v>618</v>
      </c>
      <c r="T132" s="1406"/>
      <c r="U132" s="1405" t="s">
        <v>619</v>
      </c>
      <c r="V132" s="1365" t="s">
        <v>631</v>
      </c>
      <c r="W132" s="2055" t="s">
        <v>632</v>
      </c>
      <c r="X132" s="2087" t="s">
        <v>622</v>
      </c>
      <c r="Y132" s="2065">
        <v>3.9417</v>
      </c>
      <c r="Z132" s="2066">
        <f t="shared" si="36"/>
        <v>780.4566</v>
      </c>
      <c r="AA132" s="2068"/>
      <c r="AB132" s="2107">
        <v>198</v>
      </c>
      <c r="AC132" s="2068">
        <f t="shared" si="30"/>
        <v>0</v>
      </c>
      <c r="AD132" s="2108" t="s">
        <v>81</v>
      </c>
      <c r="AE132" s="1402" t="s">
        <v>63</v>
      </c>
      <c r="AF132" s="1402" t="s">
        <v>38</v>
      </c>
      <c r="AG132" s="1363"/>
      <c r="AH132" s="2073"/>
      <c r="AI132" s="2042"/>
      <c r="AJ132" s="2085">
        <f>J132</f>
        <v>198</v>
      </c>
      <c r="AK132" s="2086"/>
      <c r="AL132" s="2042">
        <f t="shared" si="35"/>
        <v>198</v>
      </c>
      <c r="AM132" s="2042"/>
      <c r="AN132" s="2086"/>
      <c r="AO132" s="2086"/>
      <c r="AP132" s="2086"/>
      <c r="AQ132" s="2086"/>
      <c r="AR132" s="2086"/>
      <c r="AS132" s="2086"/>
      <c r="AT132" s="2086"/>
      <c r="AU132" s="2086"/>
      <c r="AV132" s="2086"/>
      <c r="AW132" s="2042"/>
      <c r="AX132" s="2042"/>
      <c r="AY132" s="2042">
        <f>J132</f>
        <v>198</v>
      </c>
      <c r="AZ132" s="2093"/>
      <c r="BA132" s="2042"/>
      <c r="BB132" s="2042"/>
      <c r="BC132" s="2042"/>
      <c r="BD132" s="2094">
        <f t="shared" si="32"/>
        <v>198</v>
      </c>
      <c r="BE132" s="2094">
        <f t="shared" si="33"/>
        <v>0</v>
      </c>
    </row>
    <row r="133" s="1988" customFormat="1" ht="36" customHeight="1" spans="1:57">
      <c r="A133" s="2018">
        <v>45729</v>
      </c>
      <c r="B133" s="2098" t="s">
        <v>633</v>
      </c>
      <c r="C133" s="1723" t="s">
        <v>634</v>
      </c>
      <c r="D133" s="2099">
        <v>4500159898</v>
      </c>
      <c r="E133" s="2100"/>
      <c r="F133" s="2019" t="s">
        <v>635</v>
      </c>
      <c r="G133" s="1989" t="s">
        <v>636</v>
      </c>
      <c r="H133" s="2023" t="s">
        <v>66</v>
      </c>
      <c r="I133" s="2036" t="s">
        <v>67</v>
      </c>
      <c r="J133" s="1989">
        <v>504</v>
      </c>
      <c r="K133" s="2037">
        <v>0</v>
      </c>
      <c r="L133" s="2038">
        <v>12</v>
      </c>
      <c r="M133" s="2039">
        <f t="shared" si="37"/>
        <v>42</v>
      </c>
      <c r="N133" s="2040">
        <v>45800</v>
      </c>
      <c r="O133" s="2040">
        <v>45796</v>
      </c>
      <c r="P133" s="1365"/>
      <c r="Q133" s="1363" t="s">
        <v>56</v>
      </c>
      <c r="R133" s="1363" t="s">
        <v>637</v>
      </c>
      <c r="S133" s="1406" t="s">
        <v>638</v>
      </c>
      <c r="T133" s="1406"/>
      <c r="U133" s="1406" t="s">
        <v>639</v>
      </c>
      <c r="V133" s="1406" t="s">
        <v>640</v>
      </c>
      <c r="W133" s="2055" t="s">
        <v>641</v>
      </c>
      <c r="X133" s="2087" t="s">
        <v>642</v>
      </c>
      <c r="Y133" s="2065">
        <v>3.7411</v>
      </c>
      <c r="Z133" s="2066">
        <f t="shared" si="36"/>
        <v>1885.5144</v>
      </c>
      <c r="AA133" s="2068"/>
      <c r="AB133" s="2107">
        <v>504</v>
      </c>
      <c r="AC133" s="2068">
        <f t="shared" si="30"/>
        <v>0</v>
      </c>
      <c r="AD133" s="2108" t="s">
        <v>327</v>
      </c>
      <c r="AE133" s="2070" t="s">
        <v>63</v>
      </c>
      <c r="AF133" s="1402" t="s">
        <v>38</v>
      </c>
      <c r="AG133" s="1363"/>
      <c r="AH133" s="2073"/>
      <c r="AI133" s="2042"/>
      <c r="AJ133" s="2042">
        <f>J133</f>
        <v>504</v>
      </c>
      <c r="AK133" s="2088"/>
      <c r="AL133" s="2042"/>
      <c r="AM133" s="2042">
        <f>J133</f>
        <v>504</v>
      </c>
      <c r="AN133" s="2088"/>
      <c r="AO133" s="2088"/>
      <c r="AP133" s="2088"/>
      <c r="AQ133" s="2088"/>
      <c r="AR133" s="2088"/>
      <c r="AS133" s="2088"/>
      <c r="AT133" s="2088"/>
      <c r="AU133" s="2088"/>
      <c r="AV133" s="2088"/>
      <c r="AW133" s="2042"/>
      <c r="AX133" s="2042"/>
      <c r="AY133" s="2042">
        <f>J133</f>
        <v>504</v>
      </c>
      <c r="AZ133" s="2096"/>
      <c r="BA133" s="2042"/>
      <c r="BB133" s="2042"/>
      <c r="BC133" s="2042"/>
      <c r="BD133" s="2094">
        <f t="shared" si="32"/>
        <v>504</v>
      </c>
      <c r="BE133" s="2094">
        <f t="shared" si="33"/>
        <v>0</v>
      </c>
    </row>
    <row r="134" s="1988" customFormat="1" ht="36" customHeight="1" spans="1:57">
      <c r="A134" s="2018">
        <v>45729</v>
      </c>
      <c r="B134" s="2098" t="s">
        <v>633</v>
      </c>
      <c r="C134" s="1723" t="s">
        <v>634</v>
      </c>
      <c r="D134" s="2099">
        <v>4500159898</v>
      </c>
      <c r="E134" s="2100" t="s">
        <v>643</v>
      </c>
      <c r="F134" s="2019" t="s">
        <v>644</v>
      </c>
      <c r="G134" s="1989" t="s">
        <v>643</v>
      </c>
      <c r="H134" s="2023" t="s">
        <v>54</v>
      </c>
      <c r="I134" s="2036" t="s">
        <v>55</v>
      </c>
      <c r="J134" s="1989">
        <v>504</v>
      </c>
      <c r="K134" s="2037">
        <v>0</v>
      </c>
      <c r="L134" s="2038">
        <v>12</v>
      </c>
      <c r="M134" s="2039">
        <f t="shared" si="37"/>
        <v>42</v>
      </c>
      <c r="N134" s="2040">
        <v>45800</v>
      </c>
      <c r="O134" s="2040">
        <v>45796</v>
      </c>
      <c r="P134" s="1365"/>
      <c r="Q134" s="1363" t="s">
        <v>56</v>
      </c>
      <c r="R134" s="1363" t="s">
        <v>637</v>
      </c>
      <c r="S134" s="1406" t="s">
        <v>638</v>
      </c>
      <c r="T134" s="1406"/>
      <c r="U134" s="1406" t="s">
        <v>639</v>
      </c>
      <c r="V134" s="1406" t="s">
        <v>640</v>
      </c>
      <c r="W134" s="2055" t="s">
        <v>645</v>
      </c>
      <c r="X134" s="2087" t="s">
        <v>642</v>
      </c>
      <c r="Y134" s="2065">
        <v>3.9373</v>
      </c>
      <c r="Z134" s="2066">
        <f t="shared" si="36"/>
        <v>1984.3992</v>
      </c>
      <c r="AA134" s="2068"/>
      <c r="AB134" s="2107">
        <v>504</v>
      </c>
      <c r="AC134" s="2068">
        <f t="shared" si="30"/>
        <v>0</v>
      </c>
      <c r="AD134" s="2108" t="s">
        <v>327</v>
      </c>
      <c r="AE134" s="2070" t="s">
        <v>63</v>
      </c>
      <c r="AF134" s="1402" t="s">
        <v>38</v>
      </c>
      <c r="AG134" s="1363"/>
      <c r="AH134" s="2073">
        <f>J134</f>
        <v>504</v>
      </c>
      <c r="AI134" s="2042"/>
      <c r="AJ134" s="2042"/>
      <c r="AK134" s="2088"/>
      <c r="AL134" s="2042"/>
      <c r="AM134" s="2042">
        <f>J134</f>
        <v>504</v>
      </c>
      <c r="AN134" s="2088"/>
      <c r="AO134" s="2088"/>
      <c r="AP134" s="2088"/>
      <c r="AQ134" s="2088"/>
      <c r="AR134" s="2088"/>
      <c r="AS134" s="2088"/>
      <c r="AT134" s="2088"/>
      <c r="AU134" s="2088"/>
      <c r="AV134" s="2088"/>
      <c r="AW134" s="2042">
        <f>J134</f>
        <v>504</v>
      </c>
      <c r="AX134" s="2042"/>
      <c r="AY134" s="2042"/>
      <c r="AZ134" s="2096"/>
      <c r="BA134" s="2042"/>
      <c r="BB134" s="2042"/>
      <c r="BC134" s="2042"/>
      <c r="BD134" s="2094">
        <f t="shared" si="32"/>
        <v>504</v>
      </c>
      <c r="BE134" s="2094">
        <f t="shared" si="33"/>
        <v>0</v>
      </c>
    </row>
    <row r="135" s="1988" customFormat="1" ht="36" customHeight="1" spans="1:57">
      <c r="A135" s="2018">
        <v>45749</v>
      </c>
      <c r="B135" s="2098" t="s">
        <v>646</v>
      </c>
      <c r="C135" s="1723" t="s">
        <v>647</v>
      </c>
      <c r="D135" s="2099">
        <v>4500161573</v>
      </c>
      <c r="E135" s="2098">
        <v>4100411993</v>
      </c>
      <c r="F135" s="2019" t="s">
        <v>648</v>
      </c>
      <c r="G135" s="1723" t="s">
        <v>602</v>
      </c>
      <c r="H135" s="1989" t="s">
        <v>603</v>
      </c>
      <c r="I135" s="2036" t="s">
        <v>55</v>
      </c>
      <c r="J135" s="1989">
        <v>120</v>
      </c>
      <c r="K135" s="2037">
        <v>0</v>
      </c>
      <c r="L135" s="2038">
        <v>6</v>
      </c>
      <c r="M135" s="2039">
        <f t="shared" si="37"/>
        <v>20</v>
      </c>
      <c r="N135" s="2040">
        <v>45803</v>
      </c>
      <c r="O135" s="2040">
        <v>45799</v>
      </c>
      <c r="P135" s="1365" t="s">
        <v>73</v>
      </c>
      <c r="Q135" s="1363" t="s">
        <v>56</v>
      </c>
      <c r="R135" s="1363" t="s">
        <v>649</v>
      </c>
      <c r="S135" s="1406" t="s">
        <v>650</v>
      </c>
      <c r="T135" s="1406"/>
      <c r="U135" s="1405" t="s">
        <v>651</v>
      </c>
      <c r="V135" s="1365" t="s">
        <v>607</v>
      </c>
      <c r="W135" s="2055" t="s">
        <v>652</v>
      </c>
      <c r="X135" s="2087" t="s">
        <v>609</v>
      </c>
      <c r="Y135" s="2065">
        <v>3.878</v>
      </c>
      <c r="Z135" s="2066">
        <f t="shared" si="36"/>
        <v>465.36</v>
      </c>
      <c r="AA135" s="2068"/>
      <c r="AB135" s="2107">
        <v>120</v>
      </c>
      <c r="AC135" s="2068">
        <f t="shared" si="30"/>
        <v>0</v>
      </c>
      <c r="AD135" s="2108" t="s">
        <v>81</v>
      </c>
      <c r="AE135" s="1402" t="s">
        <v>63</v>
      </c>
      <c r="AF135" s="1402" t="s">
        <v>38</v>
      </c>
      <c r="AG135" s="1363"/>
      <c r="AH135" s="2042">
        <f>J135</f>
        <v>120</v>
      </c>
      <c r="AI135" s="2042"/>
      <c r="AJ135" s="2085"/>
      <c r="AK135" s="2086"/>
      <c r="AL135" s="2042">
        <f>J135</f>
        <v>120</v>
      </c>
      <c r="AM135" s="2042"/>
      <c r="AN135" s="2086"/>
      <c r="AO135" s="2086"/>
      <c r="AP135" s="2086"/>
      <c r="AQ135" s="2086"/>
      <c r="AR135" s="2086"/>
      <c r="AS135" s="2086"/>
      <c r="AT135" s="2086"/>
      <c r="AU135" s="2086"/>
      <c r="AV135" s="2086"/>
      <c r="AW135" s="2042">
        <f>J135</f>
        <v>120</v>
      </c>
      <c r="AX135" s="2042"/>
      <c r="AY135" s="2042"/>
      <c r="AZ135" s="2093"/>
      <c r="BA135" s="2042"/>
      <c r="BB135" s="2042"/>
      <c r="BC135" s="2042"/>
      <c r="BD135" s="2094">
        <f t="shared" si="32"/>
        <v>120</v>
      </c>
      <c r="BE135" s="2094">
        <f t="shared" si="33"/>
        <v>0</v>
      </c>
    </row>
    <row r="136" s="1988" customFormat="1" ht="36" customHeight="1" spans="1:57">
      <c r="A136" s="2018">
        <v>45749</v>
      </c>
      <c r="B136" s="2098" t="s">
        <v>646</v>
      </c>
      <c r="C136" s="1723" t="s">
        <v>647</v>
      </c>
      <c r="D136" s="2099">
        <v>4500161573</v>
      </c>
      <c r="E136" s="2098">
        <v>4100411993</v>
      </c>
      <c r="F136" s="2019" t="s">
        <v>653</v>
      </c>
      <c r="G136" s="1989" t="s">
        <v>624</v>
      </c>
      <c r="H136" s="1989" t="s">
        <v>624</v>
      </c>
      <c r="I136" s="2103" t="s">
        <v>65</v>
      </c>
      <c r="J136" s="1989">
        <v>120</v>
      </c>
      <c r="K136" s="2037">
        <v>0</v>
      </c>
      <c r="L136" s="2038">
        <v>6</v>
      </c>
      <c r="M136" s="2039">
        <f t="shared" si="37"/>
        <v>20</v>
      </c>
      <c r="N136" s="2040">
        <v>45803</v>
      </c>
      <c r="O136" s="2040">
        <v>45799</v>
      </c>
      <c r="P136" s="1365" t="s">
        <v>73</v>
      </c>
      <c r="Q136" s="1363" t="s">
        <v>56</v>
      </c>
      <c r="R136" s="1363" t="s">
        <v>649</v>
      </c>
      <c r="S136" s="1406" t="s">
        <v>650</v>
      </c>
      <c r="T136" s="1406"/>
      <c r="U136" s="1405" t="s">
        <v>651</v>
      </c>
      <c r="V136" s="1365" t="s">
        <v>607</v>
      </c>
      <c r="W136" s="2055" t="s">
        <v>654</v>
      </c>
      <c r="X136" s="2087" t="s">
        <v>609</v>
      </c>
      <c r="Y136" s="2065">
        <v>3.9509</v>
      </c>
      <c r="Z136" s="2066">
        <f t="shared" si="36"/>
        <v>474.108</v>
      </c>
      <c r="AA136" s="2068"/>
      <c r="AB136" s="2107">
        <v>120</v>
      </c>
      <c r="AC136" s="2068">
        <f t="shared" si="30"/>
        <v>0</v>
      </c>
      <c r="AD136" s="2108" t="s">
        <v>81</v>
      </c>
      <c r="AE136" s="1402" t="s">
        <v>63</v>
      </c>
      <c r="AF136" s="2070" t="s">
        <v>38</v>
      </c>
      <c r="AG136" s="1363"/>
      <c r="AH136" s="2073"/>
      <c r="AI136" s="2042">
        <f>J136</f>
        <v>120</v>
      </c>
      <c r="AJ136" s="2085"/>
      <c r="AK136" s="2086"/>
      <c r="AL136" s="2042">
        <f>J136</f>
        <v>120</v>
      </c>
      <c r="AM136" s="2042"/>
      <c r="AN136" s="2086"/>
      <c r="AO136" s="2086"/>
      <c r="AP136" s="2086"/>
      <c r="AQ136" s="2086"/>
      <c r="AR136" s="2086"/>
      <c r="AS136" s="2086"/>
      <c r="AT136" s="2086"/>
      <c r="AU136" s="2086"/>
      <c r="AV136" s="2086"/>
      <c r="AW136" s="2042"/>
      <c r="AX136" s="2042">
        <f>J136</f>
        <v>120</v>
      </c>
      <c r="AY136" s="2042"/>
      <c r="AZ136" s="2093"/>
      <c r="BA136" s="2042"/>
      <c r="BB136" s="2042"/>
      <c r="BC136" s="2042"/>
      <c r="BD136" s="2094">
        <f t="shared" si="32"/>
        <v>120</v>
      </c>
      <c r="BE136" s="2094">
        <f t="shared" si="33"/>
        <v>0</v>
      </c>
    </row>
    <row r="137" s="1988" customFormat="1" ht="36" customHeight="1" spans="1:57">
      <c r="A137" s="2018">
        <v>45749</v>
      </c>
      <c r="B137" s="2098" t="s">
        <v>646</v>
      </c>
      <c r="C137" s="1723" t="s">
        <v>647</v>
      </c>
      <c r="D137" s="2099">
        <v>4500161573</v>
      </c>
      <c r="E137" s="2098">
        <v>4100411993</v>
      </c>
      <c r="F137" s="2019" t="s">
        <v>655</v>
      </c>
      <c r="G137" s="1989" t="s">
        <v>611</v>
      </c>
      <c r="H137" s="1989" t="s">
        <v>611</v>
      </c>
      <c r="I137" s="2036" t="s">
        <v>67</v>
      </c>
      <c r="J137" s="1989">
        <v>120</v>
      </c>
      <c r="K137" s="2037">
        <v>0</v>
      </c>
      <c r="L137" s="2038">
        <v>6</v>
      </c>
      <c r="M137" s="2039">
        <f t="shared" si="37"/>
        <v>20</v>
      </c>
      <c r="N137" s="2040">
        <v>45803</v>
      </c>
      <c r="O137" s="2040">
        <v>45799</v>
      </c>
      <c r="P137" s="1365" t="s">
        <v>73</v>
      </c>
      <c r="Q137" s="1363" t="s">
        <v>56</v>
      </c>
      <c r="R137" s="1363" t="s">
        <v>649</v>
      </c>
      <c r="S137" s="1406" t="s">
        <v>650</v>
      </c>
      <c r="T137" s="1406"/>
      <c r="U137" s="1405" t="s">
        <v>651</v>
      </c>
      <c r="V137" s="1365" t="s">
        <v>607</v>
      </c>
      <c r="W137" s="2055" t="s">
        <v>656</v>
      </c>
      <c r="X137" s="2087" t="s">
        <v>609</v>
      </c>
      <c r="Y137" s="2065">
        <v>3.683</v>
      </c>
      <c r="Z137" s="2066">
        <f t="shared" si="36"/>
        <v>441.96</v>
      </c>
      <c r="AA137" s="2068"/>
      <c r="AB137" s="2107">
        <v>120</v>
      </c>
      <c r="AC137" s="2068">
        <f t="shared" si="30"/>
        <v>0</v>
      </c>
      <c r="AD137" s="2108" t="s">
        <v>81</v>
      </c>
      <c r="AE137" s="1402" t="s">
        <v>63</v>
      </c>
      <c r="AF137" s="2070" t="s">
        <v>38</v>
      </c>
      <c r="AG137" s="1363"/>
      <c r="AH137" s="2073"/>
      <c r="AI137" s="2042"/>
      <c r="AJ137" s="2085">
        <f>J137</f>
        <v>120</v>
      </c>
      <c r="AK137" s="2086"/>
      <c r="AL137" s="2042">
        <f>J137</f>
        <v>120</v>
      </c>
      <c r="AM137" s="2042"/>
      <c r="AN137" s="2086"/>
      <c r="AO137" s="2086"/>
      <c r="AP137" s="2086"/>
      <c r="AQ137" s="2086"/>
      <c r="AR137" s="2086"/>
      <c r="AS137" s="2086"/>
      <c r="AT137" s="2086"/>
      <c r="AU137" s="2086"/>
      <c r="AV137" s="2086"/>
      <c r="AW137" s="2042"/>
      <c r="AX137" s="2042"/>
      <c r="AY137" s="2042">
        <f>J137</f>
        <v>120</v>
      </c>
      <c r="AZ137" s="2093"/>
      <c r="BA137" s="2042"/>
      <c r="BB137" s="2042"/>
      <c r="BC137" s="2042"/>
      <c r="BD137" s="2094">
        <f t="shared" si="32"/>
        <v>120</v>
      </c>
      <c r="BE137" s="2094">
        <f t="shared" si="33"/>
        <v>0</v>
      </c>
    </row>
    <row r="138" s="1988" customFormat="1" ht="36" customHeight="1" spans="1:57">
      <c r="A138" s="2018">
        <v>45755</v>
      </c>
      <c r="B138" s="2098" t="s">
        <v>492</v>
      </c>
      <c r="C138" s="1723" t="s">
        <v>493</v>
      </c>
      <c r="D138" s="2099">
        <v>4500162774</v>
      </c>
      <c r="E138" s="2098">
        <v>4400475594</v>
      </c>
      <c r="F138" s="2019" t="s">
        <v>657</v>
      </c>
      <c r="G138" s="2101" t="s">
        <v>495</v>
      </c>
      <c r="H138" s="1989" t="s">
        <v>54</v>
      </c>
      <c r="I138" s="2036" t="s">
        <v>55</v>
      </c>
      <c r="J138" s="1989">
        <v>1200</v>
      </c>
      <c r="K138" s="2037">
        <v>0</v>
      </c>
      <c r="L138" s="2038">
        <v>12</v>
      </c>
      <c r="M138" s="2039">
        <f t="shared" si="37"/>
        <v>100</v>
      </c>
      <c r="N138" s="2040">
        <v>45797</v>
      </c>
      <c r="O138" s="2040">
        <v>45793</v>
      </c>
      <c r="P138" s="1365"/>
      <c r="Q138" s="1363" t="s">
        <v>56</v>
      </c>
      <c r="R138" s="1363" t="s">
        <v>658</v>
      </c>
      <c r="S138" s="2135" t="s">
        <v>593</v>
      </c>
      <c r="T138" s="1406"/>
      <c r="U138" s="1405" t="s">
        <v>659</v>
      </c>
      <c r="V138" s="1365" t="s">
        <v>660</v>
      </c>
      <c r="W138" s="2055" t="s">
        <v>661</v>
      </c>
      <c r="X138" s="2087" t="s">
        <v>500</v>
      </c>
      <c r="Y138" s="2065">
        <v>3.5492</v>
      </c>
      <c r="Z138" s="2066">
        <f t="shared" si="36"/>
        <v>4259.04</v>
      </c>
      <c r="AA138" s="2068"/>
      <c r="AB138" s="2107">
        <v>1200</v>
      </c>
      <c r="AC138" s="2068">
        <f t="shared" si="30"/>
        <v>0</v>
      </c>
      <c r="AD138" s="2108" t="s">
        <v>81</v>
      </c>
      <c r="AE138" s="1402" t="s">
        <v>63</v>
      </c>
      <c r="AF138" s="1402" t="s">
        <v>38</v>
      </c>
      <c r="AG138" s="1363"/>
      <c r="AH138" s="2073">
        <f>J138</f>
        <v>1200</v>
      </c>
      <c r="AI138" s="2042"/>
      <c r="AJ138" s="2085"/>
      <c r="AK138" s="2086"/>
      <c r="AL138" s="2042"/>
      <c r="AM138" s="2042">
        <f>J138</f>
        <v>1200</v>
      </c>
      <c r="AN138" s="2086"/>
      <c r="AO138" s="2086"/>
      <c r="AP138" s="2086"/>
      <c r="AQ138" s="2086"/>
      <c r="AR138" s="2086"/>
      <c r="AS138" s="2086"/>
      <c r="AT138" s="2086"/>
      <c r="AU138" s="2086"/>
      <c r="AV138" s="2086"/>
      <c r="AW138" s="2042">
        <f>J138</f>
        <v>1200</v>
      </c>
      <c r="AX138" s="2042"/>
      <c r="AY138" s="2042"/>
      <c r="AZ138" s="2093"/>
      <c r="BA138" s="2042"/>
      <c r="BB138" s="2042"/>
      <c r="BC138" s="2042"/>
      <c r="BD138" s="2094">
        <f t="shared" si="32"/>
        <v>1200</v>
      </c>
      <c r="BE138" s="2094">
        <f t="shared" si="33"/>
        <v>0</v>
      </c>
    </row>
    <row r="139" s="1988" customFormat="1" ht="36" customHeight="1" spans="1:57">
      <c r="A139" s="2018">
        <v>45750</v>
      </c>
      <c r="B139" s="2098" t="s">
        <v>662</v>
      </c>
      <c r="C139" s="1723" t="s">
        <v>398</v>
      </c>
      <c r="D139" s="2099">
        <v>4500162525</v>
      </c>
      <c r="E139" s="2098" t="s">
        <v>663</v>
      </c>
      <c r="F139" s="2019" t="s">
        <v>664</v>
      </c>
      <c r="G139" s="1723" t="s">
        <v>665</v>
      </c>
      <c r="H139" s="1989" t="s">
        <v>603</v>
      </c>
      <c r="I139" s="2036" t="s">
        <v>55</v>
      </c>
      <c r="J139" s="1989">
        <v>1002</v>
      </c>
      <c r="K139" s="2037">
        <v>0</v>
      </c>
      <c r="L139" s="2038">
        <v>6</v>
      </c>
      <c r="M139" s="2039">
        <f t="shared" si="37"/>
        <v>167</v>
      </c>
      <c r="N139" s="2040">
        <v>45800</v>
      </c>
      <c r="O139" s="2040">
        <v>45796</v>
      </c>
      <c r="P139" s="1365"/>
      <c r="Q139" s="1363" t="s">
        <v>56</v>
      </c>
      <c r="R139" s="1363" t="s">
        <v>658</v>
      </c>
      <c r="S139" s="1363" t="s">
        <v>666</v>
      </c>
      <c r="T139" s="1406"/>
      <c r="U139" s="1405" t="s">
        <v>58</v>
      </c>
      <c r="V139" s="1365" t="s">
        <v>667</v>
      </c>
      <c r="W139" s="2055" t="s">
        <v>668</v>
      </c>
      <c r="X139" s="2087" t="s">
        <v>517</v>
      </c>
      <c r="Y139" s="2065">
        <v>3.5154</v>
      </c>
      <c r="Z139" s="2066">
        <f t="shared" si="36"/>
        <v>3522.4308</v>
      </c>
      <c r="AA139" s="2068"/>
      <c r="AB139" s="2107">
        <v>1002</v>
      </c>
      <c r="AC139" s="2068">
        <f t="shared" si="30"/>
        <v>0</v>
      </c>
      <c r="AD139" s="1405" t="s">
        <v>58</v>
      </c>
      <c r="AE139" s="1402" t="s">
        <v>63</v>
      </c>
      <c r="AF139" s="1402" t="s">
        <v>38</v>
      </c>
      <c r="AG139" s="1363"/>
      <c r="AH139" s="2042">
        <f>J139</f>
        <v>1002</v>
      </c>
      <c r="AI139" s="2042"/>
      <c r="AJ139" s="2085"/>
      <c r="AK139" s="2086"/>
      <c r="AL139" s="2042"/>
      <c r="AM139" s="2042">
        <f>J139</f>
        <v>1002</v>
      </c>
      <c r="AN139" s="2086"/>
      <c r="AO139" s="2086"/>
      <c r="AP139" s="2086"/>
      <c r="AQ139" s="2086"/>
      <c r="AR139" s="2086"/>
      <c r="AS139" s="2086"/>
      <c r="AT139" s="2086"/>
      <c r="AU139" s="2086"/>
      <c r="AV139" s="2086"/>
      <c r="AW139" s="2042"/>
      <c r="AX139" s="2042"/>
      <c r="AY139" s="2042"/>
      <c r="AZ139" s="2093"/>
      <c r="BA139" s="2042">
        <f>J139</f>
        <v>1002</v>
      </c>
      <c r="BB139" s="2042"/>
      <c r="BC139" s="2042"/>
      <c r="BD139" s="2094">
        <f t="shared" si="32"/>
        <v>1002</v>
      </c>
      <c r="BE139" s="2094">
        <f t="shared" si="33"/>
        <v>0</v>
      </c>
    </row>
    <row r="140" s="1988" customFormat="1" ht="36" customHeight="1" spans="1:57">
      <c r="A140" s="2018">
        <v>45757</v>
      </c>
      <c r="B140" s="2098" t="s">
        <v>122</v>
      </c>
      <c r="C140" s="1723" t="s">
        <v>123</v>
      </c>
      <c r="D140" s="2099">
        <v>4500163128</v>
      </c>
      <c r="E140" s="2098">
        <v>4400476232</v>
      </c>
      <c r="F140" s="2019" t="s">
        <v>669</v>
      </c>
      <c r="G140" s="2023" t="s">
        <v>125</v>
      </c>
      <c r="H140" s="1989" t="s">
        <v>54</v>
      </c>
      <c r="I140" s="2036" t="s">
        <v>55</v>
      </c>
      <c r="J140" s="1989">
        <v>1500</v>
      </c>
      <c r="K140" s="2037">
        <v>0</v>
      </c>
      <c r="L140" s="2038">
        <v>12</v>
      </c>
      <c r="M140" s="2039">
        <f t="shared" si="37"/>
        <v>125</v>
      </c>
      <c r="N140" s="2040">
        <v>45811</v>
      </c>
      <c r="O140" s="2040">
        <f>N140-4</f>
        <v>45807</v>
      </c>
      <c r="P140" s="1365"/>
      <c r="Q140" s="1363" t="s">
        <v>56</v>
      </c>
      <c r="R140" s="1363" t="s">
        <v>670</v>
      </c>
      <c r="S140" s="2135" t="s">
        <v>671</v>
      </c>
      <c r="T140" s="1406"/>
      <c r="U140" s="1405" t="s">
        <v>672</v>
      </c>
      <c r="V140" s="1365" t="s">
        <v>660</v>
      </c>
      <c r="W140" s="2136" t="s">
        <v>673</v>
      </c>
      <c r="X140" s="2087" t="s">
        <v>674</v>
      </c>
      <c r="Y140" s="2065">
        <v>3.4758</v>
      </c>
      <c r="Z140" s="2066">
        <f t="shared" si="36"/>
        <v>5213.7</v>
      </c>
      <c r="AA140" s="2068"/>
      <c r="AB140" s="2107">
        <f>12+1488</f>
        <v>1500</v>
      </c>
      <c r="AC140" s="2068">
        <f t="shared" si="30"/>
        <v>0</v>
      </c>
      <c r="AD140" s="2108" t="s">
        <v>81</v>
      </c>
      <c r="AE140" s="1402" t="s">
        <v>63</v>
      </c>
      <c r="AF140" s="1402" t="s">
        <v>38</v>
      </c>
      <c r="AG140" s="1363"/>
      <c r="AH140" s="2073">
        <f>J140</f>
        <v>1500</v>
      </c>
      <c r="AI140" s="2073"/>
      <c r="AJ140" s="2042"/>
      <c r="AK140" s="2086"/>
      <c r="AL140" s="2042"/>
      <c r="AM140" s="2042">
        <f>J140</f>
        <v>1500</v>
      </c>
      <c r="AN140" s="2086"/>
      <c r="AO140" s="2086"/>
      <c r="AP140" s="2086"/>
      <c r="AQ140" s="2086"/>
      <c r="AR140" s="2086"/>
      <c r="AS140" s="2086"/>
      <c r="AT140" s="2086"/>
      <c r="AU140" s="2086"/>
      <c r="AV140" s="2086"/>
      <c r="AW140" s="2042">
        <f>J140</f>
        <v>1500</v>
      </c>
      <c r="AX140" s="2042"/>
      <c r="AY140" s="2042"/>
      <c r="AZ140" s="2093"/>
      <c r="BA140" s="2042"/>
      <c r="BB140" s="2042"/>
      <c r="BC140" s="2042"/>
      <c r="BD140" s="2094">
        <f t="shared" si="32"/>
        <v>1500</v>
      </c>
      <c r="BE140" s="2094">
        <f t="shared" si="33"/>
        <v>0</v>
      </c>
    </row>
    <row r="141" s="1988" customFormat="1" ht="36" customHeight="1" spans="1:57">
      <c r="A141" s="2018">
        <v>45757</v>
      </c>
      <c r="B141" s="2098" t="s">
        <v>177</v>
      </c>
      <c r="C141" s="1723" t="s">
        <v>178</v>
      </c>
      <c r="D141" s="2099">
        <v>4500163129</v>
      </c>
      <c r="E141" s="2098">
        <v>4400476233</v>
      </c>
      <c r="F141" s="2019" t="s">
        <v>675</v>
      </c>
      <c r="G141" s="2101" t="s">
        <v>495</v>
      </c>
      <c r="H141" s="1989" t="s">
        <v>54</v>
      </c>
      <c r="I141" s="2036" t="s">
        <v>55</v>
      </c>
      <c r="J141" s="1989">
        <v>504</v>
      </c>
      <c r="K141" s="2037">
        <v>0</v>
      </c>
      <c r="L141" s="2038">
        <v>12</v>
      </c>
      <c r="M141" s="2039">
        <f t="shared" si="37"/>
        <v>42</v>
      </c>
      <c r="N141" s="2040">
        <v>45811</v>
      </c>
      <c r="O141" s="2040">
        <f>N141-4</f>
        <v>45807</v>
      </c>
      <c r="P141" s="1365"/>
      <c r="Q141" s="1363" t="s">
        <v>56</v>
      </c>
      <c r="R141" s="1363" t="s">
        <v>670</v>
      </c>
      <c r="S141" s="2135" t="s">
        <v>671</v>
      </c>
      <c r="T141" s="1406"/>
      <c r="U141" s="1405" t="s">
        <v>672</v>
      </c>
      <c r="V141" s="1365" t="s">
        <v>660</v>
      </c>
      <c r="W141" s="2136" t="s">
        <v>676</v>
      </c>
      <c r="X141" s="2087" t="s">
        <v>674</v>
      </c>
      <c r="Y141" s="2065">
        <v>3.8309</v>
      </c>
      <c r="Z141" s="2066">
        <f t="shared" si="36"/>
        <v>1930.7736</v>
      </c>
      <c r="AA141" s="2068"/>
      <c r="AB141" s="2107">
        <v>504</v>
      </c>
      <c r="AC141" s="2068">
        <f t="shared" si="30"/>
        <v>0</v>
      </c>
      <c r="AD141" s="2108" t="s">
        <v>81</v>
      </c>
      <c r="AE141" s="1402" t="s">
        <v>63</v>
      </c>
      <c r="AF141" s="1402" t="s">
        <v>38</v>
      </c>
      <c r="AG141" s="1363"/>
      <c r="AH141" s="2073">
        <f>J141</f>
        <v>504</v>
      </c>
      <c r="AI141" s="2073"/>
      <c r="AJ141" s="2073"/>
      <c r="AK141" s="2086"/>
      <c r="AL141" s="2042"/>
      <c r="AM141" s="2042">
        <f>J141</f>
        <v>504</v>
      </c>
      <c r="AN141" s="2086"/>
      <c r="AO141" s="2086"/>
      <c r="AP141" s="2086"/>
      <c r="AQ141" s="2086"/>
      <c r="AR141" s="2086"/>
      <c r="AS141" s="2086"/>
      <c r="AT141" s="2086"/>
      <c r="AU141" s="2086"/>
      <c r="AV141" s="2086"/>
      <c r="AW141" s="2042">
        <f>J141</f>
        <v>504</v>
      </c>
      <c r="AX141" s="2042"/>
      <c r="AY141" s="2042"/>
      <c r="AZ141" s="2093"/>
      <c r="BA141" s="2042"/>
      <c r="BB141" s="2042"/>
      <c r="BC141" s="2042"/>
      <c r="BD141" s="2094">
        <f t="shared" si="32"/>
        <v>504</v>
      </c>
      <c r="BE141" s="2094">
        <f t="shared" si="33"/>
        <v>0</v>
      </c>
    </row>
    <row r="142" s="1988" customFormat="1" ht="36" customHeight="1" spans="1:57">
      <c r="A142" s="2018">
        <v>45727</v>
      </c>
      <c r="B142" s="2098" t="s">
        <v>230</v>
      </c>
      <c r="C142" s="1723" t="s">
        <v>91</v>
      </c>
      <c r="D142" s="2099">
        <v>4500159720</v>
      </c>
      <c r="E142" s="2100">
        <v>60188346</v>
      </c>
      <c r="F142" s="2019" t="s">
        <v>677</v>
      </c>
      <c r="G142" s="2021" t="s">
        <v>54</v>
      </c>
      <c r="H142" s="2023" t="s">
        <v>54</v>
      </c>
      <c r="I142" s="2036" t="s">
        <v>55</v>
      </c>
      <c r="J142" s="1989">
        <v>2256</v>
      </c>
      <c r="K142" s="2037">
        <v>0</v>
      </c>
      <c r="L142" s="2038">
        <v>12</v>
      </c>
      <c r="M142" s="2039">
        <f t="shared" si="37"/>
        <v>188</v>
      </c>
      <c r="N142" s="2040">
        <v>45807</v>
      </c>
      <c r="O142" s="2040">
        <v>45803</v>
      </c>
      <c r="P142" s="1365"/>
      <c r="Q142" s="1363" t="s">
        <v>56</v>
      </c>
      <c r="R142" s="1363" t="s">
        <v>678</v>
      </c>
      <c r="S142" s="1406" t="s">
        <v>679</v>
      </c>
      <c r="T142" s="1406"/>
      <c r="U142" s="1406" t="s">
        <v>680</v>
      </c>
      <c r="V142" s="2054" t="s">
        <v>235</v>
      </c>
      <c r="W142" s="2055" t="s">
        <v>425</v>
      </c>
      <c r="X142" s="2087" t="s">
        <v>681</v>
      </c>
      <c r="Y142" s="2065">
        <v>3.4606</v>
      </c>
      <c r="Z142" s="2066">
        <f t="shared" si="36"/>
        <v>7807.1136</v>
      </c>
      <c r="AA142" s="2068"/>
      <c r="AB142" s="2107">
        <f>816+1440</f>
        <v>2256</v>
      </c>
      <c r="AC142" s="2068">
        <f t="shared" si="30"/>
        <v>0</v>
      </c>
      <c r="AD142" s="2108" t="s">
        <v>81</v>
      </c>
      <c r="AE142" s="2070" t="s">
        <v>63</v>
      </c>
      <c r="AF142" s="2070" t="s">
        <v>38</v>
      </c>
      <c r="AG142" s="1363"/>
      <c r="AH142" s="2073">
        <f>J142</f>
        <v>2256</v>
      </c>
      <c r="AI142" s="2042"/>
      <c r="AJ142" s="2042"/>
      <c r="AK142" s="2088"/>
      <c r="AL142" s="2042">
        <f>J142</f>
        <v>2256</v>
      </c>
      <c r="AM142" s="2042"/>
      <c r="AN142" s="2088"/>
      <c r="AO142" s="2088"/>
      <c r="AP142" s="2088"/>
      <c r="AQ142" s="2088"/>
      <c r="AR142" s="2088"/>
      <c r="AS142" s="2088"/>
      <c r="AT142" s="2088"/>
      <c r="AU142" s="2088"/>
      <c r="AV142" s="2088"/>
      <c r="AW142" s="2042">
        <f>J142</f>
        <v>2256</v>
      </c>
      <c r="AX142" s="2042"/>
      <c r="AY142" s="2042"/>
      <c r="AZ142" s="2096"/>
      <c r="BA142" s="2042"/>
      <c r="BB142" s="2042"/>
      <c r="BC142" s="2042"/>
      <c r="BD142" s="2094">
        <f t="shared" si="32"/>
        <v>2256</v>
      </c>
      <c r="BE142" s="2094">
        <f t="shared" si="33"/>
        <v>0</v>
      </c>
    </row>
    <row r="143" s="1988" customFormat="1" ht="36" customHeight="1" spans="1:57">
      <c r="A143" s="2018">
        <v>45756</v>
      </c>
      <c r="B143" s="2098" t="s">
        <v>682</v>
      </c>
      <c r="C143" s="1723" t="s">
        <v>683</v>
      </c>
      <c r="D143" s="2099">
        <v>4500163069</v>
      </c>
      <c r="E143" s="2098"/>
      <c r="F143" s="2019" t="s">
        <v>684</v>
      </c>
      <c r="G143" s="1989" t="s">
        <v>685</v>
      </c>
      <c r="H143" s="1989" t="s">
        <v>686</v>
      </c>
      <c r="I143" s="2103" t="s">
        <v>484</v>
      </c>
      <c r="J143" s="1989">
        <v>300</v>
      </c>
      <c r="K143" s="2037">
        <v>0</v>
      </c>
      <c r="L143" s="2038">
        <v>12</v>
      </c>
      <c r="M143" s="2039">
        <f t="shared" si="37"/>
        <v>25</v>
      </c>
      <c r="N143" s="2040">
        <v>45807</v>
      </c>
      <c r="O143" s="2040">
        <v>45803</v>
      </c>
      <c r="P143" s="1365"/>
      <c r="Q143" s="1363" t="s">
        <v>56</v>
      </c>
      <c r="R143" s="1363" t="s">
        <v>687</v>
      </c>
      <c r="S143" s="2135" t="s">
        <v>688</v>
      </c>
      <c r="T143" s="1406"/>
      <c r="U143" s="1405" t="s">
        <v>58</v>
      </c>
      <c r="V143" s="1365"/>
      <c r="W143" s="2055" t="s">
        <v>689</v>
      </c>
      <c r="X143" s="2087" t="s">
        <v>690</v>
      </c>
      <c r="Y143" s="2106">
        <v>48.0707</v>
      </c>
      <c r="Z143" s="2066">
        <f>Y143*M143</f>
        <v>1201.7675</v>
      </c>
      <c r="AA143" s="2068"/>
      <c r="AB143" s="2107">
        <v>300</v>
      </c>
      <c r="AC143" s="2068">
        <f t="shared" si="30"/>
        <v>0</v>
      </c>
      <c r="AD143" s="1405" t="s">
        <v>58</v>
      </c>
      <c r="AE143" s="1402" t="s">
        <v>63</v>
      </c>
      <c r="AF143" s="1402" t="s">
        <v>38</v>
      </c>
      <c r="AG143" s="1363"/>
      <c r="AH143" s="2073">
        <f>J143/3</f>
        <v>100</v>
      </c>
      <c r="AI143" s="2073">
        <f>J143/3</f>
        <v>100</v>
      </c>
      <c r="AJ143" s="2085">
        <f>J143/3</f>
        <v>100</v>
      </c>
      <c r="AK143" s="2086"/>
      <c r="AL143" s="2042">
        <f>J143</f>
        <v>300</v>
      </c>
      <c r="AM143" s="2042"/>
      <c r="AN143" s="2086"/>
      <c r="AO143" s="2086"/>
      <c r="AP143" s="2086"/>
      <c r="AQ143" s="2086"/>
      <c r="AR143" s="2086"/>
      <c r="AS143" s="2086"/>
      <c r="AT143" s="2086"/>
      <c r="AU143" s="2086"/>
      <c r="AV143" s="2086"/>
      <c r="AW143" s="2042">
        <f>J143/3</f>
        <v>100</v>
      </c>
      <c r="AX143" s="2042">
        <f>J143/3</f>
        <v>100</v>
      </c>
      <c r="AY143" s="2042">
        <f>J143/3</f>
        <v>100</v>
      </c>
      <c r="AZ143" s="2093"/>
      <c r="BA143" s="2042"/>
      <c r="BB143" s="2042"/>
      <c r="BC143" s="2042"/>
      <c r="BD143" s="2094">
        <f t="shared" si="32"/>
        <v>300</v>
      </c>
      <c r="BE143" s="2094">
        <f t="shared" si="33"/>
        <v>0</v>
      </c>
    </row>
    <row r="144" s="1988" customFormat="1" ht="36" customHeight="1" spans="1:57">
      <c r="A144" s="2018">
        <v>45775</v>
      </c>
      <c r="B144" s="2098" t="s">
        <v>177</v>
      </c>
      <c r="C144" s="1723" t="s">
        <v>178</v>
      </c>
      <c r="D144" s="2099">
        <v>4500165088</v>
      </c>
      <c r="E144" s="2098">
        <v>4400480615</v>
      </c>
      <c r="F144" s="2019" t="s">
        <v>691</v>
      </c>
      <c r="G144" s="1723" t="s">
        <v>125</v>
      </c>
      <c r="H144" s="1989" t="s">
        <v>54</v>
      </c>
      <c r="I144" s="2036" t="s">
        <v>55</v>
      </c>
      <c r="J144" s="1989">
        <v>708</v>
      </c>
      <c r="K144" s="2037">
        <v>0</v>
      </c>
      <c r="L144" s="2038">
        <v>12</v>
      </c>
      <c r="M144" s="2039">
        <f t="shared" si="37"/>
        <v>59</v>
      </c>
      <c r="N144" s="2040">
        <v>45821</v>
      </c>
      <c r="O144" s="2040">
        <v>45817</v>
      </c>
      <c r="P144" s="1406"/>
      <c r="Q144" s="1363" t="s">
        <v>56</v>
      </c>
      <c r="R144" s="1363"/>
      <c r="S144" s="1406" t="s">
        <v>692</v>
      </c>
      <c r="T144" s="1364"/>
      <c r="U144" s="1405" t="s">
        <v>693</v>
      </c>
      <c r="V144" s="1365" t="s">
        <v>694</v>
      </c>
      <c r="W144" s="2055" t="s">
        <v>695</v>
      </c>
      <c r="X144" s="2087" t="s">
        <v>674</v>
      </c>
      <c r="Y144" s="2065">
        <v>3.8309</v>
      </c>
      <c r="Z144" s="2066">
        <f t="shared" ref="Z144:Z150" si="38">Y144*J144</f>
        <v>2712.2772</v>
      </c>
      <c r="AA144" s="2068"/>
      <c r="AB144" s="2107">
        <v>708</v>
      </c>
      <c r="AC144" s="2068">
        <f t="shared" si="30"/>
        <v>0</v>
      </c>
      <c r="AD144" s="2108" t="s">
        <v>81</v>
      </c>
      <c r="AE144" s="1402" t="s">
        <v>63</v>
      </c>
      <c r="AF144" s="1402" t="s">
        <v>38</v>
      </c>
      <c r="AG144" s="1363"/>
      <c r="AH144" s="2073">
        <f>J144</f>
        <v>708</v>
      </c>
      <c r="AI144" s="2073"/>
      <c r="AJ144" s="2085"/>
      <c r="AK144" s="2086"/>
      <c r="AL144" s="2042"/>
      <c r="AM144" s="2042">
        <f>J144</f>
        <v>708</v>
      </c>
      <c r="AN144" s="2086"/>
      <c r="AO144" s="2086"/>
      <c r="AP144" s="2086"/>
      <c r="AQ144" s="2086"/>
      <c r="AR144" s="2086"/>
      <c r="AS144" s="2086"/>
      <c r="AT144" s="2086"/>
      <c r="AU144" s="2086"/>
      <c r="AV144" s="2086"/>
      <c r="AW144" s="2042">
        <f>J144</f>
        <v>708</v>
      </c>
      <c r="AX144" s="2042"/>
      <c r="AY144" s="2042"/>
      <c r="AZ144" s="2093"/>
      <c r="BA144" s="2042"/>
      <c r="BB144" s="2042"/>
      <c r="BC144" s="2042"/>
      <c r="BD144" s="2094">
        <f t="shared" si="32"/>
        <v>708</v>
      </c>
      <c r="BE144" s="2094">
        <f t="shared" si="33"/>
        <v>0</v>
      </c>
    </row>
    <row r="145" s="1988" customFormat="1" ht="36" customHeight="1" spans="1:57">
      <c r="A145" s="2018">
        <v>45789</v>
      </c>
      <c r="B145" s="2098" t="s">
        <v>122</v>
      </c>
      <c r="C145" s="1723" t="s">
        <v>123</v>
      </c>
      <c r="D145" s="2099">
        <v>4500165069</v>
      </c>
      <c r="E145" s="2098">
        <v>4400480634</v>
      </c>
      <c r="F145" s="2019" t="s">
        <v>696</v>
      </c>
      <c r="G145" s="2023" t="s">
        <v>125</v>
      </c>
      <c r="H145" s="1989" t="s">
        <v>54</v>
      </c>
      <c r="I145" s="2036" t="s">
        <v>55</v>
      </c>
      <c r="J145" s="1989">
        <v>1500</v>
      </c>
      <c r="K145" s="2037">
        <v>0</v>
      </c>
      <c r="L145" s="2038">
        <v>12</v>
      </c>
      <c r="M145" s="2039">
        <f t="shared" si="37"/>
        <v>125</v>
      </c>
      <c r="N145" s="2040">
        <v>45821</v>
      </c>
      <c r="O145" s="2040">
        <v>45817</v>
      </c>
      <c r="P145" s="1365"/>
      <c r="Q145" s="1363" t="s">
        <v>56</v>
      </c>
      <c r="R145" s="1363" t="s">
        <v>697</v>
      </c>
      <c r="S145" s="1406" t="s">
        <v>692</v>
      </c>
      <c r="T145" s="1364"/>
      <c r="U145" s="1405" t="s">
        <v>693</v>
      </c>
      <c r="V145" s="1365" t="s">
        <v>698</v>
      </c>
      <c r="W145" s="2055" t="s">
        <v>699</v>
      </c>
      <c r="X145" s="2087" t="s">
        <v>700</v>
      </c>
      <c r="Y145" s="2065">
        <v>3.4758</v>
      </c>
      <c r="Z145" s="2066">
        <f t="shared" si="38"/>
        <v>5213.7</v>
      </c>
      <c r="AA145" s="2068"/>
      <c r="AB145" s="2107">
        <v>1500</v>
      </c>
      <c r="AC145" s="2068">
        <f t="shared" si="30"/>
        <v>0</v>
      </c>
      <c r="AD145" s="2108" t="s">
        <v>81</v>
      </c>
      <c r="AE145" s="1402" t="s">
        <v>63</v>
      </c>
      <c r="AF145" s="1402" t="s">
        <v>38</v>
      </c>
      <c r="AG145" s="1363"/>
      <c r="AH145" s="2073">
        <f>J145</f>
        <v>1500</v>
      </c>
      <c r="AI145" s="2073"/>
      <c r="AJ145" s="2085"/>
      <c r="AK145" s="2086"/>
      <c r="AL145" s="2042"/>
      <c r="AM145" s="2042">
        <f>J145</f>
        <v>1500</v>
      </c>
      <c r="AN145" s="2086"/>
      <c r="AO145" s="2086"/>
      <c r="AP145" s="2086"/>
      <c r="AQ145" s="2086"/>
      <c r="AR145" s="2086"/>
      <c r="AS145" s="2086"/>
      <c r="AT145" s="2086"/>
      <c r="AU145" s="2086"/>
      <c r="AV145" s="2086"/>
      <c r="AW145" s="2042">
        <f>J145</f>
        <v>1500</v>
      </c>
      <c r="AX145" s="2042"/>
      <c r="AY145" s="2042"/>
      <c r="AZ145" s="2093"/>
      <c r="BA145" s="2042"/>
      <c r="BB145" s="2042"/>
      <c r="BC145" s="2042"/>
      <c r="BD145" s="2094">
        <f t="shared" si="32"/>
        <v>1500</v>
      </c>
      <c r="BE145" s="2094">
        <f t="shared" si="33"/>
        <v>0</v>
      </c>
    </row>
    <row r="146" s="1988" customFormat="1" ht="36" customHeight="1" spans="1:57">
      <c r="A146" s="2018">
        <v>45789</v>
      </c>
      <c r="B146" s="2098" t="s">
        <v>662</v>
      </c>
      <c r="C146" s="1723" t="s">
        <v>398</v>
      </c>
      <c r="D146" s="2099">
        <v>4500166055</v>
      </c>
      <c r="E146" s="2098" t="s">
        <v>701</v>
      </c>
      <c r="F146" s="2019" t="s">
        <v>702</v>
      </c>
      <c r="G146" s="1989" t="s">
        <v>703</v>
      </c>
      <c r="H146" s="1989" t="s">
        <v>611</v>
      </c>
      <c r="I146" s="2103" t="s">
        <v>67</v>
      </c>
      <c r="J146" s="1989">
        <v>504</v>
      </c>
      <c r="K146" s="2037">
        <v>0</v>
      </c>
      <c r="L146" s="2038">
        <v>6</v>
      </c>
      <c r="M146" s="2039">
        <f t="shared" si="37"/>
        <v>84</v>
      </c>
      <c r="N146" s="2040">
        <v>45820</v>
      </c>
      <c r="O146" s="2040">
        <v>45817</v>
      </c>
      <c r="P146" s="1365" t="s">
        <v>704</v>
      </c>
      <c r="Q146" s="1363" t="s">
        <v>56</v>
      </c>
      <c r="R146" s="1363" t="s">
        <v>705</v>
      </c>
      <c r="S146" s="1364" t="s">
        <v>706</v>
      </c>
      <c r="T146" s="1406"/>
      <c r="U146" s="1405" t="s">
        <v>58</v>
      </c>
      <c r="V146" s="1365" t="s">
        <v>707</v>
      </c>
      <c r="W146" s="2055" t="s">
        <v>708</v>
      </c>
      <c r="X146" s="2087" t="s">
        <v>709</v>
      </c>
      <c r="Y146" s="2106">
        <v>3.683</v>
      </c>
      <c r="Z146" s="2066">
        <f t="shared" si="38"/>
        <v>1856.232</v>
      </c>
      <c r="AA146" s="2068"/>
      <c r="AB146" s="2107">
        <v>504</v>
      </c>
      <c r="AC146" s="2068">
        <f t="shared" si="30"/>
        <v>0</v>
      </c>
      <c r="AD146" s="1405" t="s">
        <v>58</v>
      </c>
      <c r="AE146" s="1402" t="s">
        <v>63</v>
      </c>
      <c r="AF146" s="1402" t="s">
        <v>38</v>
      </c>
      <c r="AG146" s="1363"/>
      <c r="AH146" s="2073"/>
      <c r="AI146" s="2073"/>
      <c r="AJ146" s="2085">
        <f>J146</f>
        <v>504</v>
      </c>
      <c r="AK146" s="2086"/>
      <c r="AL146" s="2042"/>
      <c r="AM146" s="2042">
        <f>J146</f>
        <v>504</v>
      </c>
      <c r="AN146" s="2086"/>
      <c r="AO146" s="2086"/>
      <c r="AP146" s="2086"/>
      <c r="AQ146" s="2086"/>
      <c r="AR146" s="2086"/>
      <c r="AS146" s="2086"/>
      <c r="AT146" s="2086"/>
      <c r="AU146" s="2086"/>
      <c r="AV146" s="2086"/>
      <c r="AW146" s="2042"/>
      <c r="AX146" s="2042"/>
      <c r="AY146" s="2042"/>
      <c r="AZ146" s="2093"/>
      <c r="BA146" s="2085"/>
      <c r="BB146" s="2085"/>
      <c r="BC146" s="2085">
        <f>J146</f>
        <v>504</v>
      </c>
      <c r="BD146" s="2094">
        <f t="shared" si="32"/>
        <v>504</v>
      </c>
      <c r="BE146" s="2094">
        <f t="shared" si="33"/>
        <v>0</v>
      </c>
    </row>
    <row r="147" s="1988" customFormat="1" ht="36" customHeight="1" spans="1:57">
      <c r="A147" s="2018">
        <v>45786</v>
      </c>
      <c r="B147" s="2098" t="s">
        <v>710</v>
      </c>
      <c r="C147" s="1723" t="s">
        <v>91</v>
      </c>
      <c r="D147" s="2099">
        <v>4500165903</v>
      </c>
      <c r="E147" s="2098" t="s">
        <v>711</v>
      </c>
      <c r="F147" s="2019" t="s">
        <v>712</v>
      </c>
      <c r="G147" s="2021" t="s">
        <v>54</v>
      </c>
      <c r="H147" s="1989" t="s">
        <v>54</v>
      </c>
      <c r="I147" s="2036" t="s">
        <v>55</v>
      </c>
      <c r="J147" s="1989">
        <v>1800</v>
      </c>
      <c r="K147" s="2037">
        <v>0</v>
      </c>
      <c r="L147" s="2038">
        <v>12</v>
      </c>
      <c r="M147" s="2039">
        <f t="shared" si="37"/>
        <v>150</v>
      </c>
      <c r="N147" s="2040">
        <v>45819</v>
      </c>
      <c r="O147" s="2040">
        <v>45815</v>
      </c>
      <c r="P147" s="1365"/>
      <c r="Q147" s="1363" t="s">
        <v>56</v>
      </c>
      <c r="R147" s="1363" t="s">
        <v>713</v>
      </c>
      <c r="S147" s="2135" t="s">
        <v>714</v>
      </c>
      <c r="T147" s="1406"/>
      <c r="U147" s="1405" t="s">
        <v>58</v>
      </c>
      <c r="V147" s="1365"/>
      <c r="W147" s="2136" t="s">
        <v>715</v>
      </c>
      <c r="X147" s="2087" t="s">
        <v>350</v>
      </c>
      <c r="Y147" s="2065">
        <v>2.034</v>
      </c>
      <c r="Z147" s="2066">
        <f t="shared" si="38"/>
        <v>3661.2</v>
      </c>
      <c r="AA147" s="2068" t="s">
        <v>716</v>
      </c>
      <c r="AB147" s="2107">
        <v>1800</v>
      </c>
      <c r="AC147" s="2068">
        <f t="shared" si="30"/>
        <v>0</v>
      </c>
      <c r="AD147" s="1405" t="s">
        <v>58</v>
      </c>
      <c r="AE147" s="1402" t="s">
        <v>63</v>
      </c>
      <c r="AF147" s="1402" t="s">
        <v>38</v>
      </c>
      <c r="AG147" s="1363"/>
      <c r="AH147" s="2073">
        <f>J147</f>
        <v>1800</v>
      </c>
      <c r="AI147" s="2073"/>
      <c r="AJ147" s="2157"/>
      <c r="AK147" s="2088"/>
      <c r="AL147" s="2042">
        <f>J147</f>
        <v>1800</v>
      </c>
      <c r="AM147" s="2042"/>
      <c r="AN147" s="2088"/>
      <c r="AO147" s="2088"/>
      <c r="AP147" s="2088"/>
      <c r="AQ147" s="2088"/>
      <c r="AR147" s="2088"/>
      <c r="AS147" s="2088"/>
      <c r="AT147" s="2088"/>
      <c r="AU147" s="2088"/>
      <c r="AV147" s="2088"/>
      <c r="AW147" s="2042">
        <f>J147</f>
        <v>1800</v>
      </c>
      <c r="AX147" s="2042"/>
      <c r="AY147" s="2042"/>
      <c r="AZ147" s="2096"/>
      <c r="BA147" s="2085"/>
      <c r="BB147" s="2085"/>
      <c r="BC147" s="2085"/>
      <c r="BD147" s="2094">
        <f t="shared" si="32"/>
        <v>1800</v>
      </c>
      <c r="BE147" s="2094">
        <f t="shared" si="33"/>
        <v>0</v>
      </c>
    </row>
    <row r="148" s="1988" customFormat="1" ht="36" customHeight="1" spans="1:57">
      <c r="A148" s="2018">
        <v>45789</v>
      </c>
      <c r="B148" s="2098" t="s">
        <v>662</v>
      </c>
      <c r="C148" s="1723" t="s">
        <v>398</v>
      </c>
      <c r="D148" s="2099">
        <v>4500166055</v>
      </c>
      <c r="E148" s="2098" t="s">
        <v>701</v>
      </c>
      <c r="F148" s="2019" t="s">
        <v>717</v>
      </c>
      <c r="G148" s="1723" t="s">
        <v>665</v>
      </c>
      <c r="H148" s="1989" t="s">
        <v>603</v>
      </c>
      <c r="I148" s="2103" t="s">
        <v>55</v>
      </c>
      <c r="J148" s="1989">
        <v>504</v>
      </c>
      <c r="K148" s="2037">
        <v>0</v>
      </c>
      <c r="L148" s="2038">
        <v>6</v>
      </c>
      <c r="M148" s="2039">
        <f t="shared" si="37"/>
        <v>84</v>
      </c>
      <c r="N148" s="2040">
        <v>45820</v>
      </c>
      <c r="O148" s="2040">
        <v>45817</v>
      </c>
      <c r="P148" s="1365"/>
      <c r="Q148" s="1363" t="s">
        <v>56</v>
      </c>
      <c r="R148" s="1363" t="s">
        <v>705</v>
      </c>
      <c r="S148" s="1364" t="s">
        <v>706</v>
      </c>
      <c r="T148" s="1406"/>
      <c r="U148" s="1405" t="s">
        <v>58</v>
      </c>
      <c r="V148" s="1365" t="s">
        <v>718</v>
      </c>
      <c r="W148" s="2055" t="s">
        <v>719</v>
      </c>
      <c r="X148" s="2087" t="s">
        <v>709</v>
      </c>
      <c r="Y148" s="2106">
        <v>3.878</v>
      </c>
      <c r="Z148" s="2066">
        <f t="shared" si="38"/>
        <v>1954.512</v>
      </c>
      <c r="AA148" s="2068"/>
      <c r="AB148" s="2107">
        <v>504</v>
      </c>
      <c r="AC148" s="2068">
        <f t="shared" si="30"/>
        <v>0</v>
      </c>
      <c r="AD148" s="1405" t="s">
        <v>58</v>
      </c>
      <c r="AE148" s="1402" t="s">
        <v>63</v>
      </c>
      <c r="AF148" s="1402" t="s">
        <v>38</v>
      </c>
      <c r="AG148" s="1363"/>
      <c r="AH148" s="2073">
        <f>J148</f>
        <v>504</v>
      </c>
      <c r="AI148" s="2073"/>
      <c r="AJ148" s="2085"/>
      <c r="AK148" s="2086"/>
      <c r="AL148" s="2042"/>
      <c r="AM148" s="2042">
        <f>J148</f>
        <v>504</v>
      </c>
      <c r="AN148" s="2086"/>
      <c r="AO148" s="2086"/>
      <c r="AP148" s="2086"/>
      <c r="AQ148" s="2086"/>
      <c r="AR148" s="2086"/>
      <c r="AS148" s="2086"/>
      <c r="AT148" s="2086"/>
      <c r="AU148" s="2086"/>
      <c r="AV148" s="2086"/>
      <c r="AW148" s="2042"/>
      <c r="AX148" s="2042"/>
      <c r="AY148" s="2042"/>
      <c r="AZ148" s="2093"/>
      <c r="BA148" s="2085">
        <f>J148</f>
        <v>504</v>
      </c>
      <c r="BB148" s="2085"/>
      <c r="BC148" s="2085"/>
      <c r="BD148" s="2094">
        <f t="shared" si="32"/>
        <v>504</v>
      </c>
      <c r="BE148" s="2094">
        <f t="shared" si="33"/>
        <v>0</v>
      </c>
    </row>
    <row r="149" s="1988" customFormat="1" ht="36" customHeight="1" spans="1:57">
      <c r="A149" s="2018">
        <v>45798</v>
      </c>
      <c r="B149" s="2098" t="s">
        <v>710</v>
      </c>
      <c r="C149" s="1723" t="s">
        <v>91</v>
      </c>
      <c r="D149" s="2099">
        <v>4500167243</v>
      </c>
      <c r="E149" s="2098" t="s">
        <v>720</v>
      </c>
      <c r="F149" s="2019" t="s">
        <v>721</v>
      </c>
      <c r="G149" s="2021" t="s">
        <v>54</v>
      </c>
      <c r="H149" s="1989" t="s">
        <v>54</v>
      </c>
      <c r="I149" s="2036" t="s">
        <v>55</v>
      </c>
      <c r="J149" s="1989">
        <v>1200</v>
      </c>
      <c r="K149" s="2037">
        <v>0</v>
      </c>
      <c r="L149" s="2038">
        <v>12</v>
      </c>
      <c r="M149" s="2039">
        <f t="shared" si="37"/>
        <v>100</v>
      </c>
      <c r="N149" s="2040">
        <v>45832</v>
      </c>
      <c r="O149" s="2040">
        <v>45828</v>
      </c>
      <c r="P149" s="1365"/>
      <c r="Q149" s="1363" t="s">
        <v>56</v>
      </c>
      <c r="R149" s="1363" t="s">
        <v>722</v>
      </c>
      <c r="S149" s="1406" t="s">
        <v>723</v>
      </c>
      <c r="T149" s="1364"/>
      <c r="U149" s="1405" t="s">
        <v>58</v>
      </c>
      <c r="V149" s="1365" t="s">
        <v>724</v>
      </c>
      <c r="W149" s="2055" t="s">
        <v>725</v>
      </c>
      <c r="X149" s="2087" t="s">
        <v>350</v>
      </c>
      <c r="Y149" s="2065">
        <v>2.0855</v>
      </c>
      <c r="Z149" s="2066">
        <f t="shared" si="38"/>
        <v>2502.6</v>
      </c>
      <c r="AA149" s="2068" t="s">
        <v>726</v>
      </c>
      <c r="AB149" s="2107">
        <v>1200</v>
      </c>
      <c r="AC149" s="2068">
        <f t="shared" si="30"/>
        <v>0</v>
      </c>
      <c r="AD149" s="2108" t="s">
        <v>58</v>
      </c>
      <c r="AE149" s="1402" t="s">
        <v>63</v>
      </c>
      <c r="AF149" s="1402" t="s">
        <v>38</v>
      </c>
      <c r="AG149" s="1363"/>
      <c r="AH149" s="2073">
        <f>J149</f>
        <v>1200</v>
      </c>
      <c r="AI149" s="2073"/>
      <c r="AJ149" s="2085"/>
      <c r="AK149" s="2086"/>
      <c r="AL149" s="2042">
        <f t="shared" ref="AL149:AL157" si="39">J149</f>
        <v>1200</v>
      </c>
      <c r="AM149" s="2042"/>
      <c r="AN149" s="2086"/>
      <c r="AO149" s="2086"/>
      <c r="AP149" s="2086"/>
      <c r="AQ149" s="2086"/>
      <c r="AR149" s="2086"/>
      <c r="AS149" s="2086"/>
      <c r="AT149" s="2086"/>
      <c r="AU149" s="2086"/>
      <c r="AV149" s="2086"/>
      <c r="AW149" s="2042">
        <f>J149</f>
        <v>1200</v>
      </c>
      <c r="AX149" s="2042"/>
      <c r="AY149" s="2042"/>
      <c r="AZ149" s="2093"/>
      <c r="BA149" s="2042"/>
      <c r="BB149" s="2042"/>
      <c r="BC149" s="2042"/>
      <c r="BD149" s="2094">
        <f t="shared" si="32"/>
        <v>1200</v>
      </c>
      <c r="BE149" s="2094">
        <f t="shared" si="33"/>
        <v>0</v>
      </c>
    </row>
    <row r="150" s="1988" customFormat="1" ht="36" customHeight="1" spans="1:57">
      <c r="A150" s="2018">
        <v>45798</v>
      </c>
      <c r="B150" s="2098" t="s">
        <v>710</v>
      </c>
      <c r="C150" s="1723" t="s">
        <v>91</v>
      </c>
      <c r="D150" s="2099">
        <v>4500167243</v>
      </c>
      <c r="E150" s="2098" t="s">
        <v>727</v>
      </c>
      <c r="F150" s="2019" t="s">
        <v>728</v>
      </c>
      <c r="G150" s="2021" t="s">
        <v>54</v>
      </c>
      <c r="H150" s="1989" t="s">
        <v>54</v>
      </c>
      <c r="I150" s="2036" t="s">
        <v>55</v>
      </c>
      <c r="J150" s="1989">
        <v>216</v>
      </c>
      <c r="K150" s="2037">
        <v>0</v>
      </c>
      <c r="L150" s="2038">
        <v>12</v>
      </c>
      <c r="M150" s="2039">
        <f t="shared" si="37"/>
        <v>18</v>
      </c>
      <c r="N150" s="2040">
        <v>45832</v>
      </c>
      <c r="O150" s="2040">
        <v>45828</v>
      </c>
      <c r="P150" s="1365"/>
      <c r="Q150" s="1363" t="s">
        <v>56</v>
      </c>
      <c r="R150" s="1363" t="s">
        <v>722</v>
      </c>
      <c r="S150" s="1406" t="s">
        <v>723</v>
      </c>
      <c r="T150" s="1364"/>
      <c r="U150" s="1405" t="s">
        <v>58</v>
      </c>
      <c r="V150" s="1365" t="s">
        <v>724</v>
      </c>
      <c r="W150" s="2055" t="s">
        <v>725</v>
      </c>
      <c r="X150" s="2087" t="s">
        <v>350</v>
      </c>
      <c r="Y150" s="2065">
        <v>2.2985</v>
      </c>
      <c r="Z150" s="2066">
        <f t="shared" si="38"/>
        <v>496.476</v>
      </c>
      <c r="AA150" s="2068" t="s">
        <v>729</v>
      </c>
      <c r="AB150" s="2107">
        <v>216</v>
      </c>
      <c r="AC150" s="2068">
        <f t="shared" si="30"/>
        <v>0</v>
      </c>
      <c r="AD150" s="2108" t="s">
        <v>58</v>
      </c>
      <c r="AE150" s="1402" t="s">
        <v>63</v>
      </c>
      <c r="AF150" s="1402" t="s">
        <v>38</v>
      </c>
      <c r="AG150" s="1363"/>
      <c r="AH150" s="2073">
        <f>J150</f>
        <v>216</v>
      </c>
      <c r="AI150" s="2073"/>
      <c r="AJ150" s="2085"/>
      <c r="AK150" s="2086"/>
      <c r="AL150" s="2042">
        <f t="shared" si="39"/>
        <v>216</v>
      </c>
      <c r="AM150" s="2042"/>
      <c r="AN150" s="2086"/>
      <c r="AO150" s="2086"/>
      <c r="AP150" s="2086"/>
      <c r="AQ150" s="2086"/>
      <c r="AR150" s="2086"/>
      <c r="AS150" s="2086"/>
      <c r="AT150" s="2086"/>
      <c r="AU150" s="2086"/>
      <c r="AV150" s="2086"/>
      <c r="AW150" s="2042">
        <f>J150</f>
        <v>216</v>
      </c>
      <c r="AX150" s="2042"/>
      <c r="AY150" s="2042"/>
      <c r="AZ150" s="2093"/>
      <c r="BA150" s="2042"/>
      <c r="BB150" s="2042"/>
      <c r="BC150" s="2042"/>
      <c r="BD150" s="2094">
        <f t="shared" si="32"/>
        <v>216</v>
      </c>
      <c r="BE150" s="2094">
        <f t="shared" si="33"/>
        <v>0</v>
      </c>
    </row>
    <row r="151" s="1988" customFormat="1" ht="36" customHeight="1" spans="1:57">
      <c r="A151" s="2018">
        <v>45747</v>
      </c>
      <c r="B151" s="2098" t="s">
        <v>730</v>
      </c>
      <c r="C151" s="1723" t="s">
        <v>91</v>
      </c>
      <c r="D151" s="2099">
        <v>4500161570</v>
      </c>
      <c r="E151" s="2098" t="s">
        <v>731</v>
      </c>
      <c r="F151" s="2019" t="s">
        <v>732</v>
      </c>
      <c r="G151" s="1989" t="s">
        <v>685</v>
      </c>
      <c r="H151" s="1989" t="s">
        <v>686</v>
      </c>
      <c r="I151" s="2103" t="s">
        <v>484</v>
      </c>
      <c r="J151" s="1989">
        <v>204</v>
      </c>
      <c r="K151" s="2037">
        <v>0</v>
      </c>
      <c r="L151" s="2038">
        <v>12</v>
      </c>
      <c r="M151" s="2039">
        <f t="shared" si="37"/>
        <v>17</v>
      </c>
      <c r="N151" s="2040">
        <v>45833</v>
      </c>
      <c r="O151" s="2040">
        <v>45829</v>
      </c>
      <c r="P151" s="1365"/>
      <c r="Q151" s="1363" t="s">
        <v>56</v>
      </c>
      <c r="R151" s="1363" t="s">
        <v>733</v>
      </c>
      <c r="S151" s="1406" t="s">
        <v>734</v>
      </c>
      <c r="T151" s="1406"/>
      <c r="U151" s="1405" t="s">
        <v>58</v>
      </c>
      <c r="V151" s="1365" t="s">
        <v>735</v>
      </c>
      <c r="W151" s="2055" t="s">
        <v>736</v>
      </c>
      <c r="X151" s="2087" t="s">
        <v>737</v>
      </c>
      <c r="Y151" s="2106">
        <v>48.0707</v>
      </c>
      <c r="Z151" s="2066">
        <f>Y151*M151</f>
        <v>817.2019</v>
      </c>
      <c r="AA151" s="2068"/>
      <c r="AB151" s="2107">
        <v>204</v>
      </c>
      <c r="AC151" s="2068">
        <f t="shared" si="30"/>
        <v>0</v>
      </c>
      <c r="AD151" s="2108" t="s">
        <v>58</v>
      </c>
      <c r="AE151" s="1402" t="s">
        <v>63</v>
      </c>
      <c r="AF151" s="1402" t="s">
        <v>38</v>
      </c>
      <c r="AG151" s="1363"/>
      <c r="AH151" s="2073">
        <f>J151/3</f>
        <v>68</v>
      </c>
      <c r="AI151" s="2073">
        <f>J151/3</f>
        <v>68</v>
      </c>
      <c r="AJ151" s="2085">
        <f>J151/3</f>
        <v>68</v>
      </c>
      <c r="AK151" s="2110"/>
      <c r="AL151" s="2042">
        <f t="shared" si="39"/>
        <v>204</v>
      </c>
      <c r="AM151" s="2042"/>
      <c r="AN151" s="2110"/>
      <c r="AO151" s="2110"/>
      <c r="AP151" s="2110"/>
      <c r="AQ151" s="2110"/>
      <c r="AR151" s="2110"/>
      <c r="AS151" s="2110"/>
      <c r="AT151" s="2110"/>
      <c r="AU151" s="2110"/>
      <c r="AV151" s="2110"/>
      <c r="AW151" s="2042">
        <f>J151/3</f>
        <v>68</v>
      </c>
      <c r="AX151" s="2042">
        <f t="shared" ref="AX151:AX154" si="40">J151/3</f>
        <v>68</v>
      </c>
      <c r="AY151" s="2042">
        <f t="shared" ref="AY151:AY154" si="41">J151/3</f>
        <v>68</v>
      </c>
      <c r="AZ151" s="2095"/>
      <c r="BA151" s="2042"/>
      <c r="BB151" s="2042"/>
      <c r="BC151" s="2042"/>
      <c r="BD151" s="2094">
        <f t="shared" si="32"/>
        <v>204</v>
      </c>
      <c r="BE151" s="2094">
        <f t="shared" si="33"/>
        <v>0</v>
      </c>
    </row>
    <row r="152" s="1988" customFormat="1" ht="36" customHeight="1" spans="1:57">
      <c r="A152" s="2018">
        <v>45747</v>
      </c>
      <c r="B152" s="2098" t="s">
        <v>730</v>
      </c>
      <c r="C152" s="1723" t="s">
        <v>91</v>
      </c>
      <c r="D152" s="2099">
        <v>4500161570</v>
      </c>
      <c r="E152" s="2098" t="s">
        <v>738</v>
      </c>
      <c r="F152" s="2019" t="s">
        <v>739</v>
      </c>
      <c r="G152" s="1989" t="s">
        <v>685</v>
      </c>
      <c r="H152" s="1989" t="s">
        <v>686</v>
      </c>
      <c r="I152" s="2103" t="s">
        <v>484</v>
      </c>
      <c r="J152" s="1989">
        <v>360</v>
      </c>
      <c r="K152" s="2037">
        <v>0</v>
      </c>
      <c r="L152" s="2038">
        <v>12</v>
      </c>
      <c r="M152" s="2039">
        <f t="shared" si="37"/>
        <v>30</v>
      </c>
      <c r="N152" s="2040">
        <v>45833</v>
      </c>
      <c r="O152" s="2040">
        <v>45829</v>
      </c>
      <c r="P152" s="1365"/>
      <c r="Q152" s="1363" t="s">
        <v>56</v>
      </c>
      <c r="R152" s="1363" t="s">
        <v>740</v>
      </c>
      <c r="S152" s="1406" t="s">
        <v>734</v>
      </c>
      <c r="T152" s="1364"/>
      <c r="U152" s="1405" t="s">
        <v>58</v>
      </c>
      <c r="V152" s="1365" t="s">
        <v>735</v>
      </c>
      <c r="W152" s="2055" t="s">
        <v>736</v>
      </c>
      <c r="X152" s="2087" t="s">
        <v>737</v>
      </c>
      <c r="Y152" s="2106">
        <v>48.0707</v>
      </c>
      <c r="Z152" s="2066">
        <f>Y152*M152</f>
        <v>1442.121</v>
      </c>
      <c r="AA152" s="2068"/>
      <c r="AB152" s="2107">
        <v>360</v>
      </c>
      <c r="AC152" s="2068">
        <f t="shared" si="30"/>
        <v>0</v>
      </c>
      <c r="AD152" s="2108" t="s">
        <v>58</v>
      </c>
      <c r="AE152" s="1402" t="s">
        <v>63</v>
      </c>
      <c r="AF152" s="1402" t="s">
        <v>38</v>
      </c>
      <c r="AG152" s="1363"/>
      <c r="AH152" s="2073">
        <f>J152/3</f>
        <v>120</v>
      </c>
      <c r="AI152" s="2073">
        <f>J152/3</f>
        <v>120</v>
      </c>
      <c r="AJ152" s="2085">
        <f>J152/3</f>
        <v>120</v>
      </c>
      <c r="AK152" s="2110"/>
      <c r="AL152" s="2042">
        <f t="shared" si="39"/>
        <v>360</v>
      </c>
      <c r="AM152" s="2042"/>
      <c r="AN152" s="2110"/>
      <c r="AO152" s="2110"/>
      <c r="AP152" s="2110"/>
      <c r="AQ152" s="2110"/>
      <c r="AR152" s="2110"/>
      <c r="AS152" s="2110"/>
      <c r="AT152" s="2110"/>
      <c r="AU152" s="2110"/>
      <c r="AV152" s="2110"/>
      <c r="AW152" s="2042">
        <f>J152/3</f>
        <v>120</v>
      </c>
      <c r="AX152" s="2042">
        <f t="shared" si="40"/>
        <v>120</v>
      </c>
      <c r="AY152" s="2042">
        <f t="shared" si="41"/>
        <v>120</v>
      </c>
      <c r="AZ152" s="2095"/>
      <c r="BA152" s="2085"/>
      <c r="BB152" s="2085"/>
      <c r="BC152" s="2085"/>
      <c r="BD152" s="2094">
        <f t="shared" si="32"/>
        <v>360</v>
      </c>
      <c r="BE152" s="2094">
        <f t="shared" si="33"/>
        <v>0</v>
      </c>
    </row>
    <row r="153" s="1988" customFormat="1" ht="36" customHeight="1" spans="1:57">
      <c r="A153" s="2018">
        <v>45747</v>
      </c>
      <c r="B153" s="2098" t="s">
        <v>730</v>
      </c>
      <c r="C153" s="1723" t="s">
        <v>91</v>
      </c>
      <c r="D153" s="2099">
        <v>4500161570</v>
      </c>
      <c r="E153" s="2098" t="s">
        <v>741</v>
      </c>
      <c r="F153" s="2019" t="s">
        <v>742</v>
      </c>
      <c r="G153" s="1989" t="s">
        <v>685</v>
      </c>
      <c r="H153" s="1989" t="s">
        <v>686</v>
      </c>
      <c r="I153" s="2103" t="s">
        <v>484</v>
      </c>
      <c r="J153" s="1989">
        <v>240</v>
      </c>
      <c r="K153" s="2037">
        <v>0</v>
      </c>
      <c r="L153" s="2038">
        <v>12</v>
      </c>
      <c r="M153" s="2039">
        <f t="shared" si="37"/>
        <v>20</v>
      </c>
      <c r="N153" s="2040">
        <v>45833</v>
      </c>
      <c r="O153" s="2040">
        <v>45829</v>
      </c>
      <c r="P153" s="1365"/>
      <c r="Q153" s="1363" t="s">
        <v>56</v>
      </c>
      <c r="R153" s="1363" t="s">
        <v>743</v>
      </c>
      <c r="S153" s="1406" t="s">
        <v>734</v>
      </c>
      <c r="T153" s="1364"/>
      <c r="U153" s="1405" t="s">
        <v>58</v>
      </c>
      <c r="V153" s="1365" t="s">
        <v>735</v>
      </c>
      <c r="W153" s="2055" t="s">
        <v>736</v>
      </c>
      <c r="X153" s="2087" t="s">
        <v>737</v>
      </c>
      <c r="Y153" s="2106">
        <v>48.0707</v>
      </c>
      <c r="Z153" s="2066">
        <f>Y153*M153</f>
        <v>961.414</v>
      </c>
      <c r="AA153" s="2068"/>
      <c r="AB153" s="2107">
        <v>240</v>
      </c>
      <c r="AC153" s="2068">
        <f t="shared" si="30"/>
        <v>0</v>
      </c>
      <c r="AD153" s="2108" t="s">
        <v>58</v>
      </c>
      <c r="AE153" s="1402" t="s">
        <v>63</v>
      </c>
      <c r="AF153" s="1402" t="s">
        <v>38</v>
      </c>
      <c r="AG153" s="1363"/>
      <c r="AH153" s="2073">
        <f>J153/3</f>
        <v>80</v>
      </c>
      <c r="AI153" s="2073">
        <f>J153/3</f>
        <v>80</v>
      </c>
      <c r="AJ153" s="2085">
        <f>J153/3</f>
        <v>80</v>
      </c>
      <c r="AK153" s="2110"/>
      <c r="AL153" s="2042">
        <f t="shared" si="39"/>
        <v>240</v>
      </c>
      <c r="AM153" s="2042"/>
      <c r="AN153" s="2110"/>
      <c r="AO153" s="2110"/>
      <c r="AP153" s="2110"/>
      <c r="AQ153" s="2110"/>
      <c r="AR153" s="2110"/>
      <c r="AS153" s="2110"/>
      <c r="AT153" s="2110"/>
      <c r="AU153" s="2110"/>
      <c r="AV153" s="2110"/>
      <c r="AW153" s="2042">
        <f>J153/3</f>
        <v>80</v>
      </c>
      <c r="AX153" s="2042">
        <f t="shared" si="40"/>
        <v>80</v>
      </c>
      <c r="AY153" s="2042">
        <f t="shared" si="41"/>
        <v>80</v>
      </c>
      <c r="AZ153" s="2095"/>
      <c r="BA153" s="2042"/>
      <c r="BB153" s="2042"/>
      <c r="BC153" s="2042"/>
      <c r="BD153" s="2094">
        <f t="shared" si="32"/>
        <v>240</v>
      </c>
      <c r="BE153" s="2094">
        <f t="shared" si="33"/>
        <v>0</v>
      </c>
    </row>
    <row r="154" s="1988" customFormat="1" ht="36" customHeight="1" spans="1:57">
      <c r="A154" s="2018">
        <v>45800</v>
      </c>
      <c r="B154" s="2098" t="s">
        <v>730</v>
      </c>
      <c r="C154" s="1723" t="s">
        <v>91</v>
      </c>
      <c r="D154" s="2099">
        <v>4500161570</v>
      </c>
      <c r="E154" s="2100" t="s">
        <v>744</v>
      </c>
      <c r="F154" s="2019" t="s">
        <v>745</v>
      </c>
      <c r="G154" s="1989" t="s">
        <v>685</v>
      </c>
      <c r="H154" s="1989" t="s">
        <v>686</v>
      </c>
      <c r="I154" s="2103" t="s">
        <v>484</v>
      </c>
      <c r="J154" s="1989">
        <v>180</v>
      </c>
      <c r="K154" s="2037">
        <v>0</v>
      </c>
      <c r="L154" s="2038">
        <v>12</v>
      </c>
      <c r="M154" s="2039">
        <f t="shared" si="37"/>
        <v>15</v>
      </c>
      <c r="N154" s="2040">
        <v>45833</v>
      </c>
      <c r="O154" s="2040">
        <v>45829</v>
      </c>
      <c r="P154" s="1402"/>
      <c r="Q154" s="1363" t="s">
        <v>56</v>
      </c>
      <c r="R154" s="1363"/>
      <c r="S154" s="1406" t="s">
        <v>734</v>
      </c>
      <c r="T154" s="1364"/>
      <c r="U154" s="1405" t="s">
        <v>58</v>
      </c>
      <c r="V154" s="1365" t="s">
        <v>735</v>
      </c>
      <c r="W154" s="2055" t="s">
        <v>736</v>
      </c>
      <c r="X154" s="2087" t="s">
        <v>737</v>
      </c>
      <c r="Y154" s="2106">
        <v>28.6147</v>
      </c>
      <c r="Z154" s="2066">
        <f>Y154*M154</f>
        <v>429.2205</v>
      </c>
      <c r="AA154" s="2068"/>
      <c r="AB154" s="2107">
        <v>180</v>
      </c>
      <c r="AC154" s="2068">
        <f t="shared" ref="AC154:AC166" si="42">AB154-J154</f>
        <v>0</v>
      </c>
      <c r="AD154" s="2108" t="s">
        <v>58</v>
      </c>
      <c r="AE154" s="1402" t="s">
        <v>63</v>
      </c>
      <c r="AF154" s="1402" t="s">
        <v>38</v>
      </c>
      <c r="AG154" s="1363"/>
      <c r="AH154" s="2073">
        <f>J154/3</f>
        <v>60</v>
      </c>
      <c r="AI154" s="2073">
        <f>J154/3</f>
        <v>60</v>
      </c>
      <c r="AJ154" s="2085">
        <f>J154/3</f>
        <v>60</v>
      </c>
      <c r="AK154" s="2086"/>
      <c r="AL154" s="2042">
        <f t="shared" si="39"/>
        <v>180</v>
      </c>
      <c r="AM154" s="2042"/>
      <c r="AN154" s="2086"/>
      <c r="AO154" s="2086"/>
      <c r="AP154" s="2086"/>
      <c r="AQ154" s="2086"/>
      <c r="AR154" s="2086"/>
      <c r="AS154" s="2086"/>
      <c r="AT154" s="2086"/>
      <c r="AU154" s="2086"/>
      <c r="AV154" s="2086"/>
      <c r="AW154" s="2042">
        <f>J154/3</f>
        <v>60</v>
      </c>
      <c r="AX154" s="2042">
        <f t="shared" si="40"/>
        <v>60</v>
      </c>
      <c r="AY154" s="2042">
        <f t="shared" si="41"/>
        <v>60</v>
      </c>
      <c r="AZ154" s="2093"/>
      <c r="BA154" s="2042"/>
      <c r="BB154" s="2042"/>
      <c r="BC154" s="2042"/>
      <c r="BD154" s="2094">
        <f t="shared" si="32"/>
        <v>180</v>
      </c>
      <c r="BE154" s="2094">
        <f t="shared" si="33"/>
        <v>0</v>
      </c>
    </row>
    <row r="155" s="1988" customFormat="1" ht="36" customHeight="1" spans="1:57">
      <c r="A155" s="2018">
        <v>45740</v>
      </c>
      <c r="B155" s="2098" t="s">
        <v>230</v>
      </c>
      <c r="C155" s="1723" t="s">
        <v>91</v>
      </c>
      <c r="D155" s="2099">
        <v>4500161262</v>
      </c>
      <c r="E155" s="2100">
        <v>60188354</v>
      </c>
      <c r="F155" s="2019" t="s">
        <v>746</v>
      </c>
      <c r="G155" s="1989" t="s">
        <v>54</v>
      </c>
      <c r="H155" s="1989" t="s">
        <v>54</v>
      </c>
      <c r="I155" s="2103" t="s">
        <v>55</v>
      </c>
      <c r="J155" s="1989">
        <v>3600</v>
      </c>
      <c r="K155" s="2037">
        <v>0</v>
      </c>
      <c r="L155" s="2038">
        <v>12</v>
      </c>
      <c r="M155" s="2039">
        <f t="shared" si="37"/>
        <v>300</v>
      </c>
      <c r="N155" s="2040">
        <v>45838</v>
      </c>
      <c r="O155" s="2040">
        <v>45834</v>
      </c>
      <c r="P155" s="1402"/>
      <c r="Q155" s="1363" t="s">
        <v>56</v>
      </c>
      <c r="R155" s="1363" t="s">
        <v>747</v>
      </c>
      <c r="S155" s="1406" t="s">
        <v>748</v>
      </c>
      <c r="T155" s="1364" t="s">
        <v>58</v>
      </c>
      <c r="U155" s="1405" t="s">
        <v>749</v>
      </c>
      <c r="V155" s="1365" t="s">
        <v>424</v>
      </c>
      <c r="W155" s="2055" t="s">
        <v>284</v>
      </c>
      <c r="X155" s="2087" t="s">
        <v>681</v>
      </c>
      <c r="Y155" s="2106">
        <v>3.3487</v>
      </c>
      <c r="Z155" s="2066">
        <f t="shared" ref="Z155:Z179" si="43">Y155*J155</f>
        <v>12055.32</v>
      </c>
      <c r="AA155" s="2068" t="s">
        <v>750</v>
      </c>
      <c r="AB155" s="2107">
        <v>3600</v>
      </c>
      <c r="AC155" s="2068">
        <f t="shared" si="42"/>
        <v>0</v>
      </c>
      <c r="AD155" s="2108" t="s">
        <v>327</v>
      </c>
      <c r="AE155" s="1402" t="s">
        <v>63</v>
      </c>
      <c r="AF155" s="1402" t="s">
        <v>38</v>
      </c>
      <c r="AG155" s="1363"/>
      <c r="AH155" s="2073">
        <f>J155</f>
        <v>3600</v>
      </c>
      <c r="AI155" s="2073"/>
      <c r="AJ155" s="2085"/>
      <c r="AK155" s="2086"/>
      <c r="AL155" s="2042">
        <f t="shared" si="39"/>
        <v>3600</v>
      </c>
      <c r="AM155" s="2042"/>
      <c r="AN155" s="2086"/>
      <c r="AO155" s="2086"/>
      <c r="AP155" s="2086"/>
      <c r="AQ155" s="2086"/>
      <c r="AR155" s="2086"/>
      <c r="AS155" s="2086"/>
      <c r="AT155" s="2086"/>
      <c r="AU155" s="2086"/>
      <c r="AV155" s="2086"/>
      <c r="AW155" s="2042">
        <f>J155</f>
        <v>3600</v>
      </c>
      <c r="AX155" s="2042"/>
      <c r="AY155" s="2042"/>
      <c r="AZ155" s="2093"/>
      <c r="BA155" s="2042"/>
      <c r="BB155" s="2042"/>
      <c r="BC155" s="2042"/>
      <c r="BD155" s="2094">
        <f t="shared" si="32"/>
        <v>3600</v>
      </c>
      <c r="BE155" s="2094">
        <f t="shared" si="33"/>
        <v>0</v>
      </c>
    </row>
    <row r="156" s="1988" customFormat="1" ht="36" customHeight="1" spans="1:57">
      <c r="A156" s="2018">
        <v>45792</v>
      </c>
      <c r="B156" s="2098" t="s">
        <v>751</v>
      </c>
      <c r="C156" s="1723" t="s">
        <v>752</v>
      </c>
      <c r="D156" s="2099">
        <v>4500166516</v>
      </c>
      <c r="E156" s="2100"/>
      <c r="F156" s="2019" t="s">
        <v>753</v>
      </c>
      <c r="G156" s="1989" t="s">
        <v>54</v>
      </c>
      <c r="H156" s="1989" t="s">
        <v>54</v>
      </c>
      <c r="I156" s="2103" t="s">
        <v>55</v>
      </c>
      <c r="J156" s="1989">
        <v>360</v>
      </c>
      <c r="K156" s="2037">
        <v>0</v>
      </c>
      <c r="L156" s="2038">
        <v>12</v>
      </c>
      <c r="M156" s="2039">
        <f t="shared" si="37"/>
        <v>30</v>
      </c>
      <c r="N156" s="2040">
        <v>45838</v>
      </c>
      <c r="O156" s="2040">
        <v>45834</v>
      </c>
      <c r="P156" s="1402"/>
      <c r="Q156" s="1363" t="s">
        <v>56</v>
      </c>
      <c r="R156" s="1363" t="s">
        <v>754</v>
      </c>
      <c r="S156" s="1406" t="s">
        <v>755</v>
      </c>
      <c r="T156" s="1364"/>
      <c r="U156" s="1405" t="s">
        <v>58</v>
      </c>
      <c r="V156" s="1365" t="s">
        <v>756</v>
      </c>
      <c r="W156" s="2055" t="s">
        <v>757</v>
      </c>
      <c r="X156" s="2087" t="s">
        <v>758</v>
      </c>
      <c r="Y156" s="2106">
        <v>3.8309</v>
      </c>
      <c r="Z156" s="2066">
        <f t="shared" si="43"/>
        <v>1379.124</v>
      </c>
      <c r="AA156" s="2068" t="s">
        <v>759</v>
      </c>
      <c r="AB156" s="2107">
        <v>360</v>
      </c>
      <c r="AC156" s="2068">
        <f t="shared" si="42"/>
        <v>0</v>
      </c>
      <c r="AD156" s="2108" t="s">
        <v>58</v>
      </c>
      <c r="AE156" s="1402" t="s">
        <v>63</v>
      </c>
      <c r="AF156" s="1402" t="s">
        <v>38</v>
      </c>
      <c r="AG156" s="1363"/>
      <c r="AH156" s="2073">
        <f>J156</f>
        <v>360</v>
      </c>
      <c r="AI156" s="2073"/>
      <c r="AJ156" s="2085"/>
      <c r="AK156" s="2086"/>
      <c r="AL156" s="2042">
        <f t="shared" si="39"/>
        <v>360</v>
      </c>
      <c r="AM156" s="2042"/>
      <c r="AN156" s="2086"/>
      <c r="AO156" s="2086"/>
      <c r="AP156" s="2086"/>
      <c r="AQ156" s="2086"/>
      <c r="AR156" s="2086"/>
      <c r="AS156" s="2086"/>
      <c r="AT156" s="2086"/>
      <c r="AU156" s="2086"/>
      <c r="AV156" s="2086"/>
      <c r="AW156" s="2042">
        <f>J156</f>
        <v>360</v>
      </c>
      <c r="AX156" s="2042"/>
      <c r="AY156" s="2042"/>
      <c r="AZ156" s="2093"/>
      <c r="BA156" s="2042"/>
      <c r="BB156" s="2042"/>
      <c r="BC156" s="2042"/>
      <c r="BD156" s="2094">
        <f t="shared" si="32"/>
        <v>360</v>
      </c>
      <c r="BE156" s="2094">
        <f t="shared" si="33"/>
        <v>0</v>
      </c>
    </row>
    <row r="157" s="1988" customFormat="1" ht="36" customHeight="1" spans="1:57">
      <c r="A157" s="2018">
        <v>45792</v>
      </c>
      <c r="B157" s="2098" t="s">
        <v>751</v>
      </c>
      <c r="C157" s="1723" t="s">
        <v>752</v>
      </c>
      <c r="D157" s="2099">
        <v>4500166516</v>
      </c>
      <c r="E157" s="2100"/>
      <c r="F157" s="2019" t="s">
        <v>760</v>
      </c>
      <c r="G157" s="1989" t="s">
        <v>64</v>
      </c>
      <c r="H157" s="1989" t="s">
        <v>64</v>
      </c>
      <c r="I157" s="2103" t="s">
        <v>65</v>
      </c>
      <c r="J157" s="1989">
        <v>240</v>
      </c>
      <c r="K157" s="2037">
        <v>0</v>
      </c>
      <c r="L157" s="2038">
        <v>12</v>
      </c>
      <c r="M157" s="2039">
        <f t="shared" si="37"/>
        <v>20</v>
      </c>
      <c r="N157" s="2040">
        <v>45838</v>
      </c>
      <c r="O157" s="2040">
        <v>45834</v>
      </c>
      <c r="P157" s="1402"/>
      <c r="Q157" s="1363" t="s">
        <v>56</v>
      </c>
      <c r="R157" s="1363" t="s">
        <v>754</v>
      </c>
      <c r="S157" s="1406" t="s">
        <v>755</v>
      </c>
      <c r="T157" s="1364"/>
      <c r="U157" s="1405" t="s">
        <v>58</v>
      </c>
      <c r="V157" s="1365" t="s">
        <v>756</v>
      </c>
      <c r="W157" s="2055" t="s">
        <v>761</v>
      </c>
      <c r="X157" s="2087" t="s">
        <v>758</v>
      </c>
      <c r="Y157" s="2106">
        <v>3.9509</v>
      </c>
      <c r="Z157" s="2066">
        <f t="shared" si="43"/>
        <v>948.216</v>
      </c>
      <c r="AA157" s="2068" t="s">
        <v>759</v>
      </c>
      <c r="AB157" s="2107">
        <v>240</v>
      </c>
      <c r="AC157" s="2068">
        <f t="shared" si="42"/>
        <v>0</v>
      </c>
      <c r="AD157" s="2108" t="s">
        <v>58</v>
      </c>
      <c r="AE157" s="1402" t="s">
        <v>63</v>
      </c>
      <c r="AF157" s="1402" t="s">
        <v>38</v>
      </c>
      <c r="AG157" s="1363"/>
      <c r="AH157" s="2073"/>
      <c r="AI157" s="2073">
        <f>J157</f>
        <v>240</v>
      </c>
      <c r="AJ157" s="2085"/>
      <c r="AK157" s="2086"/>
      <c r="AL157" s="2042">
        <f t="shared" si="39"/>
        <v>240</v>
      </c>
      <c r="AM157" s="2042"/>
      <c r="AN157" s="2086"/>
      <c r="AO157" s="2086"/>
      <c r="AP157" s="2086"/>
      <c r="AQ157" s="2086"/>
      <c r="AR157" s="2086"/>
      <c r="AS157" s="2086"/>
      <c r="AT157" s="2086"/>
      <c r="AU157" s="2086"/>
      <c r="AV157" s="2086"/>
      <c r="AW157" s="2042"/>
      <c r="AX157" s="2042">
        <f>J157</f>
        <v>240</v>
      </c>
      <c r="AY157" s="2042"/>
      <c r="AZ157" s="2093"/>
      <c r="BA157" s="2042"/>
      <c r="BB157" s="2042"/>
      <c r="BC157" s="2042"/>
      <c r="BD157" s="2094">
        <f t="shared" si="32"/>
        <v>240</v>
      </c>
      <c r="BE157" s="2094">
        <f t="shared" si="33"/>
        <v>0</v>
      </c>
    </row>
    <row r="158" s="1988" customFormat="1" ht="36" customHeight="1" spans="1:57">
      <c r="A158" s="2018">
        <v>45792</v>
      </c>
      <c r="B158" s="2098" t="s">
        <v>751</v>
      </c>
      <c r="C158" s="1723" t="s">
        <v>752</v>
      </c>
      <c r="D158" s="2099">
        <v>4500166516</v>
      </c>
      <c r="E158" s="2100"/>
      <c r="F158" s="2019" t="s">
        <v>762</v>
      </c>
      <c r="G158" s="1989" t="s">
        <v>763</v>
      </c>
      <c r="H158" s="1989" t="s">
        <v>66</v>
      </c>
      <c r="I158" s="2103" t="s">
        <v>67</v>
      </c>
      <c r="J158" s="1989">
        <v>360</v>
      </c>
      <c r="K158" s="2037">
        <v>0</v>
      </c>
      <c r="L158" s="2038">
        <v>12</v>
      </c>
      <c r="M158" s="2039">
        <f t="shared" si="37"/>
        <v>30</v>
      </c>
      <c r="N158" s="2040">
        <v>45838</v>
      </c>
      <c r="O158" s="2040">
        <v>45834</v>
      </c>
      <c r="P158" s="1402" t="s">
        <v>764</v>
      </c>
      <c r="Q158" s="1363" t="s">
        <v>56</v>
      </c>
      <c r="R158" s="1363" t="s">
        <v>754</v>
      </c>
      <c r="S158" s="1406" t="s">
        <v>755</v>
      </c>
      <c r="T158" s="1364"/>
      <c r="U158" s="1405" t="s">
        <v>58</v>
      </c>
      <c r="V158" s="1365" t="s">
        <v>756</v>
      </c>
      <c r="W158" s="2055" t="s">
        <v>765</v>
      </c>
      <c r="X158" s="2087" t="s">
        <v>758</v>
      </c>
      <c r="Y158" s="2106">
        <v>3.6399</v>
      </c>
      <c r="Z158" s="2066">
        <f t="shared" si="43"/>
        <v>1310.364</v>
      </c>
      <c r="AA158" s="2068" t="s">
        <v>759</v>
      </c>
      <c r="AB158" s="2107">
        <v>360</v>
      </c>
      <c r="AC158" s="2068">
        <f t="shared" si="42"/>
        <v>0</v>
      </c>
      <c r="AD158" s="2108" t="s">
        <v>58</v>
      </c>
      <c r="AE158" s="1402" t="s">
        <v>63</v>
      </c>
      <c r="AF158" s="1402" t="s">
        <v>38</v>
      </c>
      <c r="AG158" s="1363"/>
      <c r="AH158" s="2073"/>
      <c r="AI158" s="2073"/>
      <c r="AJ158" s="2085">
        <f>J158</f>
        <v>360</v>
      </c>
      <c r="AK158" s="2086"/>
      <c r="AL158" s="2042"/>
      <c r="AM158" s="2042">
        <f>J158</f>
        <v>360</v>
      </c>
      <c r="AN158" s="2086"/>
      <c r="AO158" s="2086"/>
      <c r="AP158" s="2086"/>
      <c r="AQ158" s="2086"/>
      <c r="AR158" s="2086"/>
      <c r="AS158" s="2086"/>
      <c r="AT158" s="2086"/>
      <c r="AU158" s="2086"/>
      <c r="AV158" s="2086"/>
      <c r="AW158" s="2042"/>
      <c r="AX158" s="2042"/>
      <c r="AY158" s="2042"/>
      <c r="AZ158" s="2093"/>
      <c r="BA158" s="2042"/>
      <c r="BB158" s="2042"/>
      <c r="BC158" s="2042">
        <f>J158</f>
        <v>360</v>
      </c>
      <c r="BD158" s="2094">
        <f t="shared" si="32"/>
        <v>360</v>
      </c>
      <c r="BE158" s="2094">
        <f t="shared" si="33"/>
        <v>0</v>
      </c>
    </row>
    <row r="159" s="1988" customFormat="1" ht="36" customHeight="1" spans="1:57">
      <c r="A159" s="2018">
        <v>45803</v>
      </c>
      <c r="B159" s="2098" t="s">
        <v>766</v>
      </c>
      <c r="C159" s="1723" t="s">
        <v>69</v>
      </c>
      <c r="D159" s="2099">
        <v>4500168001</v>
      </c>
      <c r="E159" s="2100">
        <v>4400487115</v>
      </c>
      <c r="F159" s="2019" t="s">
        <v>767</v>
      </c>
      <c r="G159" s="1989" t="s">
        <v>768</v>
      </c>
      <c r="H159" s="1989" t="s">
        <v>54</v>
      </c>
      <c r="I159" s="2103" t="s">
        <v>55</v>
      </c>
      <c r="J159" s="1989">
        <v>804</v>
      </c>
      <c r="K159" s="2037">
        <v>0</v>
      </c>
      <c r="L159" s="2038">
        <v>12</v>
      </c>
      <c r="M159" s="2039">
        <f t="shared" si="37"/>
        <v>67</v>
      </c>
      <c r="N159" s="2040">
        <v>45842</v>
      </c>
      <c r="O159" s="2040">
        <f>N159-4</f>
        <v>45838</v>
      </c>
      <c r="P159" s="1402" t="s">
        <v>769</v>
      </c>
      <c r="Q159" s="1363" t="s">
        <v>56</v>
      </c>
      <c r="R159" s="1363" t="s">
        <v>770</v>
      </c>
      <c r="S159" s="1406" t="s">
        <v>771</v>
      </c>
      <c r="T159" s="1364"/>
      <c r="U159" s="1405" t="s">
        <v>772</v>
      </c>
      <c r="V159" s="1365" t="s">
        <v>773</v>
      </c>
      <c r="W159" s="2055" t="s">
        <v>774</v>
      </c>
      <c r="X159" s="2087" t="s">
        <v>775</v>
      </c>
      <c r="Y159" s="2106">
        <v>3.7451</v>
      </c>
      <c r="Z159" s="2066">
        <f t="shared" si="43"/>
        <v>3011.0604</v>
      </c>
      <c r="AA159" s="2068" t="s">
        <v>776</v>
      </c>
      <c r="AB159" s="2107">
        <v>804</v>
      </c>
      <c r="AC159" s="2068">
        <f t="shared" si="42"/>
        <v>0</v>
      </c>
      <c r="AD159" s="2108" t="s">
        <v>81</v>
      </c>
      <c r="AE159" s="1402" t="s">
        <v>63</v>
      </c>
      <c r="AF159" s="1402" t="s">
        <v>38</v>
      </c>
      <c r="AG159" s="1363"/>
      <c r="AH159" s="2073">
        <f>J159</f>
        <v>804</v>
      </c>
      <c r="AI159" s="2073"/>
      <c r="AJ159" s="2085"/>
      <c r="AK159" s="2086"/>
      <c r="AL159" s="2042"/>
      <c r="AM159" s="2042">
        <f>J159</f>
        <v>804</v>
      </c>
      <c r="AN159" s="2086"/>
      <c r="AO159" s="2086"/>
      <c r="AP159" s="2086"/>
      <c r="AQ159" s="2086"/>
      <c r="AR159" s="2086"/>
      <c r="AS159" s="2086"/>
      <c r="AT159" s="2086"/>
      <c r="AU159" s="2086"/>
      <c r="AV159" s="2086"/>
      <c r="AW159" s="2042">
        <f>J159</f>
        <v>804</v>
      </c>
      <c r="AX159" s="2042"/>
      <c r="AY159" s="2042"/>
      <c r="AZ159" s="2093"/>
      <c r="BA159" s="2042"/>
      <c r="BB159" s="2042"/>
      <c r="BC159" s="2042"/>
      <c r="BD159" s="2094">
        <f t="shared" si="32"/>
        <v>804</v>
      </c>
      <c r="BE159" s="2094">
        <f t="shared" si="33"/>
        <v>0</v>
      </c>
    </row>
    <row r="160" s="1988" customFormat="1" ht="36" customHeight="1" spans="1:57">
      <c r="A160" s="2018">
        <v>45812</v>
      </c>
      <c r="B160" s="2098" t="s">
        <v>777</v>
      </c>
      <c r="C160" s="1723" t="s">
        <v>778</v>
      </c>
      <c r="D160" s="2099">
        <v>4500168910</v>
      </c>
      <c r="E160" s="2098">
        <v>6000056638</v>
      </c>
      <c r="F160" s="2019" t="s">
        <v>779</v>
      </c>
      <c r="G160" s="1989" t="s">
        <v>54</v>
      </c>
      <c r="H160" s="1989" t="s">
        <v>54</v>
      </c>
      <c r="I160" s="2036" t="s">
        <v>55</v>
      </c>
      <c r="J160" s="1989">
        <v>504</v>
      </c>
      <c r="K160" s="2037">
        <v>0</v>
      </c>
      <c r="L160" s="2038">
        <v>12</v>
      </c>
      <c r="M160" s="2039">
        <f t="shared" si="37"/>
        <v>42</v>
      </c>
      <c r="N160" s="2040">
        <v>45841</v>
      </c>
      <c r="O160" s="1711">
        <v>45846</v>
      </c>
      <c r="P160" s="1363"/>
      <c r="Q160" s="1363" t="s">
        <v>56</v>
      </c>
      <c r="R160" s="1363" t="s">
        <v>780</v>
      </c>
      <c r="S160" s="1406" t="s">
        <v>781</v>
      </c>
      <c r="T160" s="1364"/>
      <c r="U160" s="1405" t="s">
        <v>782</v>
      </c>
      <c r="V160" s="1405" t="s">
        <v>783</v>
      </c>
      <c r="W160" s="2055" t="s">
        <v>784</v>
      </c>
      <c r="X160" s="2087" t="s">
        <v>785</v>
      </c>
      <c r="Y160" s="2065">
        <v>3.8309</v>
      </c>
      <c r="Z160" s="2066">
        <f t="shared" si="43"/>
        <v>1930.7736</v>
      </c>
      <c r="AA160" s="2068" t="s">
        <v>786</v>
      </c>
      <c r="AB160" s="2107">
        <v>504</v>
      </c>
      <c r="AC160" s="2068">
        <f t="shared" si="42"/>
        <v>0</v>
      </c>
      <c r="AD160" s="2108" t="s">
        <v>81</v>
      </c>
      <c r="AE160" s="1402" t="s">
        <v>63</v>
      </c>
      <c r="AF160" s="1402" t="s">
        <v>38</v>
      </c>
      <c r="AG160" s="1363"/>
      <c r="AH160" s="2073">
        <f>J160</f>
        <v>504</v>
      </c>
      <c r="AI160" s="2073"/>
      <c r="AJ160" s="2042"/>
      <c r="AK160" s="2110"/>
      <c r="AL160" s="2042">
        <f>J160</f>
        <v>504</v>
      </c>
      <c r="AM160" s="2042"/>
      <c r="AN160" s="2110"/>
      <c r="AO160" s="2110"/>
      <c r="AP160" s="2110"/>
      <c r="AQ160" s="2110"/>
      <c r="AR160" s="2110"/>
      <c r="AS160" s="2160"/>
      <c r="AT160" s="2160"/>
      <c r="AU160" s="2160"/>
      <c r="AV160" s="2160"/>
      <c r="AW160" s="2042">
        <f>J160</f>
        <v>504</v>
      </c>
      <c r="AX160" s="2042"/>
      <c r="AY160" s="2042"/>
      <c r="AZ160" s="2160"/>
      <c r="BA160" s="2085"/>
      <c r="BB160" s="2085"/>
      <c r="BC160" s="2085"/>
      <c r="BD160" s="2094">
        <f t="shared" si="32"/>
        <v>504</v>
      </c>
      <c r="BE160" s="2094">
        <f t="shared" si="33"/>
        <v>0</v>
      </c>
    </row>
    <row r="161" s="1988" customFormat="1" ht="36" customHeight="1" spans="1:57">
      <c r="A161" s="2018">
        <v>45797</v>
      </c>
      <c r="B161" s="2098" t="s">
        <v>492</v>
      </c>
      <c r="C161" s="1723" t="s">
        <v>493</v>
      </c>
      <c r="D161" s="2099">
        <v>4500167023</v>
      </c>
      <c r="E161" s="2098">
        <v>4400485296</v>
      </c>
      <c r="F161" s="2019" t="s">
        <v>787</v>
      </c>
      <c r="G161" s="2101" t="s">
        <v>495</v>
      </c>
      <c r="H161" s="1989" t="s">
        <v>54</v>
      </c>
      <c r="I161" s="2036" t="s">
        <v>55</v>
      </c>
      <c r="J161" s="1989">
        <v>2004</v>
      </c>
      <c r="K161" s="2037">
        <v>0</v>
      </c>
      <c r="L161" s="2038">
        <v>12</v>
      </c>
      <c r="M161" s="2039">
        <f t="shared" si="37"/>
        <v>167</v>
      </c>
      <c r="N161" s="2040">
        <v>45854</v>
      </c>
      <c r="O161" s="2040">
        <v>45850</v>
      </c>
      <c r="P161" s="1406"/>
      <c r="Q161" s="1363" t="s">
        <v>56</v>
      </c>
      <c r="R161" s="1363" t="s">
        <v>788</v>
      </c>
      <c r="S161" s="1406" t="s">
        <v>789</v>
      </c>
      <c r="T161" s="1364"/>
      <c r="U161" s="1405" t="s">
        <v>790</v>
      </c>
      <c r="V161" s="1365" t="s">
        <v>791</v>
      </c>
      <c r="W161" s="2055" t="s">
        <v>792</v>
      </c>
      <c r="X161" s="2087" t="s">
        <v>775</v>
      </c>
      <c r="Y161" s="2065">
        <v>3.389</v>
      </c>
      <c r="Z161" s="2066">
        <f t="shared" si="43"/>
        <v>6791.556</v>
      </c>
      <c r="AA161" s="2068"/>
      <c r="AB161" s="2107">
        <v>2004</v>
      </c>
      <c r="AC161" s="2068">
        <f t="shared" si="42"/>
        <v>0</v>
      </c>
      <c r="AD161" s="2147" t="s">
        <v>81</v>
      </c>
      <c r="AE161" s="1402" t="s">
        <v>63</v>
      </c>
      <c r="AF161" s="1402" t="s">
        <v>38</v>
      </c>
      <c r="AG161" s="1363"/>
      <c r="AH161" s="2073">
        <f>J161</f>
        <v>2004</v>
      </c>
      <c r="AI161" s="2073"/>
      <c r="AJ161" s="2042"/>
      <c r="AK161" s="2110"/>
      <c r="AL161" s="2042"/>
      <c r="AM161" s="2042">
        <f>J161</f>
        <v>2004</v>
      </c>
      <c r="AN161" s="2110"/>
      <c r="AO161" s="2110"/>
      <c r="AP161" s="2110"/>
      <c r="AQ161" s="2110"/>
      <c r="AR161" s="2110"/>
      <c r="AS161" s="2160"/>
      <c r="AT161" s="2160"/>
      <c r="AU161" s="2160"/>
      <c r="AV161" s="2160"/>
      <c r="AW161" s="2042">
        <f>J161</f>
        <v>2004</v>
      </c>
      <c r="AX161" s="2042"/>
      <c r="AY161" s="2042"/>
      <c r="AZ161" s="2160"/>
      <c r="BA161" s="2085"/>
      <c r="BB161" s="2085"/>
      <c r="BC161" s="2085"/>
      <c r="BD161" s="2094">
        <f t="shared" ref="BD161:BD179" si="44">SUM(AH161:AJ161)</f>
        <v>2004</v>
      </c>
      <c r="BE161" s="2094">
        <f t="shared" ref="BE161:BE179" si="45">BD161-J161</f>
        <v>0</v>
      </c>
    </row>
    <row r="162" s="1988" customFormat="1" ht="36" customHeight="1" spans="1:57">
      <c r="A162" s="2018">
        <v>45799</v>
      </c>
      <c r="B162" s="2098" t="s">
        <v>177</v>
      </c>
      <c r="C162" s="1723" t="s">
        <v>178</v>
      </c>
      <c r="D162" s="2099">
        <v>4500166942</v>
      </c>
      <c r="E162" s="2098">
        <v>4400484622</v>
      </c>
      <c r="F162" s="2113" t="s">
        <v>793</v>
      </c>
      <c r="G162" s="1723" t="s">
        <v>125</v>
      </c>
      <c r="H162" s="1989" t="s">
        <v>54</v>
      </c>
      <c r="I162" s="2036" t="s">
        <v>55</v>
      </c>
      <c r="J162" s="1989">
        <v>708</v>
      </c>
      <c r="K162" s="2037">
        <v>0</v>
      </c>
      <c r="L162" s="2038">
        <v>12</v>
      </c>
      <c r="M162" s="2039">
        <f t="shared" si="37"/>
        <v>59</v>
      </c>
      <c r="N162" s="2040">
        <v>45856</v>
      </c>
      <c r="O162" s="2040">
        <v>45852</v>
      </c>
      <c r="P162" s="1406" t="s">
        <v>794</v>
      </c>
      <c r="Q162" s="1363" t="s">
        <v>56</v>
      </c>
      <c r="R162" s="1363" t="s">
        <v>795</v>
      </c>
      <c r="S162" s="1406" t="s">
        <v>796</v>
      </c>
      <c r="T162" s="1364"/>
      <c r="U162" s="1405" t="s">
        <v>797</v>
      </c>
      <c r="V162" s="1365" t="s">
        <v>798</v>
      </c>
      <c r="W162" s="2055" t="s">
        <v>799</v>
      </c>
      <c r="X162" s="2087" t="s">
        <v>674</v>
      </c>
      <c r="Y162" s="2065">
        <v>3.8309</v>
      </c>
      <c r="Z162" s="2066">
        <f t="shared" si="43"/>
        <v>2712.2772</v>
      </c>
      <c r="AA162" s="2068" t="s">
        <v>800</v>
      </c>
      <c r="AB162" s="2107">
        <v>708</v>
      </c>
      <c r="AC162" s="2068">
        <f t="shared" si="42"/>
        <v>0</v>
      </c>
      <c r="AD162" s="2108" t="s">
        <v>81</v>
      </c>
      <c r="AE162" s="1402" t="s">
        <v>63</v>
      </c>
      <c r="AF162" s="1402" t="s">
        <v>38</v>
      </c>
      <c r="AG162" s="1363"/>
      <c r="AH162" s="2073">
        <f>J162</f>
        <v>708</v>
      </c>
      <c r="AI162" s="2073"/>
      <c r="AJ162" s="2042"/>
      <c r="AK162" s="2110"/>
      <c r="AL162" s="2042"/>
      <c r="AM162" s="2042">
        <f>J162</f>
        <v>708</v>
      </c>
      <c r="AN162" s="2110"/>
      <c r="AO162" s="2110"/>
      <c r="AP162" s="2110"/>
      <c r="AQ162" s="2110"/>
      <c r="AR162" s="2110"/>
      <c r="AS162" s="2160"/>
      <c r="AT162" s="2160"/>
      <c r="AU162" s="2160"/>
      <c r="AV162" s="2160"/>
      <c r="AW162" s="2042"/>
      <c r="AX162" s="2042"/>
      <c r="AY162" s="2042"/>
      <c r="AZ162" s="2160"/>
      <c r="BA162" s="2085">
        <f>J162</f>
        <v>708</v>
      </c>
      <c r="BB162" s="2085"/>
      <c r="BC162" s="2085"/>
      <c r="BD162" s="2094">
        <f t="shared" si="44"/>
        <v>708</v>
      </c>
      <c r="BE162" s="2094">
        <f t="shared" si="45"/>
        <v>0</v>
      </c>
    </row>
    <row r="163" s="1988" customFormat="1" ht="36" customHeight="1" spans="1:57">
      <c r="A163" s="2018">
        <v>45799</v>
      </c>
      <c r="B163" s="2098" t="s">
        <v>122</v>
      </c>
      <c r="C163" s="1723" t="s">
        <v>123</v>
      </c>
      <c r="D163" s="2099">
        <v>4500167625</v>
      </c>
      <c r="E163" s="2100">
        <v>4400484623</v>
      </c>
      <c r="F163" s="2019" t="s">
        <v>801</v>
      </c>
      <c r="G163" s="1723" t="s">
        <v>125</v>
      </c>
      <c r="H163" s="1989" t="s">
        <v>54</v>
      </c>
      <c r="I163" s="2103" t="s">
        <v>55</v>
      </c>
      <c r="J163" s="1989">
        <v>3000</v>
      </c>
      <c r="K163" s="2037">
        <v>0</v>
      </c>
      <c r="L163" s="2038">
        <v>12</v>
      </c>
      <c r="M163" s="2039">
        <f t="shared" si="37"/>
        <v>250</v>
      </c>
      <c r="N163" s="2040">
        <v>45870</v>
      </c>
      <c r="O163" s="2040">
        <v>45866</v>
      </c>
      <c r="P163" s="1402" t="s">
        <v>802</v>
      </c>
      <c r="Q163" s="1363" t="s">
        <v>56</v>
      </c>
      <c r="R163" s="1363" t="s">
        <v>803</v>
      </c>
      <c r="S163" s="1406" t="s">
        <v>796</v>
      </c>
      <c r="T163" s="1364"/>
      <c r="U163" s="1405" t="s">
        <v>797</v>
      </c>
      <c r="V163" s="1365" t="s">
        <v>798</v>
      </c>
      <c r="W163" s="2055" t="s">
        <v>804</v>
      </c>
      <c r="X163" s="2087" t="s">
        <v>674</v>
      </c>
      <c r="Y163" s="2106">
        <v>3.389</v>
      </c>
      <c r="Z163" s="2066">
        <f t="shared" si="43"/>
        <v>10167</v>
      </c>
      <c r="AA163" s="2068"/>
      <c r="AB163" s="2107">
        <v>3000</v>
      </c>
      <c r="AC163" s="2068">
        <f t="shared" si="42"/>
        <v>0</v>
      </c>
      <c r="AD163" s="2108" t="s">
        <v>81</v>
      </c>
      <c r="AE163" s="1402" t="s">
        <v>63</v>
      </c>
      <c r="AF163" s="1402" t="s">
        <v>38</v>
      </c>
      <c r="AG163" s="1363"/>
      <c r="AH163" s="2073">
        <f>J163</f>
        <v>3000</v>
      </c>
      <c r="AI163" s="2073"/>
      <c r="AJ163" s="2085"/>
      <c r="AK163" s="2110"/>
      <c r="AL163" s="2042"/>
      <c r="AM163" s="2042">
        <f>J163</f>
        <v>3000</v>
      </c>
      <c r="AN163" s="2110"/>
      <c r="AO163" s="2110"/>
      <c r="AP163" s="2110"/>
      <c r="AQ163" s="2110"/>
      <c r="AR163" s="2110"/>
      <c r="AS163" s="2110"/>
      <c r="AT163" s="2110"/>
      <c r="AU163" s="2110"/>
      <c r="AV163" s="2110"/>
      <c r="AW163" s="2042"/>
      <c r="AX163" s="2042"/>
      <c r="AY163" s="2042"/>
      <c r="AZ163" s="2095"/>
      <c r="BA163" s="2042">
        <f>J163</f>
        <v>3000</v>
      </c>
      <c r="BB163" s="2042"/>
      <c r="BC163" s="2042"/>
      <c r="BD163" s="2094">
        <f t="shared" si="44"/>
        <v>3000</v>
      </c>
      <c r="BE163" s="2094">
        <f t="shared" si="45"/>
        <v>0</v>
      </c>
    </row>
    <row r="164" s="1988" customFormat="1" ht="36" customHeight="1" spans="1:57">
      <c r="A164" s="2018">
        <v>45832</v>
      </c>
      <c r="B164" s="2098" t="s">
        <v>662</v>
      </c>
      <c r="C164" s="1723" t="s">
        <v>398</v>
      </c>
      <c r="D164" s="2099">
        <v>4500171028</v>
      </c>
      <c r="E164" s="2100" t="s">
        <v>805</v>
      </c>
      <c r="F164" s="2019" t="s">
        <v>806</v>
      </c>
      <c r="G164" s="1989" t="s">
        <v>703</v>
      </c>
      <c r="H164" s="1989" t="s">
        <v>611</v>
      </c>
      <c r="I164" s="2103" t="s">
        <v>67</v>
      </c>
      <c r="J164" s="1989">
        <v>1002</v>
      </c>
      <c r="K164" s="2037">
        <v>0</v>
      </c>
      <c r="L164" s="2038">
        <v>6</v>
      </c>
      <c r="M164" s="2039">
        <f t="shared" si="37"/>
        <v>167</v>
      </c>
      <c r="N164" s="2040">
        <v>45868</v>
      </c>
      <c r="O164" s="2040">
        <v>45864</v>
      </c>
      <c r="P164" s="1402"/>
      <c r="Q164" s="1363" t="s">
        <v>56</v>
      </c>
      <c r="R164" s="1363" t="s">
        <v>807</v>
      </c>
      <c r="S164" s="1406" t="s">
        <v>808</v>
      </c>
      <c r="T164" s="1364"/>
      <c r="U164" s="1405" t="s">
        <v>58</v>
      </c>
      <c r="V164" s="1365" t="s">
        <v>809</v>
      </c>
      <c r="W164" s="2055" t="s">
        <v>810</v>
      </c>
      <c r="X164" s="2087" t="s">
        <v>517</v>
      </c>
      <c r="Y164" s="2106">
        <v>3.3602</v>
      </c>
      <c r="Z164" s="2066">
        <f t="shared" si="43"/>
        <v>3366.9204</v>
      </c>
      <c r="AA164" s="2068"/>
      <c r="AB164" s="2107">
        <v>1002</v>
      </c>
      <c r="AC164" s="2068">
        <f t="shared" si="42"/>
        <v>0</v>
      </c>
      <c r="AD164" s="2108" t="s">
        <v>58</v>
      </c>
      <c r="AE164" s="1402" t="s">
        <v>63</v>
      </c>
      <c r="AF164" s="1402" t="s">
        <v>38</v>
      </c>
      <c r="AG164" s="1363"/>
      <c r="AH164" s="2073"/>
      <c r="AI164" s="2073"/>
      <c r="AJ164" s="2085">
        <f>J164</f>
        <v>1002</v>
      </c>
      <c r="AK164" s="2110"/>
      <c r="AL164" s="2042"/>
      <c r="AM164" s="2042">
        <f>J164</f>
        <v>1002</v>
      </c>
      <c r="AN164" s="2110"/>
      <c r="AO164" s="2110"/>
      <c r="AP164" s="2110"/>
      <c r="AQ164" s="2110"/>
      <c r="AR164" s="2110"/>
      <c r="AS164" s="2110"/>
      <c r="AT164" s="2110"/>
      <c r="AU164" s="2110"/>
      <c r="AV164" s="2110"/>
      <c r="AW164" s="2042"/>
      <c r="AX164" s="2042"/>
      <c r="AY164" s="2042"/>
      <c r="AZ164" s="2095"/>
      <c r="BA164" s="2042"/>
      <c r="BB164" s="2042"/>
      <c r="BC164" s="2042">
        <f>J164</f>
        <v>1002</v>
      </c>
      <c r="BD164" s="2094">
        <f t="shared" si="44"/>
        <v>1002</v>
      </c>
      <c r="BE164" s="2094">
        <f t="shared" si="45"/>
        <v>0</v>
      </c>
    </row>
    <row r="165" s="1988" customFormat="1" ht="36" customHeight="1" spans="1:57">
      <c r="A165" s="2018">
        <v>45836</v>
      </c>
      <c r="B165" s="2098" t="s">
        <v>811</v>
      </c>
      <c r="C165" s="1723" t="s">
        <v>91</v>
      </c>
      <c r="D165" s="2099">
        <v>4500171774</v>
      </c>
      <c r="E165" s="2100">
        <v>70072634</v>
      </c>
      <c r="F165" s="2019" t="s">
        <v>812</v>
      </c>
      <c r="G165" s="1989" t="s">
        <v>54</v>
      </c>
      <c r="H165" s="1989" t="s">
        <v>54</v>
      </c>
      <c r="I165" s="2103" t="s">
        <v>55</v>
      </c>
      <c r="J165" s="1989">
        <v>1200</v>
      </c>
      <c r="K165" s="2037">
        <v>0</v>
      </c>
      <c r="L165" s="2038">
        <v>12</v>
      </c>
      <c r="M165" s="2039">
        <f t="shared" si="37"/>
        <v>100</v>
      </c>
      <c r="N165" s="2040">
        <v>45867</v>
      </c>
      <c r="O165" s="2040">
        <v>45863</v>
      </c>
      <c r="P165" s="1402"/>
      <c r="Q165" s="1363" t="s">
        <v>56</v>
      </c>
      <c r="R165" s="1363" t="s">
        <v>813</v>
      </c>
      <c r="S165" s="1406" t="s">
        <v>814</v>
      </c>
      <c r="T165" s="1364"/>
      <c r="U165" s="1364" t="s">
        <v>815</v>
      </c>
      <c r="V165" s="1365" t="s">
        <v>235</v>
      </c>
      <c r="W165" s="2055" t="s">
        <v>816</v>
      </c>
      <c r="X165" s="2087" t="s">
        <v>237</v>
      </c>
      <c r="Y165" s="2106">
        <v>2.034</v>
      </c>
      <c r="Z165" s="2066">
        <f t="shared" si="43"/>
        <v>2440.8</v>
      </c>
      <c r="AA165" s="2068" t="s">
        <v>817</v>
      </c>
      <c r="AB165" s="2107">
        <v>1200</v>
      </c>
      <c r="AC165" s="2068">
        <f t="shared" si="42"/>
        <v>0</v>
      </c>
      <c r="AD165" s="2108" t="s">
        <v>81</v>
      </c>
      <c r="AE165" s="1402" t="s">
        <v>63</v>
      </c>
      <c r="AF165" s="1402" t="s">
        <v>38</v>
      </c>
      <c r="AG165" s="1363"/>
      <c r="AH165" s="2073">
        <f>J165</f>
        <v>1200</v>
      </c>
      <c r="AI165" s="2073"/>
      <c r="AJ165" s="2085"/>
      <c r="AK165" s="2086"/>
      <c r="AL165" s="2042">
        <f>J165</f>
        <v>1200</v>
      </c>
      <c r="AM165" s="2042"/>
      <c r="AN165" s="2086"/>
      <c r="AO165" s="2086"/>
      <c r="AP165" s="2086"/>
      <c r="AQ165" s="2086"/>
      <c r="AR165" s="2086"/>
      <c r="AS165" s="2086"/>
      <c r="AT165" s="2086"/>
      <c r="AU165" s="2086"/>
      <c r="AV165" s="2086"/>
      <c r="AW165" s="2042">
        <f>J165</f>
        <v>1200</v>
      </c>
      <c r="AX165" s="2042"/>
      <c r="AY165" s="2042"/>
      <c r="AZ165" s="2093"/>
      <c r="BA165" s="2042"/>
      <c r="BB165" s="2042"/>
      <c r="BC165" s="2042"/>
      <c r="BD165" s="2094">
        <f t="shared" si="44"/>
        <v>1200</v>
      </c>
      <c r="BE165" s="2094">
        <f t="shared" si="45"/>
        <v>0</v>
      </c>
    </row>
    <row r="166" s="1988" customFormat="1" ht="36" customHeight="1" spans="1:57">
      <c r="A166" s="2018">
        <v>45839</v>
      </c>
      <c r="B166" s="2098" t="s">
        <v>818</v>
      </c>
      <c r="C166" s="1723" t="s">
        <v>819</v>
      </c>
      <c r="D166" s="2099">
        <v>4500171253</v>
      </c>
      <c r="E166" s="2100"/>
      <c r="F166" s="2019" t="s">
        <v>820</v>
      </c>
      <c r="G166" s="1989" t="s">
        <v>54</v>
      </c>
      <c r="H166" s="1989" t="s">
        <v>54</v>
      </c>
      <c r="I166" s="2103" t="s">
        <v>55</v>
      </c>
      <c r="J166" s="1989">
        <v>528</v>
      </c>
      <c r="K166" s="2037">
        <v>0</v>
      </c>
      <c r="L166" s="2038">
        <v>12</v>
      </c>
      <c r="M166" s="2039">
        <f t="shared" si="37"/>
        <v>44</v>
      </c>
      <c r="N166" s="2040">
        <v>45874</v>
      </c>
      <c r="O166" s="2040">
        <v>45870</v>
      </c>
      <c r="P166" s="1365" t="s">
        <v>821</v>
      </c>
      <c r="Q166" s="1363" t="s">
        <v>56</v>
      </c>
      <c r="R166" s="1363" t="s">
        <v>822</v>
      </c>
      <c r="S166" s="1406" t="s">
        <v>823</v>
      </c>
      <c r="T166" s="1364"/>
      <c r="U166" s="1364" t="s">
        <v>824</v>
      </c>
      <c r="V166" s="1365" t="s">
        <v>825</v>
      </c>
      <c r="W166" s="2055" t="s">
        <v>826</v>
      </c>
      <c r="X166" s="2087" t="s">
        <v>827</v>
      </c>
      <c r="Y166" s="2106">
        <v>3.7451</v>
      </c>
      <c r="Z166" s="2066">
        <f t="shared" si="43"/>
        <v>1977.4128</v>
      </c>
      <c r="AA166" s="2068" t="s">
        <v>828</v>
      </c>
      <c r="AB166" s="2107">
        <v>528</v>
      </c>
      <c r="AC166" s="2068">
        <f t="shared" ref="AC163:AC174" si="46">AB166-J166</f>
        <v>0</v>
      </c>
      <c r="AD166" s="2108" t="s">
        <v>81</v>
      </c>
      <c r="AE166" s="1402" t="s">
        <v>63</v>
      </c>
      <c r="AF166" s="1402" t="s">
        <v>38</v>
      </c>
      <c r="AG166" s="1363"/>
      <c r="AH166" s="2073">
        <f>J166</f>
        <v>528</v>
      </c>
      <c r="AI166" s="2073"/>
      <c r="AJ166" s="2085"/>
      <c r="AK166" s="2086"/>
      <c r="AL166" s="2042">
        <f t="shared" ref="AL166:AL174" si="47">J166</f>
        <v>528</v>
      </c>
      <c r="AM166" s="2042"/>
      <c r="AN166" s="2086"/>
      <c r="AO166" s="2086"/>
      <c r="AP166" s="2086"/>
      <c r="AQ166" s="2086"/>
      <c r="AR166" s="2086"/>
      <c r="AS166" s="2086"/>
      <c r="AT166" s="2086"/>
      <c r="AU166" s="2086"/>
      <c r="AV166" s="2086"/>
      <c r="AW166" s="2042">
        <f>J166</f>
        <v>528</v>
      </c>
      <c r="AX166" s="2042"/>
      <c r="AY166" s="2042"/>
      <c r="AZ166" s="2093"/>
      <c r="BA166" s="2042"/>
      <c r="BB166" s="2042"/>
      <c r="BC166" s="2042"/>
      <c r="BD166" s="2094">
        <f t="shared" si="44"/>
        <v>528</v>
      </c>
      <c r="BE166" s="2094">
        <f t="shared" si="45"/>
        <v>0</v>
      </c>
    </row>
    <row r="167" s="1988" customFormat="1" ht="36" customHeight="1" spans="1:57">
      <c r="A167" s="2018">
        <v>45839</v>
      </c>
      <c r="B167" s="2098" t="s">
        <v>818</v>
      </c>
      <c r="C167" s="1723" t="s">
        <v>819</v>
      </c>
      <c r="D167" s="2099">
        <v>4500171253</v>
      </c>
      <c r="E167" s="2100"/>
      <c r="F167" s="2019" t="s">
        <v>829</v>
      </c>
      <c r="G167" s="1989" t="s">
        <v>64</v>
      </c>
      <c r="H167" s="1989" t="s">
        <v>64</v>
      </c>
      <c r="I167" s="2103" t="s">
        <v>65</v>
      </c>
      <c r="J167" s="1989">
        <v>528</v>
      </c>
      <c r="K167" s="2037">
        <v>0</v>
      </c>
      <c r="L167" s="2038">
        <v>12</v>
      </c>
      <c r="M167" s="2039">
        <f t="shared" si="37"/>
        <v>44</v>
      </c>
      <c r="N167" s="2040">
        <v>45874</v>
      </c>
      <c r="O167" s="2040">
        <v>45870</v>
      </c>
      <c r="P167" s="1365" t="s">
        <v>821</v>
      </c>
      <c r="Q167" s="1363" t="s">
        <v>56</v>
      </c>
      <c r="R167" s="1363" t="s">
        <v>822</v>
      </c>
      <c r="S167" s="1406" t="s">
        <v>823</v>
      </c>
      <c r="T167" s="1364"/>
      <c r="U167" s="1364" t="s">
        <v>824</v>
      </c>
      <c r="V167" s="1365" t="s">
        <v>825</v>
      </c>
      <c r="W167" s="2055" t="s">
        <v>830</v>
      </c>
      <c r="X167" s="2087" t="s">
        <v>827</v>
      </c>
      <c r="Y167" s="2106">
        <v>3.8651</v>
      </c>
      <c r="Z167" s="2066">
        <f t="shared" si="43"/>
        <v>2040.7728</v>
      </c>
      <c r="AA167" s="2068" t="s">
        <v>828</v>
      </c>
      <c r="AB167" s="2107">
        <f>516+12</f>
        <v>528</v>
      </c>
      <c r="AC167" s="2068">
        <f t="shared" si="46"/>
        <v>0</v>
      </c>
      <c r="AD167" s="2108" t="s">
        <v>81</v>
      </c>
      <c r="AE167" s="1402" t="s">
        <v>63</v>
      </c>
      <c r="AF167" s="1402" t="s">
        <v>38</v>
      </c>
      <c r="AG167" s="1363"/>
      <c r="AH167" s="2073"/>
      <c r="AI167" s="2073">
        <f>J167</f>
        <v>528</v>
      </c>
      <c r="AJ167" s="2085"/>
      <c r="AK167" s="2086"/>
      <c r="AL167" s="2042">
        <f t="shared" si="47"/>
        <v>528</v>
      </c>
      <c r="AM167" s="2042"/>
      <c r="AN167" s="2086"/>
      <c r="AO167" s="2086"/>
      <c r="AP167" s="2086"/>
      <c r="AQ167" s="2086"/>
      <c r="AR167" s="2086"/>
      <c r="AS167" s="2086"/>
      <c r="AT167" s="2086"/>
      <c r="AU167" s="2086"/>
      <c r="AV167" s="2086"/>
      <c r="AW167" s="2042"/>
      <c r="AX167" s="2042">
        <f>J167</f>
        <v>528</v>
      </c>
      <c r="AY167" s="2042"/>
      <c r="AZ167" s="2093"/>
      <c r="BA167" s="2042"/>
      <c r="BB167" s="2042"/>
      <c r="BC167" s="2042"/>
      <c r="BD167" s="2094">
        <f t="shared" si="44"/>
        <v>528</v>
      </c>
      <c r="BE167" s="2094">
        <f t="shared" si="45"/>
        <v>0</v>
      </c>
    </row>
    <row r="168" s="1988" customFormat="1" ht="36" customHeight="1" spans="1:57">
      <c r="A168" s="2018">
        <v>45839</v>
      </c>
      <c r="B168" s="2098" t="s">
        <v>818</v>
      </c>
      <c r="C168" s="1723" t="s">
        <v>819</v>
      </c>
      <c r="D168" s="2099">
        <v>4500171253</v>
      </c>
      <c r="E168" s="2100"/>
      <c r="F168" s="2019" t="s">
        <v>831</v>
      </c>
      <c r="G168" s="1723" t="s">
        <v>66</v>
      </c>
      <c r="H168" s="1989" t="s">
        <v>66</v>
      </c>
      <c r="I168" s="2103" t="s">
        <v>67</v>
      </c>
      <c r="J168" s="1989">
        <v>528</v>
      </c>
      <c r="K168" s="2037">
        <v>0</v>
      </c>
      <c r="L168" s="2038">
        <v>12</v>
      </c>
      <c r="M168" s="2039">
        <f t="shared" si="37"/>
        <v>44</v>
      </c>
      <c r="N168" s="2040">
        <v>45874</v>
      </c>
      <c r="O168" s="2040">
        <v>45870</v>
      </c>
      <c r="P168" s="1365" t="s">
        <v>821</v>
      </c>
      <c r="Q168" s="1363" t="s">
        <v>56</v>
      </c>
      <c r="R168" s="1363" t="s">
        <v>822</v>
      </c>
      <c r="S168" s="1406" t="s">
        <v>823</v>
      </c>
      <c r="T168" s="1364"/>
      <c r="U168" s="1364" t="s">
        <v>824</v>
      </c>
      <c r="V168" s="1365" t="s">
        <v>825</v>
      </c>
      <c r="W168" s="2055" t="s">
        <v>832</v>
      </c>
      <c r="X168" s="2087" t="s">
        <v>827</v>
      </c>
      <c r="Y168" s="2106">
        <v>3.6399</v>
      </c>
      <c r="Z168" s="2066">
        <f t="shared" si="43"/>
        <v>1921.8672</v>
      </c>
      <c r="AA168" s="2068" t="s">
        <v>828</v>
      </c>
      <c r="AB168" s="2107">
        <f>516+12</f>
        <v>528</v>
      </c>
      <c r="AC168" s="2068">
        <f t="shared" si="46"/>
        <v>0</v>
      </c>
      <c r="AD168" s="2108" t="s">
        <v>81</v>
      </c>
      <c r="AE168" s="1402" t="s">
        <v>63</v>
      </c>
      <c r="AF168" s="1402" t="s">
        <v>38</v>
      </c>
      <c r="AG168" s="1363"/>
      <c r="AH168" s="2073"/>
      <c r="AI168" s="2073"/>
      <c r="AJ168" s="2085">
        <f>J168</f>
        <v>528</v>
      </c>
      <c r="AK168" s="2086"/>
      <c r="AL168" s="2042">
        <f t="shared" si="47"/>
        <v>528</v>
      </c>
      <c r="AM168" s="2042"/>
      <c r="AN168" s="2086"/>
      <c r="AO168" s="2086"/>
      <c r="AP168" s="2086"/>
      <c r="AQ168" s="2086"/>
      <c r="AR168" s="2086"/>
      <c r="AS168" s="2086"/>
      <c r="AT168" s="2086"/>
      <c r="AU168" s="2086"/>
      <c r="AV168" s="2086"/>
      <c r="AW168" s="2042"/>
      <c r="AX168" s="2042"/>
      <c r="AY168" s="2042">
        <f>J168</f>
        <v>528</v>
      </c>
      <c r="AZ168" s="2093"/>
      <c r="BA168" s="2042"/>
      <c r="BB168" s="2042"/>
      <c r="BC168" s="2042"/>
      <c r="BD168" s="2094">
        <f t="shared" si="44"/>
        <v>528</v>
      </c>
      <c r="BE168" s="2094">
        <f t="shared" si="45"/>
        <v>0</v>
      </c>
    </row>
    <row r="169" s="1988" customFormat="1" ht="36" customHeight="1" spans="1:57">
      <c r="A169" s="2018">
        <v>45838</v>
      </c>
      <c r="B169" s="2098" t="s">
        <v>833</v>
      </c>
      <c r="C169" s="1723" t="s">
        <v>91</v>
      </c>
      <c r="D169" s="2099">
        <v>4500171200</v>
      </c>
      <c r="E169" s="2100">
        <v>1613019</v>
      </c>
      <c r="F169" s="2019" t="s">
        <v>834</v>
      </c>
      <c r="G169" s="1989" t="s">
        <v>54</v>
      </c>
      <c r="H169" s="1989" t="s">
        <v>54</v>
      </c>
      <c r="I169" s="2103" t="s">
        <v>55</v>
      </c>
      <c r="J169" s="1989">
        <v>408</v>
      </c>
      <c r="K169" s="2037">
        <v>0</v>
      </c>
      <c r="L169" s="2038">
        <v>12</v>
      </c>
      <c r="M169" s="2039">
        <f t="shared" si="37"/>
        <v>34</v>
      </c>
      <c r="N169" s="2040">
        <v>45875</v>
      </c>
      <c r="O169" s="2040">
        <v>45871</v>
      </c>
      <c r="P169" s="1402"/>
      <c r="Q169" s="1363" t="s">
        <v>56</v>
      </c>
      <c r="R169" s="1363" t="s">
        <v>807</v>
      </c>
      <c r="S169" s="1406" t="s">
        <v>835</v>
      </c>
      <c r="T169" s="1364"/>
      <c r="U169" s="1405" t="s">
        <v>836</v>
      </c>
      <c r="V169" s="1365" t="s">
        <v>837</v>
      </c>
      <c r="W169" s="2055" t="s">
        <v>838</v>
      </c>
      <c r="X169" s="2087" t="s">
        <v>839</v>
      </c>
      <c r="Y169" s="2106">
        <v>2.2986</v>
      </c>
      <c r="Z169" s="2066">
        <f t="shared" si="43"/>
        <v>937.8288</v>
      </c>
      <c r="AA169" s="2068" t="s">
        <v>840</v>
      </c>
      <c r="AB169" s="2107">
        <v>408</v>
      </c>
      <c r="AC169" s="2068">
        <f t="shared" si="46"/>
        <v>0</v>
      </c>
      <c r="AD169" s="2108" t="s">
        <v>81</v>
      </c>
      <c r="AE169" s="1402" t="s">
        <v>63</v>
      </c>
      <c r="AF169" s="1402" t="s">
        <v>38</v>
      </c>
      <c r="AG169" s="1363"/>
      <c r="AH169" s="2073">
        <f>J169</f>
        <v>408</v>
      </c>
      <c r="AI169" s="2073"/>
      <c r="AJ169" s="2085"/>
      <c r="AK169" s="2086"/>
      <c r="AL169" s="2042">
        <f t="shared" si="47"/>
        <v>408</v>
      </c>
      <c r="AM169" s="2042"/>
      <c r="AN169" s="2086"/>
      <c r="AO169" s="2086"/>
      <c r="AP169" s="2086"/>
      <c r="AQ169" s="2086"/>
      <c r="AR169" s="2086"/>
      <c r="AS169" s="2086"/>
      <c r="AT169" s="2086"/>
      <c r="AU169" s="2086"/>
      <c r="AV169" s="2086"/>
      <c r="AW169" s="2042">
        <f>J169</f>
        <v>408</v>
      </c>
      <c r="AX169" s="2042"/>
      <c r="AY169" s="2042"/>
      <c r="AZ169" s="2093"/>
      <c r="BA169" s="2042"/>
      <c r="BB169" s="2042"/>
      <c r="BC169" s="2042"/>
      <c r="BD169" s="2094">
        <f t="shared" si="44"/>
        <v>408</v>
      </c>
      <c r="BE169" s="2094">
        <f t="shared" si="45"/>
        <v>0</v>
      </c>
    </row>
    <row r="170" s="1988" customFormat="1" ht="36" customHeight="1" spans="1:57">
      <c r="A170" s="2018">
        <v>45838</v>
      </c>
      <c r="B170" s="2098" t="s">
        <v>833</v>
      </c>
      <c r="C170" s="1723" t="s">
        <v>91</v>
      </c>
      <c r="D170" s="2099">
        <v>4500171200</v>
      </c>
      <c r="E170" s="2100">
        <v>1613019</v>
      </c>
      <c r="F170" s="2019" t="s">
        <v>841</v>
      </c>
      <c r="G170" s="1989" t="s">
        <v>64</v>
      </c>
      <c r="H170" s="1989" t="s">
        <v>64</v>
      </c>
      <c r="I170" s="2103" t="s">
        <v>65</v>
      </c>
      <c r="J170" s="1989">
        <v>408</v>
      </c>
      <c r="K170" s="2037">
        <v>0</v>
      </c>
      <c r="L170" s="2038">
        <v>12</v>
      </c>
      <c r="M170" s="2039">
        <f t="shared" si="37"/>
        <v>34</v>
      </c>
      <c r="N170" s="2040">
        <v>45875</v>
      </c>
      <c r="O170" s="2040">
        <v>45871</v>
      </c>
      <c r="P170" s="1402"/>
      <c r="Q170" s="1363" t="s">
        <v>56</v>
      </c>
      <c r="R170" s="1363" t="s">
        <v>807</v>
      </c>
      <c r="S170" s="1406" t="s">
        <v>835</v>
      </c>
      <c r="T170" s="1364"/>
      <c r="U170" s="1405" t="s">
        <v>836</v>
      </c>
      <c r="V170" s="1365" t="s">
        <v>837</v>
      </c>
      <c r="W170" s="2055" t="s">
        <v>838</v>
      </c>
      <c r="X170" s="2087" t="s">
        <v>839</v>
      </c>
      <c r="Y170" s="2106">
        <v>2.3191</v>
      </c>
      <c r="Z170" s="2066">
        <f t="shared" si="43"/>
        <v>946.1928</v>
      </c>
      <c r="AA170" s="2068" t="s">
        <v>840</v>
      </c>
      <c r="AB170" s="2107">
        <v>408</v>
      </c>
      <c r="AC170" s="2068">
        <f t="shared" si="46"/>
        <v>0</v>
      </c>
      <c r="AD170" s="2108" t="s">
        <v>81</v>
      </c>
      <c r="AE170" s="1402" t="s">
        <v>63</v>
      </c>
      <c r="AF170" s="1402" t="s">
        <v>38</v>
      </c>
      <c r="AG170" s="1363"/>
      <c r="AH170" s="2073"/>
      <c r="AI170" s="2073">
        <f>J170</f>
        <v>408</v>
      </c>
      <c r="AJ170" s="2085"/>
      <c r="AK170" s="2086"/>
      <c r="AL170" s="2042">
        <f t="shared" si="47"/>
        <v>408</v>
      </c>
      <c r="AM170" s="2042"/>
      <c r="AN170" s="2086"/>
      <c r="AO170" s="2086"/>
      <c r="AP170" s="2086"/>
      <c r="AQ170" s="2086"/>
      <c r="AR170" s="2086"/>
      <c r="AS170" s="2086"/>
      <c r="AT170" s="2086"/>
      <c r="AU170" s="2086"/>
      <c r="AV170" s="2086"/>
      <c r="AW170" s="2042"/>
      <c r="AX170" s="2042">
        <f>J170</f>
        <v>408</v>
      </c>
      <c r="AY170" s="2042"/>
      <c r="AZ170" s="2093"/>
      <c r="BA170" s="2042"/>
      <c r="BB170" s="2042"/>
      <c r="BC170" s="2042"/>
      <c r="BD170" s="2094">
        <f t="shared" si="44"/>
        <v>408</v>
      </c>
      <c r="BE170" s="2094">
        <f t="shared" si="45"/>
        <v>0</v>
      </c>
    </row>
    <row r="171" s="1988" customFormat="1" ht="36" customHeight="1" spans="1:57">
      <c r="A171" s="2018">
        <v>45841</v>
      </c>
      <c r="B171" s="2098" t="s">
        <v>842</v>
      </c>
      <c r="C171" s="1723" t="s">
        <v>429</v>
      </c>
      <c r="D171" s="2099">
        <v>4500172603</v>
      </c>
      <c r="E171" s="2100" t="s">
        <v>843</v>
      </c>
      <c r="F171" s="2099" t="s">
        <v>844</v>
      </c>
      <c r="G171" s="1989" t="s">
        <v>54</v>
      </c>
      <c r="H171" s="1989" t="s">
        <v>54</v>
      </c>
      <c r="I171" s="2103" t="s">
        <v>55</v>
      </c>
      <c r="J171" s="1989">
        <v>216</v>
      </c>
      <c r="K171" s="2037">
        <v>0</v>
      </c>
      <c r="L171" s="2038">
        <v>12</v>
      </c>
      <c r="M171" s="2039">
        <f t="shared" si="37"/>
        <v>18</v>
      </c>
      <c r="N171" s="2040">
        <v>45881</v>
      </c>
      <c r="O171" s="2040">
        <v>45877</v>
      </c>
      <c r="P171" s="1402"/>
      <c r="Q171" s="1363" t="s">
        <v>56</v>
      </c>
      <c r="R171" s="1363" t="s">
        <v>845</v>
      </c>
      <c r="S171" s="1406" t="s">
        <v>846</v>
      </c>
      <c r="T171" s="1364"/>
      <c r="U171" s="1405" t="s">
        <v>572</v>
      </c>
      <c r="V171" s="1365" t="s">
        <v>573</v>
      </c>
      <c r="W171" s="2055" t="s">
        <v>847</v>
      </c>
      <c r="X171" s="2087" t="s">
        <v>435</v>
      </c>
      <c r="Y171" s="2106">
        <v>3.7451</v>
      </c>
      <c r="Z171" s="2066">
        <f t="shared" si="43"/>
        <v>808.9416</v>
      </c>
      <c r="AA171" s="2068"/>
      <c r="AB171" s="2107">
        <v>216</v>
      </c>
      <c r="AC171" s="2068">
        <f t="shared" si="46"/>
        <v>0</v>
      </c>
      <c r="AD171" s="2108" t="s">
        <v>81</v>
      </c>
      <c r="AE171" s="1402" t="s">
        <v>63</v>
      </c>
      <c r="AF171" s="1402" t="s">
        <v>38</v>
      </c>
      <c r="AG171" s="1363"/>
      <c r="AH171" s="2073">
        <f>J171</f>
        <v>216</v>
      </c>
      <c r="AI171" s="2073"/>
      <c r="AJ171" s="2085"/>
      <c r="AK171" s="2086"/>
      <c r="AL171" s="2042">
        <f t="shared" si="47"/>
        <v>216</v>
      </c>
      <c r="AM171" s="2042"/>
      <c r="AN171" s="2086"/>
      <c r="AO171" s="2086"/>
      <c r="AP171" s="2086"/>
      <c r="AQ171" s="2086"/>
      <c r="AR171" s="2086"/>
      <c r="AS171" s="2086"/>
      <c r="AT171" s="2086"/>
      <c r="AU171" s="2086"/>
      <c r="AV171" s="2086"/>
      <c r="AW171" s="2042">
        <f>J171</f>
        <v>216</v>
      </c>
      <c r="AX171" s="2042"/>
      <c r="AY171" s="2042"/>
      <c r="AZ171" s="2093"/>
      <c r="BA171" s="2042"/>
      <c r="BB171" s="2042"/>
      <c r="BC171" s="2042"/>
      <c r="BD171" s="2094">
        <f t="shared" si="44"/>
        <v>216</v>
      </c>
      <c r="BE171" s="2094">
        <f t="shared" si="45"/>
        <v>0</v>
      </c>
    </row>
    <row r="172" s="1988" customFormat="1" ht="36" customHeight="1" spans="1:57">
      <c r="A172" s="2018">
        <v>45841</v>
      </c>
      <c r="B172" s="2098" t="s">
        <v>842</v>
      </c>
      <c r="C172" s="1723" t="s">
        <v>429</v>
      </c>
      <c r="D172" s="2099">
        <v>4500172603</v>
      </c>
      <c r="E172" s="2100" t="s">
        <v>843</v>
      </c>
      <c r="F172" s="2099" t="s">
        <v>848</v>
      </c>
      <c r="G172" s="1723" t="s">
        <v>66</v>
      </c>
      <c r="H172" s="1989" t="s">
        <v>66</v>
      </c>
      <c r="I172" s="2036" t="s">
        <v>67</v>
      </c>
      <c r="J172" s="1989">
        <v>324</v>
      </c>
      <c r="K172" s="2037">
        <v>0</v>
      </c>
      <c r="L172" s="2038">
        <v>12</v>
      </c>
      <c r="M172" s="2039">
        <f t="shared" si="37"/>
        <v>27</v>
      </c>
      <c r="N172" s="2040">
        <v>45881</v>
      </c>
      <c r="O172" s="2040">
        <v>45877</v>
      </c>
      <c r="P172" s="1402"/>
      <c r="Q172" s="1363" t="s">
        <v>56</v>
      </c>
      <c r="R172" s="1363" t="s">
        <v>845</v>
      </c>
      <c r="S172" s="1406" t="s">
        <v>846</v>
      </c>
      <c r="T172" s="1364"/>
      <c r="U172" s="1405" t="s">
        <v>576</v>
      </c>
      <c r="V172" s="1365" t="s">
        <v>573</v>
      </c>
      <c r="W172" s="2055" t="s">
        <v>849</v>
      </c>
      <c r="X172" s="2087" t="s">
        <v>435</v>
      </c>
      <c r="Y172" s="2065">
        <v>3.5541</v>
      </c>
      <c r="Z172" s="2066">
        <f t="shared" si="43"/>
        <v>1151.5284</v>
      </c>
      <c r="AA172" s="2068"/>
      <c r="AB172" s="2107">
        <v>324</v>
      </c>
      <c r="AC172" s="2068">
        <f t="shared" si="46"/>
        <v>0</v>
      </c>
      <c r="AD172" s="2108" t="s">
        <v>81</v>
      </c>
      <c r="AE172" s="1402" t="s">
        <v>63</v>
      </c>
      <c r="AF172" s="1402" t="s">
        <v>38</v>
      </c>
      <c r="AG172" s="1363"/>
      <c r="AH172" s="2073"/>
      <c r="AI172" s="2073"/>
      <c r="AJ172" s="2042">
        <f>J172</f>
        <v>324</v>
      </c>
      <c r="AK172" s="2086"/>
      <c r="AL172" s="2042">
        <f t="shared" si="47"/>
        <v>324</v>
      </c>
      <c r="AM172" s="2042"/>
      <c r="AN172" s="2086"/>
      <c r="AO172" s="2086"/>
      <c r="AP172" s="2086"/>
      <c r="AQ172" s="2086"/>
      <c r="AR172" s="2086"/>
      <c r="AS172" s="2086"/>
      <c r="AT172" s="2086"/>
      <c r="AU172" s="2086"/>
      <c r="AV172" s="2086"/>
      <c r="AW172" s="2042"/>
      <c r="AX172" s="2042"/>
      <c r="AY172" s="2042">
        <f>J172</f>
        <v>324</v>
      </c>
      <c r="AZ172" s="2093"/>
      <c r="BA172" s="2042"/>
      <c r="BB172" s="2042"/>
      <c r="BC172" s="2042"/>
      <c r="BD172" s="2094">
        <f t="shared" si="44"/>
        <v>324</v>
      </c>
      <c r="BE172" s="2094">
        <f t="shared" si="45"/>
        <v>0</v>
      </c>
    </row>
    <row r="173" s="1988" customFormat="1" ht="36" customHeight="1" spans="1:57">
      <c r="A173" s="2018">
        <v>45841</v>
      </c>
      <c r="B173" s="2098" t="s">
        <v>842</v>
      </c>
      <c r="C173" s="1723" t="s">
        <v>429</v>
      </c>
      <c r="D173" s="2099">
        <v>4500172603</v>
      </c>
      <c r="E173" s="2100" t="s">
        <v>843</v>
      </c>
      <c r="F173" s="2099" t="s">
        <v>850</v>
      </c>
      <c r="G173" s="1989" t="s">
        <v>64</v>
      </c>
      <c r="H173" s="1989" t="s">
        <v>64</v>
      </c>
      <c r="I173" s="2103" t="s">
        <v>65</v>
      </c>
      <c r="J173" s="1989">
        <v>252</v>
      </c>
      <c r="K173" s="2037">
        <v>0</v>
      </c>
      <c r="L173" s="2038">
        <v>12</v>
      </c>
      <c r="M173" s="2039">
        <f t="shared" si="37"/>
        <v>21</v>
      </c>
      <c r="N173" s="2040">
        <v>45881</v>
      </c>
      <c r="O173" s="2040">
        <v>45877</v>
      </c>
      <c r="P173" s="1402"/>
      <c r="Q173" s="1363" t="s">
        <v>56</v>
      </c>
      <c r="R173" s="1363" t="s">
        <v>845</v>
      </c>
      <c r="S173" s="1406" t="s">
        <v>846</v>
      </c>
      <c r="T173" s="1364"/>
      <c r="U173" s="1405" t="s">
        <v>572</v>
      </c>
      <c r="V173" s="1365" t="s">
        <v>573</v>
      </c>
      <c r="W173" s="2055" t="s">
        <v>851</v>
      </c>
      <c r="X173" s="2087" t="s">
        <v>435</v>
      </c>
      <c r="Y173" s="2106">
        <v>3.8651</v>
      </c>
      <c r="Z173" s="2066">
        <f t="shared" si="43"/>
        <v>974.0052</v>
      </c>
      <c r="AA173" s="2068"/>
      <c r="AB173" s="2107">
        <v>252</v>
      </c>
      <c r="AC173" s="2068">
        <f t="shared" si="46"/>
        <v>0</v>
      </c>
      <c r="AD173" s="2108" t="s">
        <v>81</v>
      </c>
      <c r="AE173" s="1402" t="s">
        <v>63</v>
      </c>
      <c r="AF173" s="1402" t="s">
        <v>38</v>
      </c>
      <c r="AG173" s="1363"/>
      <c r="AH173" s="2073"/>
      <c r="AI173" s="2073">
        <f>J173</f>
        <v>252</v>
      </c>
      <c r="AJ173" s="2085"/>
      <c r="AK173" s="2086"/>
      <c r="AL173" s="2042">
        <f t="shared" si="47"/>
        <v>252</v>
      </c>
      <c r="AM173" s="2042"/>
      <c r="AN173" s="2086"/>
      <c r="AO173" s="2086"/>
      <c r="AP173" s="2086"/>
      <c r="AQ173" s="2086"/>
      <c r="AR173" s="2086"/>
      <c r="AS173" s="2086"/>
      <c r="AT173" s="2086"/>
      <c r="AU173" s="2086"/>
      <c r="AV173" s="2086"/>
      <c r="AW173" s="2042"/>
      <c r="AX173" s="2042">
        <f>J173</f>
        <v>252</v>
      </c>
      <c r="AY173" s="2042"/>
      <c r="AZ173" s="2093"/>
      <c r="BA173" s="2042"/>
      <c r="BB173" s="2042"/>
      <c r="BC173" s="2042"/>
      <c r="BD173" s="2094">
        <f t="shared" si="44"/>
        <v>252</v>
      </c>
      <c r="BE173" s="2094">
        <f t="shared" si="45"/>
        <v>0</v>
      </c>
    </row>
    <row r="174" s="1988" customFormat="1" ht="36" customHeight="1" spans="1:57">
      <c r="A174" s="2018">
        <v>45839</v>
      </c>
      <c r="B174" s="2098" t="s">
        <v>230</v>
      </c>
      <c r="C174" s="1723" t="s">
        <v>91</v>
      </c>
      <c r="D174" s="2099">
        <v>4500172108</v>
      </c>
      <c r="E174" s="2100">
        <v>60235050</v>
      </c>
      <c r="F174" s="2019" t="s">
        <v>852</v>
      </c>
      <c r="G174" s="1989" t="s">
        <v>54</v>
      </c>
      <c r="H174" s="1989" t="s">
        <v>54</v>
      </c>
      <c r="I174" s="2103" t="s">
        <v>55</v>
      </c>
      <c r="J174" s="1989">
        <v>3696</v>
      </c>
      <c r="K174" s="2037">
        <v>0</v>
      </c>
      <c r="L174" s="2038">
        <v>12</v>
      </c>
      <c r="M174" s="2039">
        <f t="shared" si="37"/>
        <v>308</v>
      </c>
      <c r="N174" s="2040">
        <v>45883</v>
      </c>
      <c r="O174" s="2040">
        <v>45880</v>
      </c>
      <c r="P174" s="1402"/>
      <c r="Q174" s="1363" t="s">
        <v>56</v>
      </c>
      <c r="R174" s="1363" t="s">
        <v>853</v>
      </c>
      <c r="S174" s="1406" t="s">
        <v>854</v>
      </c>
      <c r="T174" s="1364"/>
      <c r="U174" s="1364" t="s">
        <v>855</v>
      </c>
      <c r="V174" s="1365" t="s">
        <v>235</v>
      </c>
      <c r="W174" s="2055" t="s">
        <v>816</v>
      </c>
      <c r="X174" s="2087" t="s">
        <v>237</v>
      </c>
      <c r="Y174" s="2106">
        <v>1.9676</v>
      </c>
      <c r="Z174" s="2066">
        <f t="shared" si="43"/>
        <v>7272.2496</v>
      </c>
      <c r="AA174" s="2068"/>
      <c r="AB174" s="2107">
        <v>3696</v>
      </c>
      <c r="AC174" s="2068">
        <f t="shared" si="46"/>
        <v>0</v>
      </c>
      <c r="AD174" s="2108" t="s">
        <v>81</v>
      </c>
      <c r="AE174" s="1402" t="s">
        <v>63</v>
      </c>
      <c r="AF174" s="1402" t="s">
        <v>38</v>
      </c>
      <c r="AG174" s="1363"/>
      <c r="AH174" s="2073">
        <f>J174</f>
        <v>3696</v>
      </c>
      <c r="AI174" s="2073"/>
      <c r="AJ174" s="2085"/>
      <c r="AK174" s="2086"/>
      <c r="AL174" s="2042">
        <f t="shared" si="47"/>
        <v>3696</v>
      </c>
      <c r="AM174" s="2042"/>
      <c r="AN174" s="2086"/>
      <c r="AO174" s="2086"/>
      <c r="AP174" s="2086"/>
      <c r="AQ174" s="2086"/>
      <c r="AR174" s="2086"/>
      <c r="AS174" s="2086"/>
      <c r="AT174" s="2086"/>
      <c r="AU174" s="2086"/>
      <c r="AV174" s="2086"/>
      <c r="AW174" s="2042">
        <f>J174</f>
        <v>3696</v>
      </c>
      <c r="AX174" s="2042"/>
      <c r="AY174" s="2042"/>
      <c r="AZ174" s="2093"/>
      <c r="BA174" s="2042"/>
      <c r="BB174" s="2042"/>
      <c r="BC174" s="2042"/>
      <c r="BD174" s="2094">
        <f t="shared" si="44"/>
        <v>3696</v>
      </c>
      <c r="BE174" s="2094">
        <f t="shared" si="45"/>
        <v>0</v>
      </c>
    </row>
    <row r="175" s="1988" customFormat="1" ht="36" customHeight="1" spans="1:57">
      <c r="A175" s="2018">
        <v>45855</v>
      </c>
      <c r="B175" s="2098" t="s">
        <v>856</v>
      </c>
      <c r="C175" s="1723" t="s">
        <v>178</v>
      </c>
      <c r="D175" s="2099">
        <v>4500174162</v>
      </c>
      <c r="E175" s="2100" t="s">
        <v>857</v>
      </c>
      <c r="F175" s="2019" t="s">
        <v>858</v>
      </c>
      <c r="G175" s="1723" t="s">
        <v>125</v>
      </c>
      <c r="H175" s="1989" t="s">
        <v>54</v>
      </c>
      <c r="I175" s="2103" t="s">
        <v>55</v>
      </c>
      <c r="J175" s="1989">
        <v>1008</v>
      </c>
      <c r="K175" s="2037">
        <v>0</v>
      </c>
      <c r="L175" s="2038">
        <v>12</v>
      </c>
      <c r="M175" s="2039">
        <f t="shared" si="37"/>
        <v>84</v>
      </c>
      <c r="N175" s="2040">
        <v>45888</v>
      </c>
      <c r="O175" s="2040">
        <v>45884</v>
      </c>
      <c r="P175" s="1402" t="s">
        <v>859</v>
      </c>
      <c r="Q175" s="1363" t="s">
        <v>56</v>
      </c>
      <c r="R175" s="1363" t="s">
        <v>860</v>
      </c>
      <c r="S175" s="1406" t="s">
        <v>861</v>
      </c>
      <c r="T175" s="1364"/>
      <c r="U175" s="1405" t="s">
        <v>862</v>
      </c>
      <c r="V175" s="1365" t="s">
        <v>863</v>
      </c>
      <c r="W175" s="2055" t="s">
        <v>864</v>
      </c>
      <c r="X175" s="2087" t="s">
        <v>609</v>
      </c>
      <c r="Y175" s="2106">
        <v>3.4758</v>
      </c>
      <c r="Z175" s="2066">
        <f t="shared" si="43"/>
        <v>3503.6064</v>
      </c>
      <c r="AA175" s="2068" t="s">
        <v>865</v>
      </c>
      <c r="AB175" s="2107">
        <v>1008</v>
      </c>
      <c r="AC175" s="2068">
        <f t="shared" ref="AC175:AC203" si="48">AB175-J175</f>
        <v>0</v>
      </c>
      <c r="AD175" s="2108" t="s">
        <v>81</v>
      </c>
      <c r="AE175" s="1402" t="s">
        <v>63</v>
      </c>
      <c r="AF175" s="1402" t="s">
        <v>38</v>
      </c>
      <c r="AG175" s="1363"/>
      <c r="AH175" s="2073">
        <f>J175</f>
        <v>1008</v>
      </c>
      <c r="AI175" s="2073"/>
      <c r="AJ175" s="2085"/>
      <c r="AK175" s="2086"/>
      <c r="AL175" s="2042"/>
      <c r="AM175" s="2042">
        <f>J175</f>
        <v>1008</v>
      </c>
      <c r="AN175" s="2086"/>
      <c r="AO175" s="2086"/>
      <c r="AP175" s="2086"/>
      <c r="AQ175" s="2086"/>
      <c r="AR175" s="2086"/>
      <c r="AS175" s="2086"/>
      <c r="AT175" s="2086"/>
      <c r="AU175" s="2086"/>
      <c r="AV175" s="2086"/>
      <c r="AW175" s="2042">
        <f>J175</f>
        <v>1008</v>
      </c>
      <c r="AX175" s="2042"/>
      <c r="AY175" s="2042"/>
      <c r="AZ175" s="2093"/>
      <c r="BA175" s="2042"/>
      <c r="BB175" s="2042"/>
      <c r="BC175" s="2042"/>
      <c r="BD175" s="2094">
        <f t="shared" si="44"/>
        <v>1008</v>
      </c>
      <c r="BE175" s="2094">
        <f t="shared" si="45"/>
        <v>0</v>
      </c>
    </row>
    <row r="176" s="1988" customFormat="1" ht="36" customHeight="1" spans="1:57">
      <c r="A176" s="2018">
        <v>45840</v>
      </c>
      <c r="B176" s="2098" t="s">
        <v>866</v>
      </c>
      <c r="C176" s="1723" t="s">
        <v>112</v>
      </c>
      <c r="D176" s="2099">
        <v>4500172447</v>
      </c>
      <c r="E176" s="2100" t="s">
        <v>867</v>
      </c>
      <c r="F176" s="2019" t="s">
        <v>868</v>
      </c>
      <c r="G176" s="1989" t="s">
        <v>611</v>
      </c>
      <c r="H176" s="1989" t="s">
        <v>611</v>
      </c>
      <c r="I176" s="2103" t="s">
        <v>67</v>
      </c>
      <c r="J176" s="1989">
        <v>1092</v>
      </c>
      <c r="K176" s="2037">
        <v>0</v>
      </c>
      <c r="L176" s="2038">
        <v>6</v>
      </c>
      <c r="M176" s="2039">
        <f t="shared" si="37"/>
        <v>182</v>
      </c>
      <c r="N176" s="2040">
        <v>45884</v>
      </c>
      <c r="O176" s="2040">
        <v>45880</v>
      </c>
      <c r="P176" s="1402"/>
      <c r="Q176" s="1363" t="s">
        <v>56</v>
      </c>
      <c r="R176" s="1363" t="s">
        <v>869</v>
      </c>
      <c r="S176" s="1406" t="s">
        <v>870</v>
      </c>
      <c r="T176" s="1364"/>
      <c r="U176" s="1405" t="s">
        <v>871</v>
      </c>
      <c r="V176" s="1365" t="s">
        <v>235</v>
      </c>
      <c r="W176" s="2055" t="s">
        <v>872</v>
      </c>
      <c r="X176" s="2087" t="s">
        <v>120</v>
      </c>
      <c r="Y176" s="2106">
        <v>3.3602</v>
      </c>
      <c r="Z176" s="2066">
        <f t="shared" si="43"/>
        <v>3669.3384</v>
      </c>
      <c r="AA176" s="2068"/>
      <c r="AB176" s="2107">
        <v>1092</v>
      </c>
      <c r="AC176" s="2068">
        <f t="shared" si="48"/>
        <v>0</v>
      </c>
      <c r="AD176" s="2108" t="s">
        <v>81</v>
      </c>
      <c r="AE176" s="1402" t="s">
        <v>63</v>
      </c>
      <c r="AF176" s="1402" t="s">
        <v>38</v>
      </c>
      <c r="AG176" s="1363"/>
      <c r="AH176" s="2073"/>
      <c r="AI176" s="2073"/>
      <c r="AJ176" s="2085">
        <f>J176</f>
        <v>1092</v>
      </c>
      <c r="AK176" s="2086"/>
      <c r="AL176" s="2042">
        <f t="shared" ref="AL176:AL189" si="49">J176</f>
        <v>1092</v>
      </c>
      <c r="AM176" s="2042"/>
      <c r="AN176" s="2086"/>
      <c r="AO176" s="2086"/>
      <c r="AP176" s="2086"/>
      <c r="AQ176" s="2086"/>
      <c r="AR176" s="2086"/>
      <c r="AS176" s="2086"/>
      <c r="AT176" s="2086"/>
      <c r="AU176" s="2086"/>
      <c r="AV176" s="2086"/>
      <c r="AW176" s="2042"/>
      <c r="AX176" s="2042"/>
      <c r="AY176" s="2042">
        <f>J176</f>
        <v>1092</v>
      </c>
      <c r="AZ176" s="2093"/>
      <c r="BA176" s="2042"/>
      <c r="BB176" s="2042"/>
      <c r="BC176" s="2042"/>
      <c r="BD176" s="2094">
        <f t="shared" si="44"/>
        <v>1092</v>
      </c>
      <c r="BE176" s="2094">
        <f t="shared" si="45"/>
        <v>0</v>
      </c>
    </row>
    <row r="177" s="1988" customFormat="1" ht="36" customHeight="1" spans="1:57">
      <c r="A177" s="2018">
        <v>45840</v>
      </c>
      <c r="B177" s="2098" t="s">
        <v>866</v>
      </c>
      <c r="C177" s="1723" t="s">
        <v>112</v>
      </c>
      <c r="D177" s="2099">
        <v>4500172447</v>
      </c>
      <c r="E177" s="2100" t="s">
        <v>867</v>
      </c>
      <c r="F177" s="2019" t="s">
        <v>873</v>
      </c>
      <c r="G177" s="1989" t="s">
        <v>611</v>
      </c>
      <c r="H177" s="1989" t="s">
        <v>611</v>
      </c>
      <c r="I177" s="2103" t="s">
        <v>67</v>
      </c>
      <c r="J177" s="1989">
        <v>468</v>
      </c>
      <c r="K177" s="2037">
        <v>0</v>
      </c>
      <c r="L177" s="2038">
        <v>6</v>
      </c>
      <c r="M177" s="2039">
        <f t="shared" si="37"/>
        <v>78</v>
      </c>
      <c r="N177" s="2040">
        <v>45884</v>
      </c>
      <c r="O177" s="2040">
        <v>45880</v>
      </c>
      <c r="P177" s="1402"/>
      <c r="Q177" s="1363" t="s">
        <v>56</v>
      </c>
      <c r="R177" s="1363"/>
      <c r="S177" s="1406" t="s">
        <v>870</v>
      </c>
      <c r="T177" s="1364"/>
      <c r="U177" s="1405" t="s">
        <v>871</v>
      </c>
      <c r="V177" s="1365" t="s">
        <v>235</v>
      </c>
      <c r="W177" s="2055" t="s">
        <v>872</v>
      </c>
      <c r="X177" s="2087" t="s">
        <v>120</v>
      </c>
      <c r="Y177" s="2106">
        <v>3.3602</v>
      </c>
      <c r="Z177" s="2066">
        <f t="shared" si="43"/>
        <v>1572.5736</v>
      </c>
      <c r="AA177" s="2068" t="s">
        <v>874</v>
      </c>
      <c r="AB177" s="2107">
        <v>468</v>
      </c>
      <c r="AC177" s="2068">
        <f t="shared" si="48"/>
        <v>0</v>
      </c>
      <c r="AD177" s="2108" t="s">
        <v>81</v>
      </c>
      <c r="AE177" s="1402" t="s">
        <v>63</v>
      </c>
      <c r="AF177" s="1402" t="s">
        <v>38</v>
      </c>
      <c r="AG177" s="1363"/>
      <c r="AH177" s="2073"/>
      <c r="AI177" s="2073"/>
      <c r="AJ177" s="2085">
        <f>J177</f>
        <v>468</v>
      </c>
      <c r="AK177" s="2086"/>
      <c r="AL177" s="2042">
        <f t="shared" si="49"/>
        <v>468</v>
      </c>
      <c r="AM177" s="2042"/>
      <c r="AN177" s="2086"/>
      <c r="AO177" s="2086"/>
      <c r="AP177" s="2086"/>
      <c r="AQ177" s="2086"/>
      <c r="AR177" s="2086"/>
      <c r="AS177" s="2086"/>
      <c r="AT177" s="2086"/>
      <c r="AU177" s="2086"/>
      <c r="AV177" s="2086"/>
      <c r="AW177" s="2042"/>
      <c r="AX177" s="2042"/>
      <c r="AY177" s="2042">
        <f>J177</f>
        <v>468</v>
      </c>
      <c r="AZ177" s="2093"/>
      <c r="BA177" s="2042"/>
      <c r="BB177" s="2042"/>
      <c r="BC177" s="2042"/>
      <c r="BD177" s="2094">
        <f t="shared" si="44"/>
        <v>468</v>
      </c>
      <c r="BE177" s="2094">
        <f t="shared" si="45"/>
        <v>0</v>
      </c>
    </row>
    <row r="178" s="1988" customFormat="1" ht="36" customHeight="1" spans="1:57">
      <c r="A178" s="2018">
        <v>45846</v>
      </c>
      <c r="B178" s="2098" t="s">
        <v>875</v>
      </c>
      <c r="C178" s="1723" t="s">
        <v>876</v>
      </c>
      <c r="D178" s="2114">
        <v>4500173090</v>
      </c>
      <c r="E178" s="2100" t="s">
        <v>877</v>
      </c>
      <c r="F178" s="2099" t="s">
        <v>878</v>
      </c>
      <c r="G178" s="1989" t="s">
        <v>685</v>
      </c>
      <c r="H178" s="1989" t="s">
        <v>686</v>
      </c>
      <c r="I178" s="2103" t="s">
        <v>484</v>
      </c>
      <c r="J178" s="1989">
        <v>36</v>
      </c>
      <c r="K178" s="2037">
        <v>0</v>
      </c>
      <c r="L178" s="2038">
        <v>12</v>
      </c>
      <c r="M178" s="2039">
        <f t="shared" si="37"/>
        <v>3</v>
      </c>
      <c r="N178" s="2040">
        <v>45884</v>
      </c>
      <c r="O178" s="2040">
        <v>45880</v>
      </c>
      <c r="P178" s="1402"/>
      <c r="Q178" s="1363" t="s">
        <v>56</v>
      </c>
      <c r="R178" s="2137" t="s">
        <v>869</v>
      </c>
      <c r="S178" s="1406" t="s">
        <v>814</v>
      </c>
      <c r="T178" s="1364"/>
      <c r="U178" s="1405" t="s">
        <v>879</v>
      </c>
      <c r="V178" s="1365" t="s">
        <v>880</v>
      </c>
      <c r="W178" s="2055" t="s">
        <v>881</v>
      </c>
      <c r="X178" s="2087" t="s">
        <v>882</v>
      </c>
      <c r="Y178" s="2106">
        <v>47.1687</v>
      </c>
      <c r="Z178" s="2066">
        <f t="shared" ref="Z178:Z183" si="50">Y178*M178</f>
        <v>141.5061</v>
      </c>
      <c r="AA178" s="2068"/>
      <c r="AB178" s="2107">
        <v>36</v>
      </c>
      <c r="AC178" s="2068">
        <f t="shared" si="48"/>
        <v>0</v>
      </c>
      <c r="AD178" s="2108" t="s">
        <v>81</v>
      </c>
      <c r="AE178" s="1402" t="s">
        <v>63</v>
      </c>
      <c r="AF178" s="1402" t="s">
        <v>38</v>
      </c>
      <c r="AG178" s="1363"/>
      <c r="AH178" s="2073">
        <f t="shared" ref="AH178:AH183" si="51">J178/3</f>
        <v>12</v>
      </c>
      <c r="AI178" s="2073">
        <f t="shared" ref="AI178:AI183" si="52">J178/3</f>
        <v>12</v>
      </c>
      <c r="AJ178" s="2085">
        <f t="shared" ref="AJ178:AJ183" si="53">J178/3</f>
        <v>12</v>
      </c>
      <c r="AK178" s="2086"/>
      <c r="AL178" s="2042">
        <f t="shared" si="49"/>
        <v>36</v>
      </c>
      <c r="AM178" s="2042"/>
      <c r="AN178" s="2086"/>
      <c r="AO178" s="2086"/>
      <c r="AP178" s="2086"/>
      <c r="AQ178" s="2086"/>
      <c r="AR178" s="2086"/>
      <c r="AS178" s="2086"/>
      <c r="AT178" s="2086"/>
      <c r="AU178" s="2086"/>
      <c r="AV178" s="2086"/>
      <c r="AW178" s="2042">
        <f t="shared" ref="AW178:AW183" si="54">J178/3</f>
        <v>12</v>
      </c>
      <c r="AX178" s="2042">
        <f t="shared" ref="AX178:AX183" si="55">J178/3</f>
        <v>12</v>
      </c>
      <c r="AY178" s="2042">
        <f t="shared" ref="AY178:AY183" si="56">J178/3</f>
        <v>12</v>
      </c>
      <c r="AZ178" s="2093"/>
      <c r="BA178" s="2042"/>
      <c r="BB178" s="2042"/>
      <c r="BC178" s="2042"/>
      <c r="BD178" s="2094">
        <f t="shared" si="44"/>
        <v>36</v>
      </c>
      <c r="BE178" s="2094">
        <f t="shared" si="45"/>
        <v>0</v>
      </c>
    </row>
    <row r="179" s="1988" customFormat="1" ht="36" customHeight="1" spans="1:57">
      <c r="A179" s="2018">
        <v>45846</v>
      </c>
      <c r="B179" s="2098" t="s">
        <v>875</v>
      </c>
      <c r="C179" s="1723" t="s">
        <v>876</v>
      </c>
      <c r="D179" s="2114">
        <v>4500173087</v>
      </c>
      <c r="E179" s="2100" t="s">
        <v>883</v>
      </c>
      <c r="F179" s="2099" t="s">
        <v>884</v>
      </c>
      <c r="G179" s="1989" t="s">
        <v>685</v>
      </c>
      <c r="H179" s="1989" t="s">
        <v>686</v>
      </c>
      <c r="I179" s="2103" t="s">
        <v>484</v>
      </c>
      <c r="J179" s="1989">
        <v>144</v>
      </c>
      <c r="K179" s="2037">
        <v>0</v>
      </c>
      <c r="L179" s="2038">
        <v>12</v>
      </c>
      <c r="M179" s="2039">
        <f t="shared" si="37"/>
        <v>12</v>
      </c>
      <c r="N179" s="2040">
        <v>45884</v>
      </c>
      <c r="O179" s="2040">
        <v>45880</v>
      </c>
      <c r="P179" s="1402"/>
      <c r="Q179" s="1363" t="s">
        <v>56</v>
      </c>
      <c r="R179" s="1363"/>
      <c r="S179" s="1406" t="s">
        <v>814</v>
      </c>
      <c r="T179" s="1364"/>
      <c r="U179" s="1405" t="s">
        <v>879</v>
      </c>
      <c r="V179" s="1365" t="s">
        <v>880</v>
      </c>
      <c r="W179" s="2055" t="s">
        <v>885</v>
      </c>
      <c r="X179" s="2087" t="s">
        <v>882</v>
      </c>
      <c r="Y179" s="2106">
        <v>47.1687</v>
      </c>
      <c r="Z179" s="2066">
        <f t="shared" si="50"/>
        <v>566.0244</v>
      </c>
      <c r="AA179" s="2068"/>
      <c r="AB179" s="2107">
        <v>144</v>
      </c>
      <c r="AC179" s="2068">
        <f t="shared" si="48"/>
        <v>0</v>
      </c>
      <c r="AD179" s="2108" t="s">
        <v>81</v>
      </c>
      <c r="AE179" s="1402" t="s">
        <v>63</v>
      </c>
      <c r="AF179" s="1402" t="s">
        <v>38</v>
      </c>
      <c r="AG179" s="1363"/>
      <c r="AH179" s="2073">
        <f t="shared" si="51"/>
        <v>48</v>
      </c>
      <c r="AI179" s="2073">
        <f t="shared" si="52"/>
        <v>48</v>
      </c>
      <c r="AJ179" s="2085">
        <f t="shared" si="53"/>
        <v>48</v>
      </c>
      <c r="AK179" s="2086"/>
      <c r="AL179" s="2042">
        <f t="shared" si="49"/>
        <v>144</v>
      </c>
      <c r="AM179" s="2042"/>
      <c r="AN179" s="2086"/>
      <c r="AO179" s="2086"/>
      <c r="AP179" s="2086"/>
      <c r="AQ179" s="2086"/>
      <c r="AR179" s="2086"/>
      <c r="AS179" s="2086"/>
      <c r="AT179" s="2086"/>
      <c r="AU179" s="2086"/>
      <c r="AV179" s="2086"/>
      <c r="AW179" s="2042">
        <f t="shared" si="54"/>
        <v>48</v>
      </c>
      <c r="AX179" s="2042">
        <f t="shared" si="55"/>
        <v>48</v>
      </c>
      <c r="AY179" s="2042">
        <f t="shared" si="56"/>
        <v>48</v>
      </c>
      <c r="AZ179" s="2093"/>
      <c r="BA179" s="2042"/>
      <c r="BB179" s="2042"/>
      <c r="BC179" s="2042"/>
      <c r="BD179" s="2094">
        <f t="shared" si="44"/>
        <v>144</v>
      </c>
      <c r="BE179" s="2094">
        <f t="shared" si="45"/>
        <v>0</v>
      </c>
    </row>
    <row r="180" s="1988" customFormat="1" ht="36" customHeight="1" spans="1:57">
      <c r="A180" s="2018">
        <v>45846</v>
      </c>
      <c r="B180" s="2098" t="s">
        <v>875</v>
      </c>
      <c r="C180" s="1723" t="s">
        <v>876</v>
      </c>
      <c r="D180" s="2114">
        <v>4500173094</v>
      </c>
      <c r="E180" s="2100" t="s">
        <v>886</v>
      </c>
      <c r="F180" s="2099" t="s">
        <v>887</v>
      </c>
      <c r="G180" s="1989" t="s">
        <v>685</v>
      </c>
      <c r="H180" s="1989" t="s">
        <v>686</v>
      </c>
      <c r="I180" s="2103" t="s">
        <v>484</v>
      </c>
      <c r="J180" s="1989">
        <v>36</v>
      </c>
      <c r="K180" s="2037">
        <v>0</v>
      </c>
      <c r="L180" s="2038">
        <v>12</v>
      </c>
      <c r="M180" s="2039">
        <f t="shared" si="37"/>
        <v>3</v>
      </c>
      <c r="N180" s="2040">
        <v>45884</v>
      </c>
      <c r="O180" s="2040">
        <v>45880</v>
      </c>
      <c r="P180" s="1402"/>
      <c r="Q180" s="1363" t="s">
        <v>56</v>
      </c>
      <c r="R180" s="1363" t="s">
        <v>888</v>
      </c>
      <c r="S180" s="1406" t="s">
        <v>814</v>
      </c>
      <c r="T180" s="1364"/>
      <c r="U180" s="1405" t="s">
        <v>879</v>
      </c>
      <c r="V180" s="1365" t="s">
        <v>880</v>
      </c>
      <c r="W180" s="2055" t="s">
        <v>889</v>
      </c>
      <c r="X180" s="2087" t="s">
        <v>882</v>
      </c>
      <c r="Y180" s="2106">
        <v>47.4687</v>
      </c>
      <c r="Z180" s="2066">
        <f t="shared" si="50"/>
        <v>142.4061</v>
      </c>
      <c r="AA180" s="2068"/>
      <c r="AB180" s="2107">
        <v>36</v>
      </c>
      <c r="AC180" s="2068">
        <f t="shared" si="48"/>
        <v>0</v>
      </c>
      <c r="AD180" s="2108" t="s">
        <v>81</v>
      </c>
      <c r="AE180" s="1402" t="s">
        <v>63</v>
      </c>
      <c r="AF180" s="1402" t="s">
        <v>38</v>
      </c>
      <c r="AG180" s="1363"/>
      <c r="AH180" s="2073">
        <f t="shared" si="51"/>
        <v>12</v>
      </c>
      <c r="AI180" s="2073">
        <f t="shared" si="52"/>
        <v>12</v>
      </c>
      <c r="AJ180" s="2085">
        <f t="shared" si="53"/>
        <v>12</v>
      </c>
      <c r="AK180" s="2086"/>
      <c r="AL180" s="2042">
        <f t="shared" si="49"/>
        <v>36</v>
      </c>
      <c r="AM180" s="2042"/>
      <c r="AN180" s="2086"/>
      <c r="AO180" s="2086"/>
      <c r="AP180" s="2086"/>
      <c r="AQ180" s="2086"/>
      <c r="AR180" s="2086"/>
      <c r="AS180" s="2086"/>
      <c r="AT180" s="2086"/>
      <c r="AU180" s="2086"/>
      <c r="AV180" s="2086"/>
      <c r="AW180" s="2042">
        <f t="shared" si="54"/>
        <v>12</v>
      </c>
      <c r="AX180" s="2042">
        <f t="shared" si="55"/>
        <v>12</v>
      </c>
      <c r="AY180" s="2042">
        <f t="shared" si="56"/>
        <v>12</v>
      </c>
      <c r="AZ180" s="2093"/>
      <c r="BA180" s="2042"/>
      <c r="BB180" s="2042"/>
      <c r="BC180" s="2042"/>
      <c r="BD180" s="2094">
        <f t="shared" ref="BD180:BD207" si="57">SUM(AH180:AJ180)</f>
        <v>36</v>
      </c>
      <c r="BE180" s="2094">
        <f t="shared" ref="BE180:BE207" si="58">BD180-J180</f>
        <v>0</v>
      </c>
    </row>
    <row r="181" s="1988" customFormat="1" ht="36" customHeight="1" spans="1:57">
      <c r="A181" s="2018">
        <v>45846</v>
      </c>
      <c r="B181" s="2098" t="s">
        <v>875</v>
      </c>
      <c r="C181" s="1723" t="s">
        <v>876</v>
      </c>
      <c r="D181" s="2114">
        <v>4500173092</v>
      </c>
      <c r="E181" s="2100" t="s">
        <v>890</v>
      </c>
      <c r="F181" s="2099" t="s">
        <v>891</v>
      </c>
      <c r="G181" s="1989" t="s">
        <v>685</v>
      </c>
      <c r="H181" s="1989" t="s">
        <v>686</v>
      </c>
      <c r="I181" s="2103" t="s">
        <v>484</v>
      </c>
      <c r="J181" s="1989">
        <v>72</v>
      </c>
      <c r="K181" s="2037">
        <v>0</v>
      </c>
      <c r="L181" s="2038">
        <v>12</v>
      </c>
      <c r="M181" s="2039">
        <f t="shared" si="37"/>
        <v>6</v>
      </c>
      <c r="N181" s="2040">
        <v>45884</v>
      </c>
      <c r="O181" s="2040">
        <v>45880</v>
      </c>
      <c r="P181" s="1402"/>
      <c r="Q181" s="1363" t="s">
        <v>56</v>
      </c>
      <c r="R181" s="1363" t="s">
        <v>892</v>
      </c>
      <c r="S181" s="1406" t="s">
        <v>814</v>
      </c>
      <c r="T181" s="1364"/>
      <c r="U181" s="1405" t="s">
        <v>879</v>
      </c>
      <c r="V181" s="1365" t="s">
        <v>880</v>
      </c>
      <c r="W181" s="2055" t="s">
        <v>893</v>
      </c>
      <c r="X181" s="2087" t="s">
        <v>882</v>
      </c>
      <c r="Y181" s="2106">
        <v>47.4687</v>
      </c>
      <c r="Z181" s="2066">
        <f t="shared" si="50"/>
        <v>284.8122</v>
      </c>
      <c r="AA181" s="2068"/>
      <c r="AB181" s="2107">
        <v>72</v>
      </c>
      <c r="AC181" s="2068">
        <f t="shared" si="48"/>
        <v>0</v>
      </c>
      <c r="AD181" s="2108" t="s">
        <v>81</v>
      </c>
      <c r="AE181" s="1402" t="s">
        <v>63</v>
      </c>
      <c r="AF181" s="1402" t="s">
        <v>38</v>
      </c>
      <c r="AG181" s="1363"/>
      <c r="AH181" s="2073">
        <f t="shared" si="51"/>
        <v>24</v>
      </c>
      <c r="AI181" s="2073">
        <f t="shared" si="52"/>
        <v>24</v>
      </c>
      <c r="AJ181" s="2085">
        <f t="shared" si="53"/>
        <v>24</v>
      </c>
      <c r="AK181" s="2086"/>
      <c r="AL181" s="2042">
        <f t="shared" si="49"/>
        <v>72</v>
      </c>
      <c r="AM181" s="2042"/>
      <c r="AN181" s="2086"/>
      <c r="AO181" s="2086"/>
      <c r="AP181" s="2086"/>
      <c r="AQ181" s="2086"/>
      <c r="AR181" s="2086"/>
      <c r="AS181" s="2086"/>
      <c r="AT181" s="2086"/>
      <c r="AU181" s="2086"/>
      <c r="AV181" s="2086"/>
      <c r="AW181" s="2042">
        <f t="shared" si="54"/>
        <v>24</v>
      </c>
      <c r="AX181" s="2042">
        <f t="shared" si="55"/>
        <v>24</v>
      </c>
      <c r="AY181" s="2042">
        <f t="shared" si="56"/>
        <v>24</v>
      </c>
      <c r="AZ181" s="2093"/>
      <c r="BA181" s="2042"/>
      <c r="BB181" s="2042"/>
      <c r="BC181" s="2042"/>
      <c r="BD181" s="2094">
        <f t="shared" si="57"/>
        <v>72</v>
      </c>
      <c r="BE181" s="2094">
        <f t="shared" si="58"/>
        <v>0</v>
      </c>
    </row>
    <row r="182" s="1988" customFormat="1" ht="36" customHeight="1" spans="1:57">
      <c r="A182" s="2018">
        <v>45846</v>
      </c>
      <c r="B182" s="2098" t="s">
        <v>875</v>
      </c>
      <c r="C182" s="1723" t="s">
        <v>876</v>
      </c>
      <c r="D182" s="2114">
        <v>4500173107</v>
      </c>
      <c r="E182" s="2100" t="s">
        <v>894</v>
      </c>
      <c r="F182" s="2099" t="s">
        <v>895</v>
      </c>
      <c r="G182" s="1989" t="s">
        <v>685</v>
      </c>
      <c r="H182" s="1989" t="s">
        <v>686</v>
      </c>
      <c r="I182" s="2103" t="s">
        <v>484</v>
      </c>
      <c r="J182" s="1989">
        <v>72</v>
      </c>
      <c r="K182" s="2037">
        <v>0</v>
      </c>
      <c r="L182" s="2038">
        <v>12</v>
      </c>
      <c r="M182" s="2039">
        <f t="shared" si="37"/>
        <v>6</v>
      </c>
      <c r="N182" s="2040">
        <v>45884</v>
      </c>
      <c r="O182" s="2040">
        <v>45880</v>
      </c>
      <c r="P182" s="1402"/>
      <c r="Q182" s="1363" t="s">
        <v>56</v>
      </c>
      <c r="R182" s="1363" t="s">
        <v>888</v>
      </c>
      <c r="S182" s="1406" t="s">
        <v>814</v>
      </c>
      <c r="T182" s="1364"/>
      <c r="U182" s="1405" t="s">
        <v>879</v>
      </c>
      <c r="V182" s="1365" t="s">
        <v>880</v>
      </c>
      <c r="W182" s="2055" t="s">
        <v>885</v>
      </c>
      <c r="X182" s="2087" t="s">
        <v>882</v>
      </c>
      <c r="Y182" s="2106">
        <v>47.4687</v>
      </c>
      <c r="Z182" s="2066">
        <f t="shared" si="50"/>
        <v>284.8122</v>
      </c>
      <c r="AA182" s="2068"/>
      <c r="AB182" s="2107">
        <v>72</v>
      </c>
      <c r="AC182" s="2068">
        <f t="shared" si="48"/>
        <v>0</v>
      </c>
      <c r="AD182" s="2108" t="s">
        <v>81</v>
      </c>
      <c r="AE182" s="1402" t="s">
        <v>63</v>
      </c>
      <c r="AF182" s="1402" t="s">
        <v>38</v>
      </c>
      <c r="AG182" s="1363"/>
      <c r="AH182" s="2073">
        <f t="shared" si="51"/>
        <v>24</v>
      </c>
      <c r="AI182" s="2073">
        <f t="shared" si="52"/>
        <v>24</v>
      </c>
      <c r="AJ182" s="2085">
        <f t="shared" si="53"/>
        <v>24</v>
      </c>
      <c r="AK182" s="2086"/>
      <c r="AL182" s="2042">
        <f t="shared" si="49"/>
        <v>72</v>
      </c>
      <c r="AM182" s="2042"/>
      <c r="AN182" s="2086"/>
      <c r="AO182" s="2086"/>
      <c r="AP182" s="2086"/>
      <c r="AQ182" s="2086"/>
      <c r="AR182" s="2086"/>
      <c r="AS182" s="2086"/>
      <c r="AT182" s="2086"/>
      <c r="AU182" s="2086"/>
      <c r="AV182" s="2086"/>
      <c r="AW182" s="2042">
        <f t="shared" si="54"/>
        <v>24</v>
      </c>
      <c r="AX182" s="2042">
        <f t="shared" si="55"/>
        <v>24</v>
      </c>
      <c r="AY182" s="2042">
        <f t="shared" si="56"/>
        <v>24</v>
      </c>
      <c r="AZ182" s="2093"/>
      <c r="BA182" s="2042"/>
      <c r="BB182" s="2042"/>
      <c r="BC182" s="2042"/>
      <c r="BD182" s="2094">
        <f t="shared" si="57"/>
        <v>72</v>
      </c>
      <c r="BE182" s="2094">
        <f t="shared" si="58"/>
        <v>0</v>
      </c>
    </row>
    <row r="183" s="1988" customFormat="1" ht="36" customHeight="1" spans="1:57">
      <c r="A183" s="2018">
        <v>45846</v>
      </c>
      <c r="B183" s="2098" t="s">
        <v>875</v>
      </c>
      <c r="C183" s="1723" t="s">
        <v>876</v>
      </c>
      <c r="D183" s="2114">
        <v>4500173120</v>
      </c>
      <c r="E183" s="2100" t="s">
        <v>896</v>
      </c>
      <c r="F183" s="2099" t="s">
        <v>897</v>
      </c>
      <c r="G183" s="1989" t="s">
        <v>685</v>
      </c>
      <c r="H183" s="1989" t="s">
        <v>686</v>
      </c>
      <c r="I183" s="2103" t="s">
        <v>484</v>
      </c>
      <c r="J183" s="1989">
        <v>60</v>
      </c>
      <c r="K183" s="2037">
        <v>0</v>
      </c>
      <c r="L183" s="2038">
        <v>12</v>
      </c>
      <c r="M183" s="2039">
        <f t="shared" si="37"/>
        <v>5</v>
      </c>
      <c r="N183" s="2040">
        <v>45884</v>
      </c>
      <c r="O183" s="2040">
        <v>45880</v>
      </c>
      <c r="P183" s="1402"/>
      <c r="Q183" s="1363" t="s">
        <v>56</v>
      </c>
      <c r="R183" s="1363" t="s">
        <v>888</v>
      </c>
      <c r="S183" s="1406" t="s">
        <v>814</v>
      </c>
      <c r="T183" s="1364"/>
      <c r="U183" s="1405" t="s">
        <v>879</v>
      </c>
      <c r="V183" s="1365" t="s">
        <v>880</v>
      </c>
      <c r="W183" s="2055" t="s">
        <v>898</v>
      </c>
      <c r="X183" s="2087" t="s">
        <v>882</v>
      </c>
      <c r="Y183" s="2106">
        <v>47.4687</v>
      </c>
      <c r="Z183" s="2066">
        <f t="shared" si="50"/>
        <v>237.3435</v>
      </c>
      <c r="AA183" s="2068"/>
      <c r="AB183" s="2107">
        <v>60</v>
      </c>
      <c r="AC183" s="2068">
        <f t="shared" si="48"/>
        <v>0</v>
      </c>
      <c r="AD183" s="2108" t="s">
        <v>81</v>
      </c>
      <c r="AE183" s="1402" t="s">
        <v>63</v>
      </c>
      <c r="AF183" s="1402" t="s">
        <v>38</v>
      </c>
      <c r="AG183" s="1363"/>
      <c r="AH183" s="2073">
        <f t="shared" si="51"/>
        <v>20</v>
      </c>
      <c r="AI183" s="2073">
        <f t="shared" si="52"/>
        <v>20</v>
      </c>
      <c r="AJ183" s="2085">
        <f t="shared" si="53"/>
        <v>20</v>
      </c>
      <c r="AK183" s="2086"/>
      <c r="AL183" s="2042">
        <f t="shared" si="49"/>
        <v>60</v>
      </c>
      <c r="AM183" s="2042"/>
      <c r="AN183" s="2086"/>
      <c r="AO183" s="2086"/>
      <c r="AP183" s="2086"/>
      <c r="AQ183" s="2086"/>
      <c r="AR183" s="2086"/>
      <c r="AS183" s="2086"/>
      <c r="AT183" s="2086"/>
      <c r="AU183" s="2086"/>
      <c r="AV183" s="2086"/>
      <c r="AW183" s="2042">
        <f t="shared" si="54"/>
        <v>20</v>
      </c>
      <c r="AX183" s="2042">
        <f t="shared" si="55"/>
        <v>20</v>
      </c>
      <c r="AY183" s="2042">
        <f t="shared" si="56"/>
        <v>20</v>
      </c>
      <c r="AZ183" s="2093"/>
      <c r="BA183" s="2042"/>
      <c r="BB183" s="2042"/>
      <c r="BC183" s="2042"/>
      <c r="BD183" s="2094">
        <f t="shared" si="57"/>
        <v>60</v>
      </c>
      <c r="BE183" s="2094">
        <f t="shared" si="58"/>
        <v>0</v>
      </c>
    </row>
    <row r="184" s="1989" customFormat="1" ht="36" customHeight="1" spans="1:57">
      <c r="A184" s="2115">
        <v>45835</v>
      </c>
      <c r="B184" s="2098" t="s">
        <v>899</v>
      </c>
      <c r="C184" s="1723" t="s">
        <v>900</v>
      </c>
      <c r="D184" s="2099">
        <v>4500171409</v>
      </c>
      <c r="E184" s="2098" t="s">
        <v>901</v>
      </c>
      <c r="F184" s="2019" t="s">
        <v>902</v>
      </c>
      <c r="G184" s="1989" t="s">
        <v>54</v>
      </c>
      <c r="H184" s="1989" t="s">
        <v>54</v>
      </c>
      <c r="I184" s="2103" t="s">
        <v>55</v>
      </c>
      <c r="J184" s="1989">
        <v>504</v>
      </c>
      <c r="K184" s="2127">
        <v>0</v>
      </c>
      <c r="L184" s="1989">
        <v>12</v>
      </c>
      <c r="M184" s="2087">
        <f t="shared" si="37"/>
        <v>42</v>
      </c>
      <c r="N184" s="2102">
        <v>45889</v>
      </c>
      <c r="O184" s="2102">
        <v>45885</v>
      </c>
      <c r="P184" s="1365"/>
      <c r="Q184" s="1363" t="s">
        <v>56</v>
      </c>
      <c r="R184" s="1363" t="s">
        <v>903</v>
      </c>
      <c r="S184" s="2054" t="s">
        <v>904</v>
      </c>
      <c r="T184" s="1407"/>
      <c r="U184" s="2138" t="s">
        <v>58</v>
      </c>
      <c r="V184" s="1365" t="s">
        <v>905</v>
      </c>
      <c r="W184" s="2055" t="s">
        <v>906</v>
      </c>
      <c r="X184" s="2087" t="s">
        <v>907</v>
      </c>
      <c r="Y184" s="2106">
        <v>3.7451</v>
      </c>
      <c r="Z184" s="2066">
        <f t="shared" ref="Z184:Z189" si="59">Y184*J184</f>
        <v>1887.5304</v>
      </c>
      <c r="AA184" s="2068"/>
      <c r="AB184" s="2107">
        <v>504</v>
      </c>
      <c r="AC184" s="2068">
        <f t="shared" si="48"/>
        <v>0</v>
      </c>
      <c r="AD184" s="2108" t="s">
        <v>58</v>
      </c>
      <c r="AE184" s="1365" t="s">
        <v>63</v>
      </c>
      <c r="AF184" s="1365" t="s">
        <v>38</v>
      </c>
      <c r="AG184" s="1363"/>
      <c r="AH184" s="2042">
        <f>J184</f>
        <v>504</v>
      </c>
      <c r="AI184" s="2042"/>
      <c r="AJ184" s="2042"/>
      <c r="AK184" s="2110"/>
      <c r="AL184" s="2042">
        <f t="shared" si="49"/>
        <v>504</v>
      </c>
      <c r="AM184" s="2042"/>
      <c r="AN184" s="2110"/>
      <c r="AO184" s="2110"/>
      <c r="AP184" s="2110"/>
      <c r="AQ184" s="2110"/>
      <c r="AR184" s="2110"/>
      <c r="AS184" s="2110"/>
      <c r="AT184" s="2110"/>
      <c r="AU184" s="2110"/>
      <c r="AV184" s="2110"/>
      <c r="AW184" s="2042">
        <f>J184</f>
        <v>504</v>
      </c>
      <c r="AX184" s="2042"/>
      <c r="AY184" s="2042"/>
      <c r="AZ184" s="2110"/>
      <c r="BA184" s="2042"/>
      <c r="BB184" s="2042"/>
      <c r="BC184" s="2042"/>
      <c r="BD184" s="2094">
        <f t="shared" si="57"/>
        <v>504</v>
      </c>
      <c r="BE184" s="2094">
        <f t="shared" si="58"/>
        <v>0</v>
      </c>
    </row>
    <row r="185" s="1988" customFormat="1" ht="36" customHeight="1" spans="1:57">
      <c r="A185" s="2116">
        <v>45818</v>
      </c>
      <c r="B185" s="2117" t="s">
        <v>908</v>
      </c>
      <c r="C185" s="2118" t="s">
        <v>112</v>
      </c>
      <c r="D185" s="2119">
        <v>4500169448</v>
      </c>
      <c r="E185" s="2117"/>
      <c r="F185" s="2120" t="s">
        <v>909</v>
      </c>
      <c r="G185" s="2118" t="s">
        <v>66</v>
      </c>
      <c r="H185" s="2121" t="s">
        <v>66</v>
      </c>
      <c r="I185" s="2128" t="s">
        <v>67</v>
      </c>
      <c r="J185" s="2121">
        <v>240</v>
      </c>
      <c r="K185" s="2129">
        <v>0</v>
      </c>
      <c r="L185" s="2130">
        <v>12</v>
      </c>
      <c r="M185" s="2131">
        <f t="shared" si="37"/>
        <v>20</v>
      </c>
      <c r="N185" s="2132">
        <v>45887</v>
      </c>
      <c r="O185" s="2132">
        <v>45883</v>
      </c>
      <c r="P185" s="2133"/>
      <c r="Q185" s="1363" t="s">
        <v>56</v>
      </c>
      <c r="R185" s="2139" t="s">
        <v>910</v>
      </c>
      <c r="S185" s="2140" t="s">
        <v>911</v>
      </c>
      <c r="T185" s="2141"/>
      <c r="U185" s="2142" t="s">
        <v>912</v>
      </c>
      <c r="V185" s="2143" t="s">
        <v>913</v>
      </c>
      <c r="W185" s="2144" t="s">
        <v>914</v>
      </c>
      <c r="X185" s="2145" t="s">
        <v>508</v>
      </c>
      <c r="Y185" s="2148">
        <v>3.6399</v>
      </c>
      <c r="Z185" s="2149">
        <f t="shared" si="59"/>
        <v>873.576</v>
      </c>
      <c r="AA185" s="2150"/>
      <c r="AB185" s="2151">
        <v>240</v>
      </c>
      <c r="AC185" s="2150">
        <f t="shared" si="48"/>
        <v>0</v>
      </c>
      <c r="AD185" s="2152" t="s">
        <v>81</v>
      </c>
      <c r="AE185" s="2133" t="s">
        <v>63</v>
      </c>
      <c r="AF185" s="2133" t="s">
        <v>38</v>
      </c>
      <c r="AG185" s="2139"/>
      <c r="AH185" s="2157"/>
      <c r="AI185" s="2157"/>
      <c r="AJ185" s="2085">
        <f>J185</f>
        <v>240</v>
      </c>
      <c r="AK185" s="2158"/>
      <c r="AL185" s="2085">
        <f t="shared" si="49"/>
        <v>240</v>
      </c>
      <c r="AM185" s="2085"/>
      <c r="AN185" s="2158"/>
      <c r="AO185" s="2158"/>
      <c r="AP185" s="2158"/>
      <c r="AQ185" s="2158"/>
      <c r="AR185" s="2158"/>
      <c r="AS185" s="2161"/>
      <c r="AT185" s="2161"/>
      <c r="AU185" s="2161"/>
      <c r="AV185" s="2161"/>
      <c r="AW185" s="2085"/>
      <c r="AX185" s="2085"/>
      <c r="AY185" s="2085">
        <f>J185</f>
        <v>240</v>
      </c>
      <c r="AZ185" s="2161"/>
      <c r="BA185" s="2085"/>
      <c r="BB185" s="2085"/>
      <c r="BC185" s="2085"/>
      <c r="BD185" s="2094">
        <f t="shared" si="57"/>
        <v>240</v>
      </c>
      <c r="BE185" s="2094">
        <f t="shared" si="58"/>
        <v>0</v>
      </c>
    </row>
    <row r="186" s="1989" customFormat="1" ht="36" customHeight="1" spans="1:57">
      <c r="A186" s="2115">
        <v>45839</v>
      </c>
      <c r="B186" s="2098" t="s">
        <v>230</v>
      </c>
      <c r="C186" s="1723" t="s">
        <v>91</v>
      </c>
      <c r="D186" s="2114">
        <v>4500172109</v>
      </c>
      <c r="E186" s="2098">
        <v>60235200</v>
      </c>
      <c r="F186" s="2019" t="s">
        <v>915</v>
      </c>
      <c r="G186" s="1989" t="s">
        <v>54</v>
      </c>
      <c r="H186" s="1989" t="s">
        <v>54</v>
      </c>
      <c r="I186" s="2103" t="s">
        <v>55</v>
      </c>
      <c r="J186" s="1989">
        <v>1812</v>
      </c>
      <c r="K186" s="2127">
        <v>0</v>
      </c>
      <c r="L186" s="1989">
        <v>12</v>
      </c>
      <c r="M186" s="2087">
        <f t="shared" si="37"/>
        <v>151</v>
      </c>
      <c r="N186" s="2102">
        <v>45889</v>
      </c>
      <c r="O186" s="2102">
        <v>45885</v>
      </c>
      <c r="P186" s="1365"/>
      <c r="Q186" s="1363" t="s">
        <v>56</v>
      </c>
      <c r="R186" s="1363" t="s">
        <v>916</v>
      </c>
      <c r="S186" s="2054" t="s">
        <v>861</v>
      </c>
      <c r="T186" s="1407"/>
      <c r="U186" s="1364" t="s">
        <v>917</v>
      </c>
      <c r="V186" s="1365" t="s">
        <v>235</v>
      </c>
      <c r="W186" s="2055" t="s">
        <v>816</v>
      </c>
      <c r="X186" s="2087" t="s">
        <v>237</v>
      </c>
      <c r="Y186" s="2106">
        <v>2.0855</v>
      </c>
      <c r="Z186" s="2066">
        <f t="shared" si="59"/>
        <v>3778.926</v>
      </c>
      <c r="AA186" s="2068"/>
      <c r="AB186" s="2107">
        <f>1800+12</f>
        <v>1812</v>
      </c>
      <c r="AC186" s="2068">
        <f t="shared" si="48"/>
        <v>0</v>
      </c>
      <c r="AD186" s="2108" t="s">
        <v>81</v>
      </c>
      <c r="AE186" s="1365" t="s">
        <v>63</v>
      </c>
      <c r="AF186" s="1365" t="s">
        <v>38</v>
      </c>
      <c r="AG186" s="1363"/>
      <c r="AH186" s="2042">
        <f>J186</f>
        <v>1812</v>
      </c>
      <c r="AI186" s="2042"/>
      <c r="AJ186" s="2042"/>
      <c r="AK186" s="2086"/>
      <c r="AL186" s="2042">
        <f t="shared" si="49"/>
        <v>1812</v>
      </c>
      <c r="AM186" s="2042"/>
      <c r="AN186" s="2086"/>
      <c r="AO186" s="2086"/>
      <c r="AP186" s="2086"/>
      <c r="AQ186" s="2086"/>
      <c r="AR186" s="2086"/>
      <c r="AS186" s="2086"/>
      <c r="AT186" s="2086"/>
      <c r="AU186" s="2086"/>
      <c r="AV186" s="2086"/>
      <c r="AW186" s="2042">
        <f>J186</f>
        <v>1812</v>
      </c>
      <c r="AX186" s="2042"/>
      <c r="AY186" s="2042"/>
      <c r="AZ186" s="2086"/>
      <c r="BA186" s="2042"/>
      <c r="BB186" s="2042"/>
      <c r="BC186" s="2042"/>
      <c r="BD186" s="2094">
        <f t="shared" si="57"/>
        <v>1812</v>
      </c>
      <c r="BE186" s="2094">
        <f t="shared" si="58"/>
        <v>0</v>
      </c>
    </row>
    <row r="187" s="1989" customFormat="1" ht="36" customHeight="1" spans="1:57">
      <c r="A187" s="2115">
        <v>45855</v>
      </c>
      <c r="B187" s="2098" t="s">
        <v>918</v>
      </c>
      <c r="C187" s="1723" t="s">
        <v>123</v>
      </c>
      <c r="D187" s="2099">
        <v>4500174207</v>
      </c>
      <c r="E187" s="2098" t="s">
        <v>919</v>
      </c>
      <c r="F187" s="2099" t="s">
        <v>920</v>
      </c>
      <c r="G187" s="1723" t="s">
        <v>125</v>
      </c>
      <c r="H187" s="1989" t="s">
        <v>54</v>
      </c>
      <c r="I187" s="2103" t="s">
        <v>55</v>
      </c>
      <c r="J187" s="1989">
        <v>2004</v>
      </c>
      <c r="K187" s="2127">
        <v>0</v>
      </c>
      <c r="L187" s="1989">
        <v>12</v>
      </c>
      <c r="M187" s="2087">
        <f t="shared" si="37"/>
        <v>167</v>
      </c>
      <c r="N187" s="2102">
        <v>45903</v>
      </c>
      <c r="O187" s="2102">
        <f>N187-4</f>
        <v>45899</v>
      </c>
      <c r="P187" s="1365" t="s">
        <v>921</v>
      </c>
      <c r="Q187" s="1363" t="s">
        <v>56</v>
      </c>
      <c r="R187" s="1363" t="s">
        <v>922</v>
      </c>
      <c r="S187" s="2054" t="s">
        <v>861</v>
      </c>
      <c r="T187" s="1407"/>
      <c r="U187" s="1407" t="s">
        <v>923</v>
      </c>
      <c r="V187" s="1365" t="s">
        <v>924</v>
      </c>
      <c r="W187" s="2055" t="s">
        <v>925</v>
      </c>
      <c r="X187" s="2087" t="s">
        <v>609</v>
      </c>
      <c r="Y187" s="2106">
        <v>3.389</v>
      </c>
      <c r="Z187" s="2066">
        <f t="shared" si="59"/>
        <v>6791.556</v>
      </c>
      <c r="AA187" s="2068" t="s">
        <v>926</v>
      </c>
      <c r="AB187" s="2107">
        <v>2004</v>
      </c>
      <c r="AC187" s="2068">
        <f t="shared" si="48"/>
        <v>0</v>
      </c>
      <c r="AD187" s="2108" t="s">
        <v>81</v>
      </c>
      <c r="AE187" s="1365" t="s">
        <v>63</v>
      </c>
      <c r="AF187" s="1365" t="s">
        <v>38</v>
      </c>
      <c r="AG187" s="1363"/>
      <c r="AH187" s="2042">
        <f>J187</f>
        <v>2004</v>
      </c>
      <c r="AI187" s="2042"/>
      <c r="AJ187" s="2042"/>
      <c r="AK187" s="2086"/>
      <c r="AL187" s="2042"/>
      <c r="AM187" s="2042">
        <f>J187</f>
        <v>2004</v>
      </c>
      <c r="AN187" s="2086"/>
      <c r="AO187" s="2086"/>
      <c r="AP187" s="2086"/>
      <c r="AQ187" s="2086"/>
      <c r="AR187" s="2086"/>
      <c r="AS187" s="2086"/>
      <c r="AT187" s="2086"/>
      <c r="AU187" s="2086"/>
      <c r="AV187" s="2086"/>
      <c r="AW187" s="2042">
        <f>J187</f>
        <v>2004</v>
      </c>
      <c r="AX187" s="2042"/>
      <c r="AY187" s="2042"/>
      <c r="AZ187" s="2086"/>
      <c r="BA187" s="2042"/>
      <c r="BB187" s="2042"/>
      <c r="BC187" s="2042"/>
      <c r="BD187" s="2094">
        <f t="shared" si="57"/>
        <v>2004</v>
      </c>
      <c r="BE187" s="2094">
        <f t="shared" si="58"/>
        <v>0</v>
      </c>
    </row>
    <row r="188" s="1989" customFormat="1" ht="36" customHeight="1" spans="1:57">
      <c r="A188" s="2115">
        <v>45860</v>
      </c>
      <c r="B188" s="2098" t="s">
        <v>833</v>
      </c>
      <c r="C188" s="1723" t="s">
        <v>91</v>
      </c>
      <c r="D188" s="2114">
        <v>4500174533</v>
      </c>
      <c r="E188" s="2098">
        <v>1613020</v>
      </c>
      <c r="F188" s="2019" t="s">
        <v>927</v>
      </c>
      <c r="G188" s="1989" t="s">
        <v>54</v>
      </c>
      <c r="H188" s="1989" t="s">
        <v>54</v>
      </c>
      <c r="I188" s="2103" t="s">
        <v>55</v>
      </c>
      <c r="J188" s="1989">
        <v>192</v>
      </c>
      <c r="K188" s="2127">
        <v>0</v>
      </c>
      <c r="L188" s="1989">
        <v>12</v>
      </c>
      <c r="M188" s="2087">
        <f t="shared" si="37"/>
        <v>16</v>
      </c>
      <c r="N188" s="2102">
        <v>45903</v>
      </c>
      <c r="O188" s="2102">
        <f>N188-4</f>
        <v>45899</v>
      </c>
      <c r="P188" s="1365"/>
      <c r="Q188" s="1363" t="s">
        <v>56</v>
      </c>
      <c r="R188" s="1363" t="s">
        <v>928</v>
      </c>
      <c r="S188" s="2054" t="s">
        <v>929</v>
      </c>
      <c r="T188" s="1407"/>
      <c r="U188" s="1407" t="s">
        <v>917</v>
      </c>
      <c r="V188" s="1365" t="s">
        <v>837</v>
      </c>
      <c r="W188" s="2055" t="s">
        <v>930</v>
      </c>
      <c r="X188" s="2087" t="s">
        <v>839</v>
      </c>
      <c r="Y188" s="2106">
        <v>2.2471</v>
      </c>
      <c r="Z188" s="2066">
        <f t="shared" si="59"/>
        <v>431.4432</v>
      </c>
      <c r="AA188" s="2068" t="s">
        <v>931</v>
      </c>
      <c r="AB188" s="2107">
        <v>192</v>
      </c>
      <c r="AC188" s="2068">
        <f t="shared" si="48"/>
        <v>0</v>
      </c>
      <c r="AD188" s="2108" t="s">
        <v>81</v>
      </c>
      <c r="AE188" s="1402" t="s">
        <v>63</v>
      </c>
      <c r="AF188" s="1365" t="s">
        <v>38</v>
      </c>
      <c r="AG188" s="1363"/>
      <c r="AH188" s="2042">
        <f>J188</f>
        <v>192</v>
      </c>
      <c r="AI188" s="2042"/>
      <c r="AJ188" s="2042"/>
      <c r="AK188" s="2086"/>
      <c r="AL188" s="2042">
        <f>J188</f>
        <v>192</v>
      </c>
      <c r="AM188" s="2042"/>
      <c r="AN188" s="2086"/>
      <c r="AO188" s="2086"/>
      <c r="AP188" s="2086"/>
      <c r="AQ188" s="2086"/>
      <c r="AR188" s="2086"/>
      <c r="AS188" s="2086"/>
      <c r="AT188" s="2086"/>
      <c r="AU188" s="2086"/>
      <c r="AV188" s="2086"/>
      <c r="AW188" s="2042">
        <f>J189</f>
        <v>204</v>
      </c>
      <c r="AX188" s="2042"/>
      <c r="AY188" s="2042"/>
      <c r="AZ188" s="2086"/>
      <c r="BA188" s="2042"/>
      <c r="BB188" s="2042"/>
      <c r="BC188" s="2042"/>
      <c r="BD188" s="2094">
        <f t="shared" si="57"/>
        <v>192</v>
      </c>
      <c r="BE188" s="2094">
        <f t="shared" si="58"/>
        <v>0</v>
      </c>
    </row>
    <row r="189" s="1988" customFormat="1" ht="36" customHeight="1" spans="1:57">
      <c r="A189" s="2018">
        <v>45860</v>
      </c>
      <c r="B189" s="2122" t="s">
        <v>833</v>
      </c>
      <c r="C189" s="2123" t="s">
        <v>91</v>
      </c>
      <c r="D189" s="2124">
        <v>4500174533</v>
      </c>
      <c r="E189" s="2125">
        <v>1613020</v>
      </c>
      <c r="F189" s="2126" t="s">
        <v>932</v>
      </c>
      <c r="G189" s="2038" t="s">
        <v>64</v>
      </c>
      <c r="H189" s="2038" t="s">
        <v>64</v>
      </c>
      <c r="I189" s="2134" t="s">
        <v>65</v>
      </c>
      <c r="J189" s="2038">
        <v>204</v>
      </c>
      <c r="K189" s="2037">
        <v>0</v>
      </c>
      <c r="L189" s="2038">
        <v>12</v>
      </c>
      <c r="M189" s="2039">
        <f t="shared" si="37"/>
        <v>17</v>
      </c>
      <c r="N189" s="2040">
        <v>45903</v>
      </c>
      <c r="O189" s="2040">
        <f>N189-4</f>
        <v>45899</v>
      </c>
      <c r="P189" s="1402"/>
      <c r="Q189" s="1363" t="s">
        <v>56</v>
      </c>
      <c r="R189" s="1363" t="s">
        <v>928</v>
      </c>
      <c r="S189" s="1406" t="s">
        <v>929</v>
      </c>
      <c r="T189" s="1364"/>
      <c r="U189" s="1407" t="s">
        <v>917</v>
      </c>
      <c r="V189" s="1402" t="s">
        <v>837</v>
      </c>
      <c r="W189" s="2146" t="s">
        <v>930</v>
      </c>
      <c r="X189" s="2039" t="s">
        <v>839</v>
      </c>
      <c r="Y189" s="2153">
        <v>2.3705</v>
      </c>
      <c r="Z189" s="2154">
        <f t="shared" si="59"/>
        <v>483.582</v>
      </c>
      <c r="AA189" s="2068" t="s">
        <v>931</v>
      </c>
      <c r="AB189" s="2155">
        <v>204</v>
      </c>
      <c r="AC189" s="2156">
        <f t="shared" si="48"/>
        <v>0</v>
      </c>
      <c r="AD189" s="2108" t="s">
        <v>81</v>
      </c>
      <c r="AE189" s="1402" t="s">
        <v>63</v>
      </c>
      <c r="AF189" s="1402" t="s">
        <v>38</v>
      </c>
      <c r="AG189" s="2135"/>
      <c r="AH189" s="2073"/>
      <c r="AI189" s="2073">
        <f>J189</f>
        <v>204</v>
      </c>
      <c r="AJ189" s="2157"/>
      <c r="AK189" s="2159"/>
      <c r="AL189" s="2073">
        <f>J189</f>
        <v>204</v>
      </c>
      <c r="AM189" s="2073"/>
      <c r="AN189" s="2159"/>
      <c r="AO189" s="2159"/>
      <c r="AP189" s="2159"/>
      <c r="AQ189" s="2159"/>
      <c r="AR189" s="2159"/>
      <c r="AS189" s="2162"/>
      <c r="AT189" s="2162"/>
      <c r="AU189" s="2162"/>
      <c r="AV189" s="2162"/>
      <c r="AW189" s="2073"/>
      <c r="AX189" s="2073">
        <f>J189</f>
        <v>204</v>
      </c>
      <c r="AY189" s="2073"/>
      <c r="AZ189" s="2162"/>
      <c r="BA189" s="2157"/>
      <c r="BB189" s="2157"/>
      <c r="BC189" s="2157"/>
      <c r="BD189" s="2094">
        <f t="shared" si="57"/>
        <v>204</v>
      </c>
      <c r="BE189" s="2094">
        <f t="shared" si="58"/>
        <v>0</v>
      </c>
    </row>
    <row r="190" s="1989" customFormat="1" ht="36" customHeight="1" spans="1:57">
      <c r="A190" s="2115">
        <v>45882</v>
      </c>
      <c r="B190" s="2098" t="s">
        <v>933</v>
      </c>
      <c r="C190" s="1723"/>
      <c r="D190" s="2099" t="s">
        <v>934</v>
      </c>
      <c r="E190" s="2098"/>
      <c r="F190" s="2019"/>
      <c r="G190" s="1989" t="s">
        <v>54</v>
      </c>
      <c r="H190" s="1989" t="s">
        <v>54</v>
      </c>
      <c r="I190" s="2103" t="s">
        <v>55</v>
      </c>
      <c r="J190" s="1989">
        <v>96</v>
      </c>
      <c r="K190" s="2127">
        <v>0</v>
      </c>
      <c r="L190" s="1989">
        <v>12</v>
      </c>
      <c r="M190" s="2087">
        <f t="shared" si="37"/>
        <v>8</v>
      </c>
      <c r="N190" s="2102">
        <v>45897</v>
      </c>
      <c r="O190" s="2102">
        <v>45894</v>
      </c>
      <c r="P190" s="1365"/>
      <c r="Q190" s="1363" t="s">
        <v>56</v>
      </c>
      <c r="R190" s="1363"/>
      <c r="S190" s="2054" t="s">
        <v>57</v>
      </c>
      <c r="T190" s="1407"/>
      <c r="U190" s="1407" t="s">
        <v>58</v>
      </c>
      <c r="V190" s="1365" t="s">
        <v>935</v>
      </c>
      <c r="W190" s="2055" t="s">
        <v>936</v>
      </c>
      <c r="X190" s="2087" t="s">
        <v>61</v>
      </c>
      <c r="Y190" s="2106"/>
      <c r="Z190" s="2066"/>
      <c r="AA190" s="2068" t="s">
        <v>937</v>
      </c>
      <c r="AB190" s="2107">
        <v>96</v>
      </c>
      <c r="AC190" s="2068">
        <f t="shared" si="48"/>
        <v>0</v>
      </c>
      <c r="AD190" s="2108"/>
      <c r="AE190" s="1365" t="s">
        <v>63</v>
      </c>
      <c r="AF190" s="1365" t="s">
        <v>38</v>
      </c>
      <c r="AG190" s="1363"/>
      <c r="AH190" s="2042">
        <f>J190</f>
        <v>96</v>
      </c>
      <c r="AI190" s="2042"/>
      <c r="AJ190" s="2042"/>
      <c r="AK190" s="2086"/>
      <c r="AL190" s="2042">
        <f>J190</f>
        <v>96</v>
      </c>
      <c r="AM190" s="2042"/>
      <c r="AN190" s="2086"/>
      <c r="AO190" s="2086"/>
      <c r="AP190" s="2086"/>
      <c r="AQ190" s="2086"/>
      <c r="AR190" s="2086"/>
      <c r="AS190" s="2086"/>
      <c r="AT190" s="2086"/>
      <c r="AU190" s="2086"/>
      <c r="AV190" s="2086"/>
      <c r="AW190" s="2042">
        <f>J190</f>
        <v>96</v>
      </c>
      <c r="AX190" s="2042"/>
      <c r="AY190" s="2042"/>
      <c r="AZ190" s="2086"/>
      <c r="BA190" s="2042"/>
      <c r="BB190" s="2042"/>
      <c r="BC190" s="2042"/>
      <c r="BD190" s="2094">
        <f t="shared" si="57"/>
        <v>96</v>
      </c>
      <c r="BE190" s="2094">
        <f t="shared" si="58"/>
        <v>0</v>
      </c>
    </row>
    <row r="191" s="1989" customFormat="1" ht="36" customHeight="1" spans="1:57">
      <c r="A191" s="2115">
        <v>45882</v>
      </c>
      <c r="B191" s="2098" t="s">
        <v>933</v>
      </c>
      <c r="C191" s="1723"/>
      <c r="D191" s="2099" t="s">
        <v>934</v>
      </c>
      <c r="E191" s="2098"/>
      <c r="F191" s="2019"/>
      <c r="G191" s="1989" t="s">
        <v>64</v>
      </c>
      <c r="H191" s="1989" t="s">
        <v>64</v>
      </c>
      <c r="I191" s="2103" t="s">
        <v>65</v>
      </c>
      <c r="J191" s="1989">
        <v>96</v>
      </c>
      <c r="K191" s="2127">
        <v>0</v>
      </c>
      <c r="L191" s="1989">
        <v>12</v>
      </c>
      <c r="M191" s="2087">
        <f t="shared" si="37"/>
        <v>8</v>
      </c>
      <c r="N191" s="2102">
        <v>45897</v>
      </c>
      <c r="O191" s="2102">
        <v>45894</v>
      </c>
      <c r="P191" s="1365"/>
      <c r="Q191" s="1363" t="s">
        <v>56</v>
      </c>
      <c r="R191" s="1363"/>
      <c r="S191" s="2054" t="s">
        <v>57</v>
      </c>
      <c r="T191" s="1407"/>
      <c r="U191" s="1407" t="s">
        <v>58</v>
      </c>
      <c r="V191" s="1365" t="s">
        <v>935</v>
      </c>
      <c r="W191" s="2055" t="s">
        <v>936</v>
      </c>
      <c r="X191" s="2087" t="s">
        <v>61</v>
      </c>
      <c r="Y191" s="2106"/>
      <c r="Z191" s="2066"/>
      <c r="AA191" s="2068" t="s">
        <v>937</v>
      </c>
      <c r="AB191" s="2107">
        <v>96</v>
      </c>
      <c r="AC191" s="2068">
        <f t="shared" si="48"/>
        <v>0</v>
      </c>
      <c r="AD191" s="2108"/>
      <c r="AE191" s="1365" t="s">
        <v>63</v>
      </c>
      <c r="AF191" s="1365" t="s">
        <v>38</v>
      </c>
      <c r="AG191" s="1363"/>
      <c r="AH191" s="2042"/>
      <c r="AI191" s="2073">
        <f>J191</f>
        <v>96</v>
      </c>
      <c r="AJ191" s="2042"/>
      <c r="AK191" s="2086"/>
      <c r="AL191" s="2042">
        <f>J191</f>
        <v>96</v>
      </c>
      <c r="AM191" s="2042"/>
      <c r="AN191" s="2086"/>
      <c r="AO191" s="2086"/>
      <c r="AP191" s="2086"/>
      <c r="AQ191" s="2086"/>
      <c r="AR191" s="2086"/>
      <c r="AS191" s="2086"/>
      <c r="AT191" s="2086"/>
      <c r="AU191" s="2086"/>
      <c r="AV191" s="2086"/>
      <c r="AW191" s="2042"/>
      <c r="AX191" s="2042">
        <f>J191</f>
        <v>96</v>
      </c>
      <c r="AY191" s="2042"/>
      <c r="AZ191" s="2086"/>
      <c r="BA191" s="2042"/>
      <c r="BB191" s="2042"/>
      <c r="BC191" s="2042"/>
      <c r="BD191" s="2094">
        <f t="shared" si="57"/>
        <v>96</v>
      </c>
      <c r="BE191" s="2094">
        <f t="shared" si="58"/>
        <v>0</v>
      </c>
    </row>
    <row r="192" s="1989" customFormat="1" ht="36" customHeight="1" spans="1:57">
      <c r="A192" s="2115">
        <v>45882</v>
      </c>
      <c r="B192" s="2098" t="s">
        <v>933</v>
      </c>
      <c r="C192" s="1723"/>
      <c r="D192" s="2099" t="s">
        <v>934</v>
      </c>
      <c r="E192" s="2098"/>
      <c r="F192" s="2019"/>
      <c r="G192" s="2118" t="s">
        <v>66</v>
      </c>
      <c r="H192" s="1989" t="s">
        <v>66</v>
      </c>
      <c r="I192" s="2128" t="s">
        <v>67</v>
      </c>
      <c r="J192" s="1989">
        <v>96</v>
      </c>
      <c r="K192" s="2127">
        <v>0</v>
      </c>
      <c r="L192" s="1989">
        <v>12</v>
      </c>
      <c r="M192" s="2087">
        <f t="shared" si="37"/>
        <v>8</v>
      </c>
      <c r="N192" s="2102">
        <v>45897</v>
      </c>
      <c r="O192" s="2102">
        <v>45894</v>
      </c>
      <c r="P192" s="1365"/>
      <c r="Q192" s="1363" t="s">
        <v>56</v>
      </c>
      <c r="R192" s="1363"/>
      <c r="S192" s="2054" t="s">
        <v>57</v>
      </c>
      <c r="T192" s="1407"/>
      <c r="U192" s="1407" t="s">
        <v>58</v>
      </c>
      <c r="V192" s="1365" t="s">
        <v>935</v>
      </c>
      <c r="W192" s="2055" t="s">
        <v>936</v>
      </c>
      <c r="X192" s="2087" t="s">
        <v>61</v>
      </c>
      <c r="Y192" s="2106"/>
      <c r="Z192" s="2066"/>
      <c r="AA192" s="2068" t="s">
        <v>937</v>
      </c>
      <c r="AB192" s="2107">
        <v>96</v>
      </c>
      <c r="AC192" s="2068">
        <f t="shared" si="48"/>
        <v>0</v>
      </c>
      <c r="AD192" s="2108"/>
      <c r="AE192" s="1365" t="s">
        <v>63</v>
      </c>
      <c r="AF192" s="1365" t="s">
        <v>38</v>
      </c>
      <c r="AG192" s="1363"/>
      <c r="AH192" s="2042"/>
      <c r="AI192" s="2042"/>
      <c r="AJ192" s="2085">
        <f>J192</f>
        <v>96</v>
      </c>
      <c r="AK192" s="2086"/>
      <c r="AL192" s="2042">
        <f>J192</f>
        <v>96</v>
      </c>
      <c r="AM192" s="2042"/>
      <c r="AN192" s="2086"/>
      <c r="AO192" s="2086"/>
      <c r="AP192" s="2086"/>
      <c r="AQ192" s="2086"/>
      <c r="AR192" s="2086"/>
      <c r="AS192" s="2086"/>
      <c r="AT192" s="2086"/>
      <c r="AU192" s="2086"/>
      <c r="AV192" s="2086"/>
      <c r="AW192" s="2042"/>
      <c r="AX192" s="2042"/>
      <c r="AY192" s="2042">
        <f>J192</f>
        <v>96</v>
      </c>
      <c r="AZ192" s="2086"/>
      <c r="BA192" s="2042"/>
      <c r="BB192" s="2042"/>
      <c r="BC192" s="2042"/>
      <c r="BD192" s="2094">
        <f t="shared" si="57"/>
        <v>96</v>
      </c>
      <c r="BE192" s="2094">
        <f t="shared" si="58"/>
        <v>0</v>
      </c>
    </row>
    <row r="193" s="1988" customFormat="1" ht="36" customHeight="1" spans="1:57">
      <c r="A193" s="2018">
        <v>45855</v>
      </c>
      <c r="B193" s="2098" t="s">
        <v>856</v>
      </c>
      <c r="C193" s="1723" t="s">
        <v>178</v>
      </c>
      <c r="D193" s="2114">
        <v>4500174169</v>
      </c>
      <c r="E193" s="2100" t="s">
        <v>938</v>
      </c>
      <c r="F193" s="2019" t="s">
        <v>939</v>
      </c>
      <c r="G193" s="1723" t="s">
        <v>125</v>
      </c>
      <c r="H193" s="1989" t="s">
        <v>54</v>
      </c>
      <c r="I193" s="2103" t="s">
        <v>55</v>
      </c>
      <c r="J193" s="1989">
        <v>1008</v>
      </c>
      <c r="K193" s="2037">
        <v>0</v>
      </c>
      <c r="L193" s="2038">
        <v>12</v>
      </c>
      <c r="M193" s="2039">
        <f>J193/L193</f>
        <v>84</v>
      </c>
      <c r="N193" s="2040">
        <v>45908</v>
      </c>
      <c r="O193" s="2040">
        <v>45904</v>
      </c>
      <c r="P193" s="2133" t="s">
        <v>921</v>
      </c>
      <c r="Q193" s="1363" t="s">
        <v>56</v>
      </c>
      <c r="R193" s="1363" t="s">
        <v>940</v>
      </c>
      <c r="S193" s="1406" t="s">
        <v>861</v>
      </c>
      <c r="T193" s="1364"/>
      <c r="U193" s="1364" t="s">
        <v>923</v>
      </c>
      <c r="V193" s="1365" t="s">
        <v>863</v>
      </c>
      <c r="W193" s="2055" t="s">
        <v>864</v>
      </c>
      <c r="X193" s="2087" t="s">
        <v>609</v>
      </c>
      <c r="Y193" s="2106">
        <v>3.4758</v>
      </c>
      <c r="Z193" s="2066">
        <f t="shared" ref="Z193:Z198" si="60">Y193*J193</f>
        <v>3503.6064</v>
      </c>
      <c r="AA193" s="2068" t="s">
        <v>941</v>
      </c>
      <c r="AB193" s="2107">
        <v>1008</v>
      </c>
      <c r="AC193" s="2068">
        <f t="shared" si="48"/>
        <v>0</v>
      </c>
      <c r="AD193" s="2108" t="s">
        <v>81</v>
      </c>
      <c r="AE193" s="1402" t="s">
        <v>63</v>
      </c>
      <c r="AF193" s="1402" t="s">
        <v>38</v>
      </c>
      <c r="AG193" s="1363"/>
      <c r="AH193" s="2073">
        <f t="shared" ref="AH193:AH198" si="61">J193</f>
        <v>1008</v>
      </c>
      <c r="AI193" s="2073"/>
      <c r="AJ193" s="2085"/>
      <c r="AK193" s="2086"/>
      <c r="AL193" s="2042"/>
      <c r="AM193" s="2042">
        <f>J193</f>
        <v>1008</v>
      </c>
      <c r="AN193" s="2086"/>
      <c r="AO193" s="2086"/>
      <c r="AP193" s="2086"/>
      <c r="AQ193" s="2086"/>
      <c r="AR193" s="2086"/>
      <c r="AS193" s="2162"/>
      <c r="AT193" s="2162"/>
      <c r="AU193" s="2162"/>
      <c r="AV193" s="2162"/>
      <c r="AW193" s="2042">
        <f t="shared" ref="AW193:AW198" si="62">J193</f>
        <v>1008</v>
      </c>
      <c r="AX193" s="2042"/>
      <c r="AY193" s="2042"/>
      <c r="AZ193" s="2162"/>
      <c r="BA193" s="2085"/>
      <c r="BB193" s="2085"/>
      <c r="BC193" s="2085"/>
      <c r="BD193" s="2094">
        <f t="shared" si="57"/>
        <v>1008</v>
      </c>
      <c r="BE193" s="2094">
        <f t="shared" si="58"/>
        <v>0</v>
      </c>
    </row>
    <row r="194" s="1988" customFormat="1" ht="36" customHeight="1" spans="1:57">
      <c r="A194" s="2018">
        <v>45859</v>
      </c>
      <c r="B194" s="2122" t="s">
        <v>230</v>
      </c>
      <c r="C194" s="2123" t="s">
        <v>91</v>
      </c>
      <c r="D194" s="2124">
        <v>4500173503</v>
      </c>
      <c r="E194" s="2125">
        <v>60235195</v>
      </c>
      <c r="F194" s="2163" t="s">
        <v>942</v>
      </c>
      <c r="G194" s="1989" t="s">
        <v>54</v>
      </c>
      <c r="H194" s="2038" t="s">
        <v>54</v>
      </c>
      <c r="I194" s="2134" t="s">
        <v>55</v>
      </c>
      <c r="J194" s="2038">
        <v>9840</v>
      </c>
      <c r="K194" s="2037">
        <v>0</v>
      </c>
      <c r="L194" s="2038">
        <v>12</v>
      </c>
      <c r="M194" s="2039">
        <f>J194/L194</f>
        <v>820</v>
      </c>
      <c r="N194" s="2040">
        <v>45920</v>
      </c>
      <c r="O194" s="2040">
        <v>45916</v>
      </c>
      <c r="P194" s="1402"/>
      <c r="Q194" s="1363" t="s">
        <v>56</v>
      </c>
      <c r="R194" s="2135" t="s">
        <v>943</v>
      </c>
      <c r="S194" s="1406" t="s">
        <v>929</v>
      </c>
      <c r="T194" s="1364"/>
      <c r="U194" s="1407" t="s">
        <v>917</v>
      </c>
      <c r="V194" s="1365" t="s">
        <v>837</v>
      </c>
      <c r="W194" s="2146" t="s">
        <v>816</v>
      </c>
      <c r="X194" s="2039" t="s">
        <v>681</v>
      </c>
      <c r="Y194" s="2153">
        <v>1.919</v>
      </c>
      <c r="Z194" s="2154">
        <f t="shared" si="60"/>
        <v>18882.96</v>
      </c>
      <c r="AA194" s="2156" t="s">
        <v>944</v>
      </c>
      <c r="AB194" s="2155">
        <f>3780+1980+4080</f>
        <v>9840</v>
      </c>
      <c r="AC194" s="2068">
        <f t="shared" si="48"/>
        <v>0</v>
      </c>
      <c r="AD194" s="2108" t="s">
        <v>81</v>
      </c>
      <c r="AE194" s="1402" t="s">
        <v>63</v>
      </c>
      <c r="AF194" s="1402" t="s">
        <v>38</v>
      </c>
      <c r="AG194" s="2135"/>
      <c r="AH194" s="2073">
        <f t="shared" si="61"/>
        <v>9840</v>
      </c>
      <c r="AI194" s="2073"/>
      <c r="AJ194" s="2085"/>
      <c r="AK194" s="2159"/>
      <c r="AL194" s="2042">
        <f>J194</f>
        <v>9840</v>
      </c>
      <c r="AM194" s="2073"/>
      <c r="AN194" s="2159"/>
      <c r="AO194" s="2159"/>
      <c r="AP194" s="2159"/>
      <c r="AQ194" s="2159"/>
      <c r="AR194" s="2159"/>
      <c r="AS194" s="2162"/>
      <c r="AT194" s="2162"/>
      <c r="AU194" s="2162"/>
      <c r="AV194" s="2162"/>
      <c r="AW194" s="2073">
        <f t="shared" si="62"/>
        <v>9840</v>
      </c>
      <c r="AX194" s="2073"/>
      <c r="AY194" s="2073"/>
      <c r="AZ194" s="2162"/>
      <c r="BA194" s="2085"/>
      <c r="BB194" s="2085"/>
      <c r="BC194" s="2085"/>
      <c r="BD194" s="2094">
        <f t="shared" si="57"/>
        <v>9840</v>
      </c>
      <c r="BE194" s="2094">
        <f t="shared" si="58"/>
        <v>0</v>
      </c>
    </row>
    <row r="195" s="1988" customFormat="1" ht="36" customHeight="1" spans="1:57">
      <c r="A195" s="2018">
        <v>45859</v>
      </c>
      <c r="B195" s="2098" t="s">
        <v>945</v>
      </c>
      <c r="C195" s="1723" t="s">
        <v>493</v>
      </c>
      <c r="D195" s="2114">
        <v>4500174492</v>
      </c>
      <c r="E195" s="2100">
        <v>4400498110</v>
      </c>
      <c r="F195" s="2019" t="s">
        <v>946</v>
      </c>
      <c r="G195" s="1989" t="s">
        <v>495</v>
      </c>
      <c r="H195" s="1989" t="s">
        <v>54</v>
      </c>
      <c r="I195" s="2103" t="s">
        <v>55</v>
      </c>
      <c r="J195" s="1989">
        <v>552</v>
      </c>
      <c r="K195" s="2037">
        <v>0</v>
      </c>
      <c r="L195" s="2038">
        <v>12</v>
      </c>
      <c r="M195" s="2039">
        <f t="shared" ref="M190:M207" si="63">J195/L195</f>
        <v>46</v>
      </c>
      <c r="N195" s="2040">
        <v>45915</v>
      </c>
      <c r="O195" s="2040">
        <v>45911</v>
      </c>
      <c r="P195" s="1402" t="s">
        <v>947</v>
      </c>
      <c r="Q195" s="1363" t="s">
        <v>56</v>
      </c>
      <c r="R195" s="1363" t="s">
        <v>948</v>
      </c>
      <c r="S195" s="1406" t="s">
        <v>949</v>
      </c>
      <c r="T195" s="1364"/>
      <c r="U195" s="1364" t="s">
        <v>950</v>
      </c>
      <c r="V195" s="1365" t="s">
        <v>951</v>
      </c>
      <c r="W195" s="2055" t="s">
        <v>952</v>
      </c>
      <c r="X195" s="2087" t="s">
        <v>953</v>
      </c>
      <c r="Y195" s="2106">
        <v>3.7451</v>
      </c>
      <c r="Z195" s="2066">
        <f t="shared" si="60"/>
        <v>2067.2952</v>
      </c>
      <c r="AA195" s="2068" t="s">
        <v>954</v>
      </c>
      <c r="AB195" s="2107">
        <v>552</v>
      </c>
      <c r="AC195" s="2068">
        <f t="shared" si="48"/>
        <v>0</v>
      </c>
      <c r="AD195" s="2108" t="s">
        <v>327</v>
      </c>
      <c r="AE195" s="1402" t="s">
        <v>63</v>
      </c>
      <c r="AF195" s="1402" t="s">
        <v>38</v>
      </c>
      <c r="AG195" s="1363"/>
      <c r="AH195" s="2073">
        <f t="shared" si="61"/>
        <v>552</v>
      </c>
      <c r="AI195" s="2073"/>
      <c r="AJ195" s="2085"/>
      <c r="AK195" s="2086"/>
      <c r="AL195" s="2042"/>
      <c r="AM195" s="2042">
        <f>J195</f>
        <v>552</v>
      </c>
      <c r="AN195" s="2086"/>
      <c r="AO195" s="2086"/>
      <c r="AP195" s="2086"/>
      <c r="AQ195" s="2086"/>
      <c r="AR195" s="2086"/>
      <c r="AS195" s="2162"/>
      <c r="AT195" s="2162"/>
      <c r="AU195" s="2162"/>
      <c r="AV195" s="2162"/>
      <c r="AW195" s="2073">
        <f t="shared" si="62"/>
        <v>552</v>
      </c>
      <c r="AX195" s="2042"/>
      <c r="AY195" s="2042"/>
      <c r="AZ195" s="2162"/>
      <c r="BA195" s="2085"/>
      <c r="BB195" s="2085"/>
      <c r="BC195" s="2085"/>
      <c r="BD195" s="2094">
        <f t="shared" si="57"/>
        <v>552</v>
      </c>
      <c r="BE195" s="2094">
        <f t="shared" si="58"/>
        <v>0</v>
      </c>
    </row>
    <row r="196" s="1988" customFormat="1" ht="36" customHeight="1" spans="1:57">
      <c r="A196" s="2018">
        <v>45859</v>
      </c>
      <c r="B196" s="2098" t="s">
        <v>945</v>
      </c>
      <c r="C196" s="1723" t="s">
        <v>493</v>
      </c>
      <c r="D196" s="2114">
        <v>4500174490</v>
      </c>
      <c r="E196" s="2100">
        <v>4400498111</v>
      </c>
      <c r="F196" s="2019" t="s">
        <v>955</v>
      </c>
      <c r="G196" s="1989" t="s">
        <v>495</v>
      </c>
      <c r="H196" s="1989" t="s">
        <v>54</v>
      </c>
      <c r="I196" s="2103" t="s">
        <v>55</v>
      </c>
      <c r="J196" s="1989">
        <v>456</v>
      </c>
      <c r="K196" s="2037">
        <v>0</v>
      </c>
      <c r="L196" s="2038">
        <v>12</v>
      </c>
      <c r="M196" s="2039">
        <f t="shared" si="63"/>
        <v>38</v>
      </c>
      <c r="N196" s="2040">
        <v>45915</v>
      </c>
      <c r="O196" s="2040">
        <v>45911</v>
      </c>
      <c r="P196" s="1402" t="s">
        <v>947</v>
      </c>
      <c r="Q196" s="1363" t="s">
        <v>56</v>
      </c>
      <c r="R196" s="1363" t="s">
        <v>956</v>
      </c>
      <c r="S196" s="1406" t="s">
        <v>949</v>
      </c>
      <c r="T196" s="1364"/>
      <c r="U196" s="1364" t="s">
        <v>950</v>
      </c>
      <c r="V196" s="1365" t="s">
        <v>951</v>
      </c>
      <c r="W196" s="2055" t="s">
        <v>957</v>
      </c>
      <c r="X196" s="2087" t="s">
        <v>953</v>
      </c>
      <c r="Y196" s="2106">
        <v>3.8309</v>
      </c>
      <c r="Z196" s="2066">
        <f t="shared" si="60"/>
        <v>1746.8904</v>
      </c>
      <c r="AA196" s="2068" t="s">
        <v>958</v>
      </c>
      <c r="AB196" s="2107">
        <v>456</v>
      </c>
      <c r="AC196" s="2068">
        <f t="shared" si="48"/>
        <v>0</v>
      </c>
      <c r="AD196" s="2108" t="s">
        <v>81</v>
      </c>
      <c r="AE196" s="1402" t="s">
        <v>63</v>
      </c>
      <c r="AF196" s="1402" t="s">
        <v>38</v>
      </c>
      <c r="AG196" s="1363"/>
      <c r="AH196" s="2073">
        <f t="shared" si="61"/>
        <v>456</v>
      </c>
      <c r="AI196" s="2073"/>
      <c r="AJ196" s="2085"/>
      <c r="AK196" s="2088"/>
      <c r="AL196" s="2042"/>
      <c r="AM196" s="2042">
        <f>J196</f>
        <v>456</v>
      </c>
      <c r="AN196" s="2086"/>
      <c r="AO196" s="2086"/>
      <c r="AP196" s="2086"/>
      <c r="AQ196" s="2086"/>
      <c r="AR196" s="2086"/>
      <c r="AS196" s="2162"/>
      <c r="AT196" s="2162"/>
      <c r="AU196" s="2162"/>
      <c r="AV196" s="2162"/>
      <c r="AW196" s="2073">
        <f t="shared" si="62"/>
        <v>456</v>
      </c>
      <c r="AX196" s="2042"/>
      <c r="AY196" s="2042"/>
      <c r="AZ196" s="2216"/>
      <c r="BA196" s="2085"/>
      <c r="BB196" s="2085"/>
      <c r="BC196" s="2085"/>
      <c r="BD196" s="2094">
        <f t="shared" si="57"/>
        <v>456</v>
      </c>
      <c r="BE196" s="2094">
        <f t="shared" si="58"/>
        <v>0</v>
      </c>
    </row>
    <row r="197" s="1988" customFormat="1" ht="36" customHeight="1" spans="1:57">
      <c r="A197" s="2018">
        <v>45855</v>
      </c>
      <c r="B197" s="2098" t="s">
        <v>918</v>
      </c>
      <c r="C197" s="1723" t="s">
        <v>123</v>
      </c>
      <c r="D197" s="2099">
        <v>4500174212</v>
      </c>
      <c r="E197" s="2100">
        <v>4400490499</v>
      </c>
      <c r="F197" s="2019" t="s">
        <v>959</v>
      </c>
      <c r="G197" s="1723" t="s">
        <v>125</v>
      </c>
      <c r="H197" s="1989" t="s">
        <v>54</v>
      </c>
      <c r="I197" s="2103" t="s">
        <v>55</v>
      </c>
      <c r="J197" s="1989">
        <v>2004</v>
      </c>
      <c r="K197" s="2037">
        <v>0</v>
      </c>
      <c r="L197" s="2038">
        <v>12</v>
      </c>
      <c r="M197" s="2039">
        <f t="shared" si="63"/>
        <v>167</v>
      </c>
      <c r="N197" s="2040">
        <v>45919</v>
      </c>
      <c r="O197" s="2040">
        <v>45915</v>
      </c>
      <c r="P197" s="1402" t="s">
        <v>960</v>
      </c>
      <c r="Q197" s="1363" t="s">
        <v>56</v>
      </c>
      <c r="R197" s="1363"/>
      <c r="S197" s="1406" t="s">
        <v>861</v>
      </c>
      <c r="T197" s="1364"/>
      <c r="U197" s="1364" t="s">
        <v>923</v>
      </c>
      <c r="V197" s="1365" t="s">
        <v>961</v>
      </c>
      <c r="W197" s="2055" t="s">
        <v>864</v>
      </c>
      <c r="X197" s="2087" t="s">
        <v>609</v>
      </c>
      <c r="Y197" s="2106">
        <v>3.389</v>
      </c>
      <c r="Z197" s="2066">
        <f t="shared" si="60"/>
        <v>6791.556</v>
      </c>
      <c r="AA197" s="2068" t="s">
        <v>962</v>
      </c>
      <c r="AB197" s="2107">
        <f>864+1140</f>
        <v>2004</v>
      </c>
      <c r="AC197" s="2068">
        <f t="shared" si="48"/>
        <v>0</v>
      </c>
      <c r="AD197" s="2108" t="s">
        <v>81</v>
      </c>
      <c r="AE197" s="1402" t="s">
        <v>63</v>
      </c>
      <c r="AF197" s="1402" t="s">
        <v>38</v>
      </c>
      <c r="AG197" s="1363"/>
      <c r="AH197" s="2073">
        <f t="shared" si="61"/>
        <v>2004</v>
      </c>
      <c r="AI197" s="2073"/>
      <c r="AJ197" s="2085"/>
      <c r="AK197" s="2204"/>
      <c r="AL197" s="2042"/>
      <c r="AM197" s="2042">
        <f>J197</f>
        <v>2004</v>
      </c>
      <c r="AN197" s="2204"/>
      <c r="AO197" s="2204"/>
      <c r="AP197" s="2204"/>
      <c r="AQ197" s="2204"/>
      <c r="AR197" s="2204"/>
      <c r="AS197" s="2210"/>
      <c r="AT197" s="2210"/>
      <c r="AU197" s="2210"/>
      <c r="AV197" s="2210"/>
      <c r="AW197" s="2042">
        <f t="shared" si="62"/>
        <v>2004</v>
      </c>
      <c r="AX197" s="2042"/>
      <c r="AY197" s="2042"/>
      <c r="AZ197" s="2210"/>
      <c r="BA197" s="2085"/>
      <c r="BB197" s="2085"/>
      <c r="BC197" s="2085"/>
      <c r="BD197" s="2094">
        <f t="shared" si="57"/>
        <v>2004</v>
      </c>
      <c r="BE197" s="2094">
        <f t="shared" si="58"/>
        <v>0</v>
      </c>
    </row>
    <row r="198" s="1988" customFormat="1" ht="36" customHeight="1" spans="1:57">
      <c r="A198" s="2018">
        <v>45874</v>
      </c>
      <c r="B198" s="2098" t="s">
        <v>963</v>
      </c>
      <c r="C198" s="1723" t="s">
        <v>91</v>
      </c>
      <c r="D198" s="2099">
        <v>4500175962</v>
      </c>
      <c r="E198" s="2100" t="s">
        <v>964</v>
      </c>
      <c r="F198" s="2019" t="s">
        <v>965</v>
      </c>
      <c r="G198" s="1989" t="s">
        <v>54</v>
      </c>
      <c r="H198" s="1989" t="s">
        <v>54</v>
      </c>
      <c r="I198" s="2103" t="s">
        <v>55</v>
      </c>
      <c r="J198" s="1989">
        <v>156</v>
      </c>
      <c r="K198" s="2037">
        <v>0</v>
      </c>
      <c r="L198" s="2038">
        <v>12</v>
      </c>
      <c r="M198" s="2039">
        <f t="shared" si="63"/>
        <v>13</v>
      </c>
      <c r="N198" s="2040">
        <v>45919</v>
      </c>
      <c r="O198" s="2040">
        <v>45915</v>
      </c>
      <c r="P198" s="1402"/>
      <c r="Q198" s="1363" t="s">
        <v>56</v>
      </c>
      <c r="R198" s="1363" t="s">
        <v>966</v>
      </c>
      <c r="S198" s="1406" t="s">
        <v>967</v>
      </c>
      <c r="T198" s="1364"/>
      <c r="U198" s="1364" t="s">
        <v>968</v>
      </c>
      <c r="V198" s="1365" t="s">
        <v>969</v>
      </c>
      <c r="W198" s="2055" t="s">
        <v>970</v>
      </c>
      <c r="X198" s="2087" t="s">
        <v>971</v>
      </c>
      <c r="Y198" s="2106">
        <v>2.2471</v>
      </c>
      <c r="Z198" s="2066">
        <f t="shared" si="60"/>
        <v>350.5476</v>
      </c>
      <c r="AA198" s="2068" t="s">
        <v>972</v>
      </c>
      <c r="AB198" s="2107">
        <v>156</v>
      </c>
      <c r="AC198" s="2068">
        <f t="shared" si="48"/>
        <v>0</v>
      </c>
      <c r="AD198" s="2108" t="s">
        <v>81</v>
      </c>
      <c r="AE198" s="1402" t="s">
        <v>63</v>
      </c>
      <c r="AF198" s="1402" t="s">
        <v>38</v>
      </c>
      <c r="AG198" s="1363"/>
      <c r="AH198" s="2073">
        <f t="shared" si="61"/>
        <v>156</v>
      </c>
      <c r="AI198" s="2073"/>
      <c r="AJ198" s="2085"/>
      <c r="AK198" s="2042"/>
      <c r="AL198" s="2042">
        <f t="shared" ref="AL198:AL206" si="64">J198</f>
        <v>156</v>
      </c>
      <c r="AM198" s="2042"/>
      <c r="AN198" s="2042"/>
      <c r="AO198" s="2042"/>
      <c r="AP198" s="2042"/>
      <c r="AQ198" s="2042"/>
      <c r="AR198" s="2042"/>
      <c r="AS198" s="2211"/>
      <c r="AT198" s="2211"/>
      <c r="AU198" s="2211"/>
      <c r="AV198" s="2211"/>
      <c r="AW198" s="2073">
        <f t="shared" si="62"/>
        <v>156</v>
      </c>
      <c r="AX198" s="2042"/>
      <c r="AY198" s="2042"/>
      <c r="AZ198" s="2211"/>
      <c r="BA198" s="2085"/>
      <c r="BB198" s="2085"/>
      <c r="BC198" s="2085"/>
      <c r="BD198" s="2094">
        <f t="shared" si="57"/>
        <v>156</v>
      </c>
      <c r="BE198" s="2094">
        <f t="shared" si="58"/>
        <v>0</v>
      </c>
    </row>
    <row r="199" s="1988" customFormat="1" ht="36" customHeight="1" spans="1:57">
      <c r="A199" s="2018">
        <v>45881</v>
      </c>
      <c r="B199" s="2098" t="s">
        <v>589</v>
      </c>
      <c r="C199" s="1723" t="s">
        <v>91</v>
      </c>
      <c r="D199" s="2099">
        <v>4500176711</v>
      </c>
      <c r="E199" s="2100">
        <v>217979926</v>
      </c>
      <c r="F199" s="2019" t="s">
        <v>973</v>
      </c>
      <c r="G199" s="1989" t="s">
        <v>591</v>
      </c>
      <c r="H199" s="1989" t="s">
        <v>591</v>
      </c>
      <c r="I199" s="2103" t="s">
        <v>484</v>
      </c>
      <c r="J199" s="1989">
        <v>1226</v>
      </c>
      <c r="K199" s="2037">
        <v>0</v>
      </c>
      <c r="L199" s="2038">
        <v>2</v>
      </c>
      <c r="M199" s="2039">
        <f t="shared" si="63"/>
        <v>613</v>
      </c>
      <c r="N199" s="2040">
        <v>45919</v>
      </c>
      <c r="O199" s="2040">
        <v>45915</v>
      </c>
      <c r="P199" s="1402"/>
      <c r="Q199" s="1363" t="s">
        <v>56</v>
      </c>
      <c r="R199" s="1363" t="s">
        <v>966</v>
      </c>
      <c r="S199" s="1406" t="s">
        <v>974</v>
      </c>
      <c r="T199" s="1364"/>
      <c r="U199" s="1407" t="s">
        <v>58</v>
      </c>
      <c r="V199" s="1365" t="s">
        <v>594</v>
      </c>
      <c r="W199" s="2055" t="s">
        <v>595</v>
      </c>
      <c r="X199" s="2087" t="s">
        <v>975</v>
      </c>
      <c r="Y199" s="2106">
        <v>5.015</v>
      </c>
      <c r="Z199" s="2066">
        <f>Y199*M199</f>
        <v>3074.195</v>
      </c>
      <c r="AA199" s="2068" t="s">
        <v>976</v>
      </c>
      <c r="AB199" s="2107">
        <f>1214+12</f>
        <v>1226</v>
      </c>
      <c r="AC199" s="2068">
        <f t="shared" si="48"/>
        <v>0</v>
      </c>
      <c r="AD199" s="2108"/>
      <c r="AE199" s="1402" t="s">
        <v>63</v>
      </c>
      <c r="AF199" s="1402" t="s">
        <v>38</v>
      </c>
      <c r="AG199" s="1363"/>
      <c r="AH199" s="2073">
        <v>409</v>
      </c>
      <c r="AI199" s="2073">
        <v>409</v>
      </c>
      <c r="AJ199" s="2085">
        <v>408</v>
      </c>
      <c r="AK199" s="2204"/>
      <c r="AL199" s="2042">
        <f t="shared" si="64"/>
        <v>1226</v>
      </c>
      <c r="AM199" s="2042"/>
      <c r="AN199" s="2204"/>
      <c r="AO199" s="2204"/>
      <c r="AP199" s="2204"/>
      <c r="AQ199" s="2204"/>
      <c r="AR199" s="2204"/>
      <c r="AS199" s="2210"/>
      <c r="AT199" s="2210"/>
      <c r="AU199" s="2210"/>
      <c r="AV199" s="2210"/>
      <c r="AW199" s="2073">
        <f>AH199</f>
        <v>409</v>
      </c>
      <c r="AX199" s="2042">
        <f>AI199</f>
        <v>409</v>
      </c>
      <c r="AY199" s="2042">
        <f>AJ199</f>
        <v>408</v>
      </c>
      <c r="AZ199" s="2210"/>
      <c r="BA199" s="2042"/>
      <c r="BB199" s="2042"/>
      <c r="BC199" s="2042"/>
      <c r="BD199" s="2094">
        <f t="shared" si="57"/>
        <v>1226</v>
      </c>
      <c r="BE199" s="2094">
        <f t="shared" si="58"/>
        <v>0</v>
      </c>
    </row>
    <row r="200" s="1988" customFormat="1" ht="36" customHeight="1" spans="1:57">
      <c r="A200" s="2018">
        <v>45881</v>
      </c>
      <c r="B200" s="2098" t="s">
        <v>589</v>
      </c>
      <c r="C200" s="1723" t="s">
        <v>91</v>
      </c>
      <c r="D200" s="2099">
        <v>4500176710</v>
      </c>
      <c r="E200" s="2100">
        <v>217979822</v>
      </c>
      <c r="F200" s="2019" t="s">
        <v>977</v>
      </c>
      <c r="G200" s="1989" t="s">
        <v>591</v>
      </c>
      <c r="H200" s="1989" t="s">
        <v>591</v>
      </c>
      <c r="I200" s="2103" t="s">
        <v>484</v>
      </c>
      <c r="J200" s="1989">
        <v>976</v>
      </c>
      <c r="K200" s="2037">
        <v>0</v>
      </c>
      <c r="L200" s="2038">
        <v>2</v>
      </c>
      <c r="M200" s="2039">
        <f t="shared" si="63"/>
        <v>488</v>
      </c>
      <c r="N200" s="2040">
        <v>45919</v>
      </c>
      <c r="O200" s="2040">
        <v>45915</v>
      </c>
      <c r="P200" s="1402"/>
      <c r="Q200" s="1363" t="s">
        <v>56</v>
      </c>
      <c r="R200" s="1363" t="s">
        <v>978</v>
      </c>
      <c r="S200" s="1406" t="s">
        <v>974</v>
      </c>
      <c r="T200" s="1364"/>
      <c r="U200" s="1407" t="s">
        <v>58</v>
      </c>
      <c r="V200" s="1365" t="s">
        <v>594</v>
      </c>
      <c r="W200" s="2055" t="s">
        <v>595</v>
      </c>
      <c r="X200" s="2087" t="s">
        <v>975</v>
      </c>
      <c r="Y200" s="2106">
        <v>5.015</v>
      </c>
      <c r="Z200" s="2066">
        <f>Y200*M200</f>
        <v>2447.32</v>
      </c>
      <c r="AA200" s="2068" t="s">
        <v>979</v>
      </c>
      <c r="AB200" s="2107">
        <v>976</v>
      </c>
      <c r="AC200" s="2068">
        <f t="shared" si="48"/>
        <v>0</v>
      </c>
      <c r="AD200" s="2108"/>
      <c r="AE200" s="1402" t="s">
        <v>63</v>
      </c>
      <c r="AF200" s="1402" t="s">
        <v>38</v>
      </c>
      <c r="AG200" s="1363"/>
      <c r="AH200" s="2073">
        <v>325</v>
      </c>
      <c r="AI200" s="2073">
        <v>325</v>
      </c>
      <c r="AJ200" s="2085">
        <v>326</v>
      </c>
      <c r="AK200" s="2204"/>
      <c r="AL200" s="2042">
        <f t="shared" si="64"/>
        <v>976</v>
      </c>
      <c r="AM200" s="2042"/>
      <c r="AN200" s="2204"/>
      <c r="AO200" s="2204"/>
      <c r="AP200" s="2204"/>
      <c r="AQ200" s="2204"/>
      <c r="AR200" s="2204"/>
      <c r="AS200" s="2210"/>
      <c r="AT200" s="2210"/>
      <c r="AU200" s="2210"/>
      <c r="AV200" s="2210"/>
      <c r="AW200" s="2073">
        <f>AH200</f>
        <v>325</v>
      </c>
      <c r="AX200" s="2042">
        <f>AI200</f>
        <v>325</v>
      </c>
      <c r="AY200" s="2042">
        <f>AJ200</f>
        <v>326</v>
      </c>
      <c r="AZ200" s="2210"/>
      <c r="BA200" s="2042"/>
      <c r="BB200" s="2042"/>
      <c r="BC200" s="2042"/>
      <c r="BD200" s="2094">
        <f t="shared" si="57"/>
        <v>976</v>
      </c>
      <c r="BE200" s="2094">
        <f t="shared" si="58"/>
        <v>0</v>
      </c>
    </row>
    <row r="201" s="1988" customFormat="1" ht="36" customHeight="1" spans="1:57">
      <c r="A201" s="2018">
        <v>45863</v>
      </c>
      <c r="B201" s="2098" t="s">
        <v>980</v>
      </c>
      <c r="C201" s="1723" t="s">
        <v>91</v>
      </c>
      <c r="D201" s="2099">
        <v>4500174994</v>
      </c>
      <c r="E201" s="2327" t="s">
        <v>981</v>
      </c>
      <c r="F201" s="2019" t="s">
        <v>982</v>
      </c>
      <c r="G201" s="1989" t="s">
        <v>94</v>
      </c>
      <c r="H201" s="1989" t="s">
        <v>94</v>
      </c>
      <c r="I201" s="2036" t="s">
        <v>55</v>
      </c>
      <c r="J201" s="1989">
        <v>556</v>
      </c>
      <c r="K201" s="2037">
        <v>0</v>
      </c>
      <c r="L201" s="2038">
        <v>2</v>
      </c>
      <c r="M201" s="2039">
        <f t="shared" si="63"/>
        <v>278</v>
      </c>
      <c r="N201" s="2040">
        <v>45926</v>
      </c>
      <c r="O201" s="2040">
        <v>45922</v>
      </c>
      <c r="P201" s="1402" t="s">
        <v>983</v>
      </c>
      <c r="Q201" s="1363" t="s">
        <v>56</v>
      </c>
      <c r="R201" s="1363" t="s">
        <v>984</v>
      </c>
      <c r="S201" s="1406" t="s">
        <v>985</v>
      </c>
      <c r="T201" s="1364"/>
      <c r="U201" s="1364" t="s">
        <v>986</v>
      </c>
      <c r="V201" s="1365" t="s">
        <v>987</v>
      </c>
      <c r="W201" s="2055" t="s">
        <v>988</v>
      </c>
      <c r="X201" s="2087" t="s">
        <v>101</v>
      </c>
      <c r="Y201" s="2065">
        <v>2.3957</v>
      </c>
      <c r="Z201" s="2066">
        <f>Y201*J201</f>
        <v>1332.0092</v>
      </c>
      <c r="AA201" s="2068" t="s">
        <v>989</v>
      </c>
      <c r="AB201" s="2107">
        <v>556</v>
      </c>
      <c r="AC201" s="2068">
        <f t="shared" si="48"/>
        <v>0</v>
      </c>
      <c r="AD201" s="2108" t="s">
        <v>81</v>
      </c>
      <c r="AE201" s="1402" t="s">
        <v>63</v>
      </c>
      <c r="AF201" s="1402" t="s">
        <v>38</v>
      </c>
      <c r="AG201" s="1363"/>
      <c r="AH201" s="2073">
        <f>J201</f>
        <v>556</v>
      </c>
      <c r="AI201" s="2073"/>
      <c r="AJ201" s="2085"/>
      <c r="AK201" s="2204"/>
      <c r="AL201" s="2042">
        <f t="shared" si="64"/>
        <v>556</v>
      </c>
      <c r="AM201" s="2042"/>
      <c r="AN201" s="2204"/>
      <c r="AO201" s="2204"/>
      <c r="AP201" s="2204"/>
      <c r="AQ201" s="2204"/>
      <c r="AR201" s="2204"/>
      <c r="AS201" s="2210"/>
      <c r="AT201" s="2210"/>
      <c r="AU201" s="2210"/>
      <c r="AV201" s="2210"/>
      <c r="AW201" s="2042"/>
      <c r="AX201" s="2042"/>
      <c r="AY201" s="2042"/>
      <c r="AZ201" s="2210"/>
      <c r="BA201" s="2085">
        <f>J201</f>
        <v>556</v>
      </c>
      <c r="BB201" s="2085"/>
      <c r="BC201" s="2085"/>
      <c r="BD201" s="2094">
        <f t="shared" si="57"/>
        <v>556</v>
      </c>
      <c r="BE201" s="2094">
        <f t="shared" si="58"/>
        <v>0</v>
      </c>
    </row>
    <row r="202" s="1988" customFormat="1" ht="36" customHeight="1" spans="1:57">
      <c r="A202" s="2018">
        <v>45862</v>
      </c>
      <c r="B202" s="2098" t="s">
        <v>811</v>
      </c>
      <c r="C202" s="2123" t="s">
        <v>91</v>
      </c>
      <c r="D202" s="2114">
        <v>4500174764</v>
      </c>
      <c r="E202" s="2100">
        <v>70072639</v>
      </c>
      <c r="F202" s="2019" t="s">
        <v>990</v>
      </c>
      <c r="G202" s="1989" t="s">
        <v>54</v>
      </c>
      <c r="H202" s="1989" t="s">
        <v>54</v>
      </c>
      <c r="I202" s="2103" t="s">
        <v>55</v>
      </c>
      <c r="J202" s="1989">
        <v>1200</v>
      </c>
      <c r="K202" s="2037">
        <v>0</v>
      </c>
      <c r="L202" s="2038">
        <v>12</v>
      </c>
      <c r="M202" s="2039">
        <f t="shared" si="63"/>
        <v>100</v>
      </c>
      <c r="N202" s="2040">
        <v>45918</v>
      </c>
      <c r="O202" s="2040">
        <v>45915</v>
      </c>
      <c r="P202" s="1402"/>
      <c r="Q202" s="1363" t="s">
        <v>56</v>
      </c>
      <c r="R202" s="1363" t="s">
        <v>991</v>
      </c>
      <c r="S202" s="1406" t="s">
        <v>967</v>
      </c>
      <c r="T202" s="1364"/>
      <c r="U202" s="1405" t="s">
        <v>917</v>
      </c>
      <c r="V202" s="1365" t="s">
        <v>235</v>
      </c>
      <c r="W202" s="2055" t="s">
        <v>816</v>
      </c>
      <c r="X202" s="2087" t="s">
        <v>681</v>
      </c>
      <c r="Y202" s="2106">
        <v>2.034</v>
      </c>
      <c r="Z202" s="2066">
        <f>Y202*J202</f>
        <v>2440.8</v>
      </c>
      <c r="AA202" s="2068" t="s">
        <v>992</v>
      </c>
      <c r="AB202" s="2107">
        <v>1200</v>
      </c>
      <c r="AC202" s="2068">
        <f t="shared" si="48"/>
        <v>0</v>
      </c>
      <c r="AD202" s="2108" t="s">
        <v>81</v>
      </c>
      <c r="AE202" s="1402" t="s">
        <v>63</v>
      </c>
      <c r="AF202" s="1402" t="s">
        <v>38</v>
      </c>
      <c r="AG202" s="1363"/>
      <c r="AH202" s="2073">
        <f>J202</f>
        <v>1200</v>
      </c>
      <c r="AI202" s="2073"/>
      <c r="AJ202" s="2085"/>
      <c r="AK202" s="2204"/>
      <c r="AL202" s="2042">
        <f t="shared" si="64"/>
        <v>1200</v>
      </c>
      <c r="AM202" s="2042"/>
      <c r="AN202" s="2204"/>
      <c r="AO202" s="2204"/>
      <c r="AP202" s="2204"/>
      <c r="AQ202" s="2204"/>
      <c r="AR202" s="2204"/>
      <c r="AS202" s="2210"/>
      <c r="AT202" s="2210"/>
      <c r="AU202" s="2210"/>
      <c r="AV202" s="2210"/>
      <c r="AW202" s="2073">
        <f>J202</f>
        <v>1200</v>
      </c>
      <c r="AX202" s="2042"/>
      <c r="AY202" s="2042"/>
      <c r="AZ202" s="2210"/>
      <c r="BA202" s="2085"/>
      <c r="BB202" s="2085"/>
      <c r="BC202" s="2085"/>
      <c r="BD202" s="2094">
        <f t="shared" si="57"/>
        <v>1200</v>
      </c>
      <c r="BE202" s="2094">
        <f t="shared" si="58"/>
        <v>0</v>
      </c>
    </row>
    <row r="203" s="1988" customFormat="1" ht="36" customHeight="1" spans="1:57">
      <c r="A203" s="2018">
        <v>45862</v>
      </c>
      <c r="B203" s="2098" t="s">
        <v>230</v>
      </c>
      <c r="C203" s="1723" t="s">
        <v>91</v>
      </c>
      <c r="D203" s="2099">
        <v>4500173505</v>
      </c>
      <c r="E203" s="2100">
        <v>60235199</v>
      </c>
      <c r="F203" s="2019" t="s">
        <v>993</v>
      </c>
      <c r="G203" s="1989" t="s">
        <v>54</v>
      </c>
      <c r="H203" s="1989" t="s">
        <v>54</v>
      </c>
      <c r="I203" s="2103" t="s">
        <v>55</v>
      </c>
      <c r="J203" s="1989">
        <v>4008</v>
      </c>
      <c r="K203" s="2037">
        <v>0</v>
      </c>
      <c r="L203" s="2038">
        <v>12</v>
      </c>
      <c r="M203" s="2039">
        <f t="shared" si="63"/>
        <v>334</v>
      </c>
      <c r="N203" s="2040">
        <v>45946</v>
      </c>
      <c r="O203" s="2040">
        <v>45943</v>
      </c>
      <c r="P203" s="1402"/>
      <c r="Q203" s="1363" t="s">
        <v>56</v>
      </c>
      <c r="R203" s="1363" t="s">
        <v>994</v>
      </c>
      <c r="S203" s="1406" t="s">
        <v>967</v>
      </c>
      <c r="T203" s="1364"/>
      <c r="U203" s="1405" t="s">
        <v>995</v>
      </c>
      <c r="V203" s="1365" t="s">
        <v>235</v>
      </c>
      <c r="W203" s="2055" t="s">
        <v>816</v>
      </c>
      <c r="X203" s="2087" t="s">
        <v>681</v>
      </c>
      <c r="Y203" s="2106">
        <v>1.9676</v>
      </c>
      <c r="Z203" s="2066">
        <f>Y203*J203</f>
        <v>7886.1408</v>
      </c>
      <c r="AA203" s="2068" t="s">
        <v>996</v>
      </c>
      <c r="AB203" s="2107">
        <v>4008</v>
      </c>
      <c r="AC203" s="2068">
        <f t="shared" si="48"/>
        <v>0</v>
      </c>
      <c r="AD203" s="2108" t="s">
        <v>81</v>
      </c>
      <c r="AE203" s="1402" t="s">
        <v>63</v>
      </c>
      <c r="AF203" s="1402" t="s">
        <v>38</v>
      </c>
      <c r="AG203" s="1363"/>
      <c r="AH203" s="2073">
        <f>J203</f>
        <v>4008</v>
      </c>
      <c r="AI203" s="2073"/>
      <c r="AJ203" s="2085"/>
      <c r="AK203" s="2204"/>
      <c r="AL203" s="2042">
        <f t="shared" si="64"/>
        <v>4008</v>
      </c>
      <c r="AM203" s="2042"/>
      <c r="AN203" s="2204"/>
      <c r="AO203" s="2204"/>
      <c r="AP203" s="2204"/>
      <c r="AQ203" s="2204"/>
      <c r="AR203" s="2204"/>
      <c r="AS203" s="2210"/>
      <c r="AT203" s="2210"/>
      <c r="AU203" s="2210"/>
      <c r="AV203" s="2210"/>
      <c r="AW203" s="2073">
        <f>J203</f>
        <v>4008</v>
      </c>
      <c r="AX203" s="2042"/>
      <c r="AY203" s="2042"/>
      <c r="AZ203" s="2210"/>
      <c r="BA203" s="2085"/>
      <c r="BB203" s="2085"/>
      <c r="BC203" s="2085"/>
      <c r="BD203" s="2094">
        <f t="shared" si="57"/>
        <v>4008</v>
      </c>
      <c r="BE203" s="2094">
        <f t="shared" si="58"/>
        <v>0</v>
      </c>
    </row>
    <row r="204" s="1988" customFormat="1" ht="36" customHeight="1" spans="1:57">
      <c r="A204" s="2018">
        <v>45902</v>
      </c>
      <c r="B204" s="2098" t="s">
        <v>997</v>
      </c>
      <c r="C204" s="1723" t="s">
        <v>91</v>
      </c>
      <c r="D204" s="2099">
        <v>4500178312</v>
      </c>
      <c r="E204" s="2100" t="s">
        <v>998</v>
      </c>
      <c r="F204" s="2019" t="s">
        <v>999</v>
      </c>
      <c r="G204" s="1989" t="s">
        <v>685</v>
      </c>
      <c r="H204" s="1989" t="s">
        <v>686</v>
      </c>
      <c r="I204" s="2103" t="s">
        <v>484</v>
      </c>
      <c r="J204" s="1989">
        <v>1008</v>
      </c>
      <c r="K204" s="2037">
        <v>0</v>
      </c>
      <c r="L204" s="2038">
        <v>12</v>
      </c>
      <c r="M204" s="2039">
        <f t="shared" si="63"/>
        <v>84</v>
      </c>
      <c r="N204" s="2040">
        <v>45950</v>
      </c>
      <c r="O204" s="2040">
        <v>45946</v>
      </c>
      <c r="P204" s="1402"/>
      <c r="Q204" s="1363" t="s">
        <v>56</v>
      </c>
      <c r="R204" s="1363" t="s">
        <v>1000</v>
      </c>
      <c r="S204" s="1406" t="s">
        <v>1001</v>
      </c>
      <c r="T204" s="1364"/>
      <c r="U204" s="1364" t="s">
        <v>1002</v>
      </c>
      <c r="V204" s="1365" t="s">
        <v>1003</v>
      </c>
      <c r="W204" s="2055" t="s">
        <v>1004</v>
      </c>
      <c r="X204" s="2087" t="s">
        <v>1005</v>
      </c>
      <c r="Y204" s="2106">
        <v>47.6236</v>
      </c>
      <c r="Z204" s="2066">
        <f>Y204*M204</f>
        <v>4000.3824</v>
      </c>
      <c r="AA204" s="2068"/>
      <c r="AB204" s="2107">
        <v>1008</v>
      </c>
      <c r="AC204" s="2068">
        <f t="shared" ref="AC204:AC222" si="65">AB204-J204</f>
        <v>0</v>
      </c>
      <c r="AD204" s="2108"/>
      <c r="AE204" s="1402" t="s">
        <v>63</v>
      </c>
      <c r="AF204" s="1402" t="s">
        <v>38</v>
      </c>
      <c r="AG204" s="1363"/>
      <c r="AH204" s="2073">
        <f>J204/3</f>
        <v>336</v>
      </c>
      <c r="AI204" s="2073">
        <f>J204/3</f>
        <v>336</v>
      </c>
      <c r="AJ204" s="2085">
        <f>J204/3</f>
        <v>336</v>
      </c>
      <c r="AK204" s="2205"/>
      <c r="AL204" s="2042">
        <f t="shared" si="64"/>
        <v>1008</v>
      </c>
      <c r="AM204" s="2042"/>
      <c r="AN204" s="2205"/>
      <c r="AO204" s="2205"/>
      <c r="AP204" s="2205"/>
      <c r="AQ204" s="2205"/>
      <c r="AR204" s="2205"/>
      <c r="AS204" s="2212"/>
      <c r="AT204" s="2212"/>
      <c r="AU204" s="2212"/>
      <c r="AV204" s="2212"/>
      <c r="AW204" s="2042">
        <f>J204/3</f>
        <v>336</v>
      </c>
      <c r="AX204" s="2042">
        <f>J204/3</f>
        <v>336</v>
      </c>
      <c r="AY204" s="2042">
        <f>J204/3</f>
        <v>336</v>
      </c>
      <c r="AZ204" s="2212"/>
      <c r="BA204" s="2085"/>
      <c r="BB204" s="2085"/>
      <c r="BC204" s="2085"/>
      <c r="BD204" s="2094">
        <f t="shared" si="57"/>
        <v>1008</v>
      </c>
      <c r="BE204" s="2094">
        <f t="shared" si="58"/>
        <v>0</v>
      </c>
    </row>
    <row r="205" s="1988" customFormat="1" ht="36" customHeight="1" spans="1:57">
      <c r="A205" s="2018">
        <v>45902</v>
      </c>
      <c r="B205" s="2098" t="s">
        <v>1006</v>
      </c>
      <c r="C205" s="1723" t="s">
        <v>91</v>
      </c>
      <c r="D205" s="2099">
        <v>4500178449</v>
      </c>
      <c r="E205" s="2100" t="s">
        <v>1007</v>
      </c>
      <c r="F205" s="2019" t="s">
        <v>1008</v>
      </c>
      <c r="G205" s="1989" t="s">
        <v>1009</v>
      </c>
      <c r="H205" s="1989" t="s">
        <v>1009</v>
      </c>
      <c r="I205" s="2103" t="s">
        <v>484</v>
      </c>
      <c r="J205" s="1989">
        <v>990</v>
      </c>
      <c r="K205" s="2037">
        <v>0</v>
      </c>
      <c r="L205" s="2038">
        <v>3</v>
      </c>
      <c r="M205" s="2039">
        <f t="shared" si="63"/>
        <v>330</v>
      </c>
      <c r="N205" s="2040">
        <v>45957</v>
      </c>
      <c r="O205" s="2040">
        <v>45953</v>
      </c>
      <c r="P205" s="1402"/>
      <c r="Q205" s="1363" t="s">
        <v>56</v>
      </c>
      <c r="R205" s="1363" t="s">
        <v>1010</v>
      </c>
      <c r="S205" s="1406" t="s">
        <v>1011</v>
      </c>
      <c r="T205" s="1364"/>
      <c r="U205" s="1364" t="s">
        <v>58</v>
      </c>
      <c r="V205" s="1365" t="s">
        <v>1012</v>
      </c>
      <c r="W205" s="2055" t="s">
        <v>1013</v>
      </c>
      <c r="X205" s="2087" t="s">
        <v>1014</v>
      </c>
      <c r="Y205" s="2065">
        <v>8.8592</v>
      </c>
      <c r="Z205" s="2066">
        <f>Y205*M205</f>
        <v>2923.536</v>
      </c>
      <c r="AA205" s="1289" t="s">
        <v>1015</v>
      </c>
      <c r="AB205" s="2107">
        <v>990</v>
      </c>
      <c r="AC205" s="2068">
        <f t="shared" si="65"/>
        <v>0</v>
      </c>
      <c r="AD205" s="2108"/>
      <c r="AE205" s="1402" t="s">
        <v>63</v>
      </c>
      <c r="AF205" s="1402" t="s">
        <v>38</v>
      </c>
      <c r="AG205" s="1363"/>
      <c r="AH205" s="2073">
        <f>J205/3</f>
        <v>330</v>
      </c>
      <c r="AI205" s="2073">
        <f>J205/3</f>
        <v>330</v>
      </c>
      <c r="AJ205" s="2085">
        <f>J205/3</f>
        <v>330</v>
      </c>
      <c r="AK205" s="2205"/>
      <c r="AL205" s="2042">
        <f t="shared" si="64"/>
        <v>990</v>
      </c>
      <c r="AM205" s="2042"/>
      <c r="AN205" s="2205"/>
      <c r="AO205" s="2205"/>
      <c r="AP205" s="2205"/>
      <c r="AQ205" s="2205"/>
      <c r="AR205" s="2205"/>
      <c r="AS205" s="2212"/>
      <c r="AT205" s="2212"/>
      <c r="AU205" s="2212"/>
      <c r="AV205" s="2212"/>
      <c r="AW205" s="2042">
        <f>J205/3</f>
        <v>330</v>
      </c>
      <c r="AX205" s="2042">
        <f>J205/3</f>
        <v>330</v>
      </c>
      <c r="AY205" s="2042">
        <f>J205/3</f>
        <v>330</v>
      </c>
      <c r="AZ205" s="2212"/>
      <c r="BA205" s="2085"/>
      <c r="BB205" s="2085"/>
      <c r="BC205" s="2085"/>
      <c r="BD205" s="2094">
        <f t="shared" si="57"/>
        <v>990</v>
      </c>
      <c r="BE205" s="2094">
        <f t="shared" si="58"/>
        <v>0</v>
      </c>
    </row>
    <row r="206" s="1988" customFormat="1" ht="36" customHeight="1" spans="1:57">
      <c r="A206" s="2018">
        <v>45928</v>
      </c>
      <c r="B206" s="2098" t="s">
        <v>1016</v>
      </c>
      <c r="C206" s="1723" t="s">
        <v>91</v>
      </c>
      <c r="D206" s="2114">
        <v>4500180568</v>
      </c>
      <c r="E206" s="2327" t="s">
        <v>1017</v>
      </c>
      <c r="F206" s="2019" t="s">
        <v>1018</v>
      </c>
      <c r="G206" s="1989" t="s">
        <v>94</v>
      </c>
      <c r="H206" s="1989" t="s">
        <v>94</v>
      </c>
      <c r="I206" s="2036" t="s">
        <v>55</v>
      </c>
      <c r="J206" s="1989">
        <v>2192</v>
      </c>
      <c r="K206" s="2037">
        <v>0</v>
      </c>
      <c r="L206" s="2038">
        <v>2</v>
      </c>
      <c r="M206" s="2039">
        <f t="shared" si="63"/>
        <v>1096</v>
      </c>
      <c r="N206" s="2040">
        <v>45971</v>
      </c>
      <c r="O206" s="2040">
        <v>45967</v>
      </c>
      <c r="P206" s="1402" t="s">
        <v>1019</v>
      </c>
      <c r="Q206" s="1363" t="s">
        <v>56</v>
      </c>
      <c r="R206" s="1363"/>
      <c r="S206" s="1406" t="s">
        <v>985</v>
      </c>
      <c r="T206" s="1364"/>
      <c r="U206" s="1364" t="s">
        <v>1020</v>
      </c>
      <c r="V206" s="1365" t="s">
        <v>987</v>
      </c>
      <c r="W206" s="2055" t="s">
        <v>1021</v>
      </c>
      <c r="X206" s="2087" t="s">
        <v>101</v>
      </c>
      <c r="Y206" s="2065">
        <v>2.0161</v>
      </c>
      <c r="Z206" s="2066">
        <f>Y206*J206</f>
        <v>4419.2912</v>
      </c>
      <c r="AA206" s="2068"/>
      <c r="AB206" s="2107">
        <v>2192</v>
      </c>
      <c r="AC206" s="2068">
        <f t="shared" si="65"/>
        <v>0</v>
      </c>
      <c r="AD206" s="2108" t="s">
        <v>327</v>
      </c>
      <c r="AE206" s="1402" t="s">
        <v>63</v>
      </c>
      <c r="AF206" s="1402" t="s">
        <v>38</v>
      </c>
      <c r="AG206" s="1363"/>
      <c r="AH206" s="2073">
        <f>J206</f>
        <v>2192</v>
      </c>
      <c r="AI206" s="2073"/>
      <c r="AJ206" s="2085"/>
      <c r="AK206" s="2206"/>
      <c r="AL206" s="2042">
        <f t="shared" si="64"/>
        <v>2192</v>
      </c>
      <c r="AM206" s="2042"/>
      <c r="AN206" s="2206"/>
      <c r="AO206" s="2206"/>
      <c r="AP206" s="2206"/>
      <c r="AQ206" s="2206"/>
      <c r="AR206" s="2206"/>
      <c r="AS206" s="2213"/>
      <c r="AT206" s="2213"/>
      <c r="AU206" s="2213"/>
      <c r="AV206" s="2213"/>
      <c r="AW206" s="2073"/>
      <c r="AX206" s="2073"/>
      <c r="AY206" s="2085"/>
      <c r="AZ206" s="2213"/>
      <c r="BA206" s="2085">
        <f>J206</f>
        <v>2192</v>
      </c>
      <c r="BB206" s="2042"/>
      <c r="BC206" s="2042"/>
      <c r="BD206" s="2094">
        <f t="shared" si="57"/>
        <v>2192</v>
      </c>
      <c r="BE206" s="2094">
        <f t="shared" si="58"/>
        <v>0</v>
      </c>
    </row>
    <row r="207" s="1988" customFormat="1" ht="36" customHeight="1" spans="1:57">
      <c r="A207" s="2018">
        <v>45929</v>
      </c>
      <c r="B207" s="2098" t="s">
        <v>918</v>
      </c>
      <c r="C207" s="1723" t="s">
        <v>123</v>
      </c>
      <c r="D207" s="2114">
        <v>4500180823</v>
      </c>
      <c r="E207" s="2100" t="s">
        <v>1022</v>
      </c>
      <c r="F207" s="2019" t="s">
        <v>1023</v>
      </c>
      <c r="G207" s="1723" t="s">
        <v>125</v>
      </c>
      <c r="H207" s="1989" t="s">
        <v>54</v>
      </c>
      <c r="I207" s="2103" t="s">
        <v>55</v>
      </c>
      <c r="J207" s="1989">
        <v>4200</v>
      </c>
      <c r="K207" s="2037">
        <v>0</v>
      </c>
      <c r="L207" s="2038">
        <v>12</v>
      </c>
      <c r="M207" s="2039">
        <f t="shared" si="63"/>
        <v>350</v>
      </c>
      <c r="N207" s="2040">
        <v>45971</v>
      </c>
      <c r="O207" s="2040">
        <v>45967</v>
      </c>
      <c r="P207" s="1402" t="s">
        <v>1024</v>
      </c>
      <c r="Q207" s="1363" t="s">
        <v>56</v>
      </c>
      <c r="R207" s="1363" t="s">
        <v>1025</v>
      </c>
      <c r="S207" s="1406" t="s">
        <v>1026</v>
      </c>
      <c r="T207" s="1364"/>
      <c r="U207" s="1364" t="s">
        <v>1027</v>
      </c>
      <c r="V207" s="1365" t="s">
        <v>1028</v>
      </c>
      <c r="W207" s="2055" t="s">
        <v>1029</v>
      </c>
      <c r="X207" s="2087" t="s">
        <v>953</v>
      </c>
      <c r="Y207" s="2106">
        <v>3.2794</v>
      </c>
      <c r="Z207" s="2066">
        <f>Y207*J207</f>
        <v>13773.48</v>
      </c>
      <c r="AA207" s="2068"/>
      <c r="AB207" s="2107">
        <v>4200</v>
      </c>
      <c r="AC207" s="2068">
        <f t="shared" si="65"/>
        <v>0</v>
      </c>
      <c r="AD207" s="2108" t="s">
        <v>81</v>
      </c>
      <c r="AE207" s="1402" t="s">
        <v>63</v>
      </c>
      <c r="AF207" s="1402" t="s">
        <v>38</v>
      </c>
      <c r="AG207" s="1363"/>
      <c r="AH207" s="2073">
        <f>J207</f>
        <v>4200</v>
      </c>
      <c r="AI207" s="2073"/>
      <c r="AJ207" s="2085"/>
      <c r="AK207" s="2204"/>
      <c r="AL207" s="2042"/>
      <c r="AM207" s="2042">
        <f>J207</f>
        <v>4200</v>
      </c>
      <c r="AN207" s="2204"/>
      <c r="AO207" s="2204"/>
      <c r="AP207" s="2204"/>
      <c r="AQ207" s="2204"/>
      <c r="AR207" s="2204"/>
      <c r="AS207" s="2210"/>
      <c r="AT207" s="2210"/>
      <c r="AU207" s="2210"/>
      <c r="AV207" s="2210"/>
      <c r="AW207" s="2073">
        <f>J207</f>
        <v>4200</v>
      </c>
      <c r="AX207" s="2073"/>
      <c r="AY207" s="2085"/>
      <c r="AZ207" s="2210"/>
      <c r="BA207" s="2085"/>
      <c r="BB207" s="2085"/>
      <c r="BC207" s="2085"/>
      <c r="BD207" s="2094">
        <f t="shared" si="57"/>
        <v>4200</v>
      </c>
      <c r="BE207" s="2094">
        <f t="shared" si="58"/>
        <v>0</v>
      </c>
    </row>
    <row r="208" s="1988" customFormat="1" ht="36" customHeight="1" spans="1:57">
      <c r="A208" s="2018">
        <v>45919</v>
      </c>
      <c r="B208" s="2098" t="s">
        <v>1030</v>
      </c>
      <c r="C208" s="1723" t="s">
        <v>69</v>
      </c>
      <c r="D208" s="2114">
        <v>4500179913</v>
      </c>
      <c r="E208" s="2164" t="s">
        <v>1031</v>
      </c>
      <c r="F208" s="2114" t="s">
        <v>1032</v>
      </c>
      <c r="G208" s="2044" t="s">
        <v>1033</v>
      </c>
      <c r="H208" s="2044" t="s">
        <v>54</v>
      </c>
      <c r="I208" s="2103" t="s">
        <v>55</v>
      </c>
      <c r="J208" s="2181">
        <v>36</v>
      </c>
      <c r="K208" s="2037">
        <v>0</v>
      </c>
      <c r="L208" s="2038">
        <v>12</v>
      </c>
      <c r="M208" s="2039">
        <f t="shared" ref="M208:M231" si="66">J208/L208</f>
        <v>3</v>
      </c>
      <c r="N208" s="2040">
        <v>45975</v>
      </c>
      <c r="O208" s="2040">
        <v>45971</v>
      </c>
      <c r="P208" s="1364" t="s">
        <v>1034</v>
      </c>
      <c r="Q208" s="1363" t="s">
        <v>215</v>
      </c>
      <c r="R208" s="1363" t="s">
        <v>1035</v>
      </c>
      <c r="S208" s="1406" t="s">
        <v>1036</v>
      </c>
      <c r="T208" s="1364"/>
      <c r="U208" s="1364" t="s">
        <v>1037</v>
      </c>
      <c r="V208" s="1365" t="s">
        <v>1038</v>
      </c>
      <c r="W208" s="2055" t="s">
        <v>1039</v>
      </c>
      <c r="X208" s="2087" t="s">
        <v>1040</v>
      </c>
      <c r="Y208" s="2065">
        <v>3.7451</v>
      </c>
      <c r="Z208" s="2066">
        <f t="shared" ref="Z208:Z231" si="67">Y208*J208</f>
        <v>134.8236</v>
      </c>
      <c r="AA208" s="2068" t="s">
        <v>1041</v>
      </c>
      <c r="AB208" s="2107">
        <v>36</v>
      </c>
      <c r="AC208" s="2068">
        <f t="shared" si="65"/>
        <v>0</v>
      </c>
      <c r="AD208" s="2108" t="s">
        <v>327</v>
      </c>
      <c r="AE208" s="1402" t="s">
        <v>63</v>
      </c>
      <c r="AF208" s="1402" t="s">
        <v>38</v>
      </c>
      <c r="AG208" s="1363"/>
      <c r="AH208" s="2073">
        <f>J208</f>
        <v>36</v>
      </c>
      <c r="AI208" s="2073"/>
      <c r="AJ208" s="2085"/>
      <c r="AK208" s="2207"/>
      <c r="AL208" s="2042"/>
      <c r="AM208" s="2042">
        <f t="shared" ref="AM208:AM213" si="68">J208</f>
        <v>36</v>
      </c>
      <c r="AN208" s="2207"/>
      <c r="AO208" s="2207"/>
      <c r="AP208" s="2207"/>
      <c r="AQ208" s="2207"/>
      <c r="AR208" s="2207"/>
      <c r="AS208" s="2214"/>
      <c r="AT208" s="2214"/>
      <c r="AU208" s="2214"/>
      <c r="AV208" s="2214"/>
      <c r="AW208" s="2073">
        <f>J208</f>
        <v>36</v>
      </c>
      <c r="AX208" s="2073"/>
      <c r="AY208" s="2085"/>
      <c r="AZ208" s="2214"/>
      <c r="BA208" s="2085"/>
      <c r="BB208" s="2085"/>
      <c r="BC208" s="2085"/>
      <c r="BD208" s="2094">
        <f t="shared" ref="BD208:BD231" si="69">SUM(AH208:AJ208)</f>
        <v>36</v>
      </c>
      <c r="BE208" s="2094">
        <f t="shared" ref="BE208:BE231" si="70">BD208-J208</f>
        <v>0</v>
      </c>
    </row>
    <row r="209" s="1988" customFormat="1" ht="36" customHeight="1" spans="1:57">
      <c r="A209" s="2018">
        <v>45919</v>
      </c>
      <c r="B209" s="2098" t="s">
        <v>1030</v>
      </c>
      <c r="C209" s="1723" t="s">
        <v>69</v>
      </c>
      <c r="D209" s="2114">
        <v>4500179913</v>
      </c>
      <c r="E209" s="2164" t="s">
        <v>1031</v>
      </c>
      <c r="F209" s="2114" t="s">
        <v>1042</v>
      </c>
      <c r="G209" s="2044" t="s">
        <v>1043</v>
      </c>
      <c r="H209" s="2044" t="s">
        <v>64</v>
      </c>
      <c r="I209" s="2103" t="s">
        <v>65</v>
      </c>
      <c r="J209" s="2181">
        <v>36</v>
      </c>
      <c r="K209" s="2037">
        <v>0</v>
      </c>
      <c r="L209" s="2038">
        <v>12</v>
      </c>
      <c r="M209" s="2039">
        <f t="shared" si="66"/>
        <v>3</v>
      </c>
      <c r="N209" s="2040">
        <v>45975</v>
      </c>
      <c r="O209" s="2040">
        <v>45971</v>
      </c>
      <c r="P209" s="1364" t="s">
        <v>1034</v>
      </c>
      <c r="Q209" s="1363" t="s">
        <v>215</v>
      </c>
      <c r="R209" s="1363" t="s">
        <v>1035</v>
      </c>
      <c r="S209" s="1406" t="s">
        <v>1036</v>
      </c>
      <c r="T209" s="1364"/>
      <c r="U209" s="1364" t="s">
        <v>1037</v>
      </c>
      <c r="V209" s="1365" t="s">
        <v>1044</v>
      </c>
      <c r="W209" s="2055" t="s">
        <v>1045</v>
      </c>
      <c r="X209" s="2087" t="s">
        <v>1040</v>
      </c>
      <c r="Y209" s="2065">
        <v>3.8651</v>
      </c>
      <c r="Z209" s="2066">
        <f t="shared" si="67"/>
        <v>139.1436</v>
      </c>
      <c r="AA209" s="2068" t="s">
        <v>1041</v>
      </c>
      <c r="AB209" s="2107">
        <v>36</v>
      </c>
      <c r="AC209" s="2068">
        <f t="shared" si="65"/>
        <v>0</v>
      </c>
      <c r="AD209" s="2108" t="s">
        <v>327</v>
      </c>
      <c r="AE209" s="1402" t="s">
        <v>63</v>
      </c>
      <c r="AF209" s="1402" t="s">
        <v>38</v>
      </c>
      <c r="AG209" s="1363"/>
      <c r="AH209" s="2073"/>
      <c r="AI209" s="2073">
        <f>J209</f>
        <v>36</v>
      </c>
      <c r="AJ209" s="2085"/>
      <c r="AK209" s="2207"/>
      <c r="AL209" s="2042"/>
      <c r="AM209" s="2042">
        <f t="shared" si="68"/>
        <v>36</v>
      </c>
      <c r="AN209" s="2207"/>
      <c r="AO209" s="2207"/>
      <c r="AP209" s="2207"/>
      <c r="AQ209" s="2207"/>
      <c r="AR209" s="2207"/>
      <c r="AS209" s="2214"/>
      <c r="AT209" s="2214"/>
      <c r="AU209" s="2214"/>
      <c r="AV209" s="2214"/>
      <c r="AW209" s="2073"/>
      <c r="AX209" s="2073">
        <f>J209</f>
        <v>36</v>
      </c>
      <c r="AY209" s="2085"/>
      <c r="AZ209" s="2214"/>
      <c r="BA209" s="2085"/>
      <c r="BB209" s="2042"/>
      <c r="BC209" s="2042"/>
      <c r="BD209" s="2094">
        <f t="shared" si="69"/>
        <v>36</v>
      </c>
      <c r="BE209" s="2094">
        <f t="shared" si="70"/>
        <v>0</v>
      </c>
    </row>
    <row r="210" s="1988" customFormat="1" ht="36" customHeight="1" spans="1:57">
      <c r="A210" s="2018">
        <v>45919</v>
      </c>
      <c r="B210" s="2098" t="s">
        <v>1030</v>
      </c>
      <c r="C210" s="1723" t="s">
        <v>69</v>
      </c>
      <c r="D210" s="2114">
        <v>4500179913</v>
      </c>
      <c r="E210" s="2164" t="s">
        <v>1031</v>
      </c>
      <c r="F210" s="2114" t="s">
        <v>1046</v>
      </c>
      <c r="G210" s="2044" t="s">
        <v>1047</v>
      </c>
      <c r="H210" s="2044" t="s">
        <v>66</v>
      </c>
      <c r="I210" s="2128" t="s">
        <v>67</v>
      </c>
      <c r="J210" s="2181">
        <v>48</v>
      </c>
      <c r="K210" s="2037">
        <v>0</v>
      </c>
      <c r="L210" s="2038">
        <v>12</v>
      </c>
      <c r="M210" s="2039">
        <f t="shared" si="66"/>
        <v>4</v>
      </c>
      <c r="N210" s="2040">
        <v>45975</v>
      </c>
      <c r="O210" s="2040">
        <v>45971</v>
      </c>
      <c r="P210" s="1364" t="s">
        <v>1034</v>
      </c>
      <c r="Q210" s="1363" t="s">
        <v>215</v>
      </c>
      <c r="R210" s="1363" t="s">
        <v>1035</v>
      </c>
      <c r="S210" s="1406" t="s">
        <v>1036</v>
      </c>
      <c r="T210" s="1364"/>
      <c r="U210" s="1364" t="s">
        <v>1037</v>
      </c>
      <c r="V210" s="1365" t="s">
        <v>1048</v>
      </c>
      <c r="W210" s="2055" t="s">
        <v>1049</v>
      </c>
      <c r="X210" s="2087" t="s">
        <v>1040</v>
      </c>
      <c r="Y210" s="2065">
        <v>3.5541</v>
      </c>
      <c r="Z210" s="2066">
        <f t="shared" si="67"/>
        <v>170.5968</v>
      </c>
      <c r="AA210" s="2068" t="s">
        <v>1041</v>
      </c>
      <c r="AB210" s="2107">
        <v>48</v>
      </c>
      <c r="AC210" s="2068">
        <f t="shared" si="65"/>
        <v>0</v>
      </c>
      <c r="AD210" s="2108" t="s">
        <v>327</v>
      </c>
      <c r="AE210" s="1402" t="s">
        <v>63</v>
      </c>
      <c r="AF210" s="1402" t="s">
        <v>38</v>
      </c>
      <c r="AG210" s="1363"/>
      <c r="AH210" s="2073"/>
      <c r="AI210" s="2073"/>
      <c r="AJ210" s="2085">
        <f>J210</f>
        <v>48</v>
      </c>
      <c r="AK210" s="2207"/>
      <c r="AL210" s="2042"/>
      <c r="AM210" s="2042">
        <f t="shared" si="68"/>
        <v>48</v>
      </c>
      <c r="AN210" s="2207"/>
      <c r="AO210" s="2207"/>
      <c r="AP210" s="2207"/>
      <c r="AQ210" s="2207"/>
      <c r="AR210" s="2207"/>
      <c r="AS210" s="2214"/>
      <c r="AT210" s="2214"/>
      <c r="AU210" s="2214"/>
      <c r="AV210" s="2214"/>
      <c r="AW210" s="2073"/>
      <c r="AX210" s="2073"/>
      <c r="AY210" s="2085">
        <f>J210</f>
        <v>48</v>
      </c>
      <c r="AZ210" s="2214"/>
      <c r="BA210" s="2085"/>
      <c r="BB210" s="2085"/>
      <c r="BC210" s="2085"/>
      <c r="BD210" s="2094">
        <f t="shared" si="69"/>
        <v>48</v>
      </c>
      <c r="BE210" s="2094">
        <f t="shared" si="70"/>
        <v>0</v>
      </c>
    </row>
    <row r="211" s="1988" customFormat="1" ht="36" customHeight="1" spans="1:57">
      <c r="A211" s="2018">
        <v>45919</v>
      </c>
      <c r="B211" s="2098" t="s">
        <v>1030</v>
      </c>
      <c r="C211" s="1723" t="s">
        <v>69</v>
      </c>
      <c r="D211" s="2114">
        <v>4500179913</v>
      </c>
      <c r="E211" s="2164" t="s">
        <v>1050</v>
      </c>
      <c r="F211" s="2114" t="s">
        <v>1051</v>
      </c>
      <c r="G211" s="2044" t="s">
        <v>1033</v>
      </c>
      <c r="H211" s="2044" t="s">
        <v>54</v>
      </c>
      <c r="I211" s="2103" t="s">
        <v>55</v>
      </c>
      <c r="J211" s="2181">
        <v>408</v>
      </c>
      <c r="K211" s="2037">
        <v>0</v>
      </c>
      <c r="L211" s="2038">
        <v>12</v>
      </c>
      <c r="M211" s="2039">
        <f t="shared" si="66"/>
        <v>34</v>
      </c>
      <c r="N211" s="2040">
        <v>45975</v>
      </c>
      <c r="O211" s="2040">
        <v>45971</v>
      </c>
      <c r="P211" s="1364" t="s">
        <v>1034</v>
      </c>
      <c r="Q211" s="1363" t="s">
        <v>215</v>
      </c>
      <c r="R211" s="1363" t="s">
        <v>1035</v>
      </c>
      <c r="S211" s="1406" t="s">
        <v>1036</v>
      </c>
      <c r="T211" s="1364"/>
      <c r="U211" s="1364" t="s">
        <v>1037</v>
      </c>
      <c r="V211" s="1365" t="s">
        <v>1038</v>
      </c>
      <c r="W211" s="2055" t="s">
        <v>1039</v>
      </c>
      <c r="X211" s="2087" t="s">
        <v>1040</v>
      </c>
      <c r="Y211" s="2065">
        <v>3.7451</v>
      </c>
      <c r="Z211" s="2066">
        <f t="shared" si="67"/>
        <v>1528.0008</v>
      </c>
      <c r="AA211" s="2068" t="s">
        <v>1041</v>
      </c>
      <c r="AB211" s="2107">
        <v>408</v>
      </c>
      <c r="AC211" s="2068">
        <f t="shared" si="65"/>
        <v>0</v>
      </c>
      <c r="AD211" s="2108" t="s">
        <v>327</v>
      </c>
      <c r="AE211" s="1402" t="s">
        <v>63</v>
      </c>
      <c r="AF211" s="1402" t="s">
        <v>38</v>
      </c>
      <c r="AG211" s="1363"/>
      <c r="AH211" s="2073">
        <f>J211</f>
        <v>408</v>
      </c>
      <c r="AI211" s="2073"/>
      <c r="AJ211" s="2085"/>
      <c r="AK211" s="2207"/>
      <c r="AL211" s="2042"/>
      <c r="AM211" s="2042">
        <f t="shared" si="68"/>
        <v>408</v>
      </c>
      <c r="AN211" s="2207"/>
      <c r="AO211" s="2207"/>
      <c r="AP211" s="2207"/>
      <c r="AQ211" s="2207"/>
      <c r="AR211" s="2207"/>
      <c r="AS211" s="2214"/>
      <c r="AT211" s="2214"/>
      <c r="AU211" s="2214"/>
      <c r="AV211" s="2214"/>
      <c r="AW211" s="2073">
        <f>J211</f>
        <v>408</v>
      </c>
      <c r="AX211" s="2073"/>
      <c r="AY211" s="2085"/>
      <c r="AZ211" s="2214"/>
      <c r="BA211" s="2085"/>
      <c r="BB211" s="2085"/>
      <c r="BC211" s="2085"/>
      <c r="BD211" s="2094">
        <f t="shared" si="69"/>
        <v>408</v>
      </c>
      <c r="BE211" s="2094">
        <f t="shared" si="70"/>
        <v>0</v>
      </c>
    </row>
    <row r="212" s="1988" customFormat="1" ht="36" customHeight="1" spans="1:57">
      <c r="A212" s="2018">
        <v>45919</v>
      </c>
      <c r="B212" s="2098" t="s">
        <v>1030</v>
      </c>
      <c r="C212" s="1723" t="s">
        <v>69</v>
      </c>
      <c r="D212" s="2114">
        <v>4500179913</v>
      </c>
      <c r="E212" s="2164" t="s">
        <v>1050</v>
      </c>
      <c r="F212" s="2114" t="s">
        <v>1052</v>
      </c>
      <c r="G212" s="2044" t="s">
        <v>1043</v>
      </c>
      <c r="H212" s="2044" t="s">
        <v>64</v>
      </c>
      <c r="I212" s="2103" t="s">
        <v>65</v>
      </c>
      <c r="J212" s="2181">
        <v>300</v>
      </c>
      <c r="K212" s="2037">
        <v>0</v>
      </c>
      <c r="L212" s="2038">
        <v>12</v>
      </c>
      <c r="M212" s="2039">
        <f t="shared" si="66"/>
        <v>25</v>
      </c>
      <c r="N212" s="2040">
        <v>45975</v>
      </c>
      <c r="O212" s="2040">
        <v>45971</v>
      </c>
      <c r="P212" s="1364" t="s">
        <v>1034</v>
      </c>
      <c r="Q212" s="1363" t="s">
        <v>215</v>
      </c>
      <c r="R212" s="1363" t="s">
        <v>1035</v>
      </c>
      <c r="S212" s="1406" t="s">
        <v>1036</v>
      </c>
      <c r="T212" s="1364"/>
      <c r="U212" s="1364" t="s">
        <v>1037</v>
      </c>
      <c r="V212" s="1365" t="s">
        <v>1044</v>
      </c>
      <c r="W212" s="2055" t="s">
        <v>1045</v>
      </c>
      <c r="X212" s="2087" t="s">
        <v>1040</v>
      </c>
      <c r="Y212" s="2065">
        <v>3.8651</v>
      </c>
      <c r="Z212" s="2066">
        <f t="shared" si="67"/>
        <v>1159.53</v>
      </c>
      <c r="AA212" s="2068" t="s">
        <v>1041</v>
      </c>
      <c r="AB212" s="2107">
        <v>300</v>
      </c>
      <c r="AC212" s="2068">
        <f t="shared" si="65"/>
        <v>0</v>
      </c>
      <c r="AD212" s="2108" t="s">
        <v>327</v>
      </c>
      <c r="AE212" s="1402" t="s">
        <v>63</v>
      </c>
      <c r="AF212" s="1402" t="s">
        <v>38</v>
      </c>
      <c r="AG212" s="1363"/>
      <c r="AH212" s="2073"/>
      <c r="AI212" s="2073">
        <f>J212</f>
        <v>300</v>
      </c>
      <c r="AJ212" s="2085"/>
      <c r="AK212" s="2207"/>
      <c r="AL212" s="2042"/>
      <c r="AM212" s="2042">
        <f t="shared" si="68"/>
        <v>300</v>
      </c>
      <c r="AN212" s="2207"/>
      <c r="AO212" s="2207"/>
      <c r="AP212" s="2207"/>
      <c r="AQ212" s="2207"/>
      <c r="AR212" s="2207"/>
      <c r="AS212" s="2214"/>
      <c r="AT212" s="2214"/>
      <c r="AU212" s="2214"/>
      <c r="AV212" s="2214"/>
      <c r="AW212" s="2073"/>
      <c r="AX212" s="2073">
        <f>J213</f>
        <v>420</v>
      </c>
      <c r="AY212" s="2085"/>
      <c r="AZ212" s="2214"/>
      <c r="BA212" s="2085"/>
      <c r="BB212" s="2042"/>
      <c r="BC212" s="2042"/>
      <c r="BD212" s="2094">
        <f t="shared" si="69"/>
        <v>300</v>
      </c>
      <c r="BE212" s="2094">
        <f t="shared" si="70"/>
        <v>0</v>
      </c>
    </row>
    <row r="213" s="1988" customFormat="1" ht="36" customHeight="1" spans="1:57">
      <c r="A213" s="2018">
        <v>45919</v>
      </c>
      <c r="B213" s="2098" t="s">
        <v>1030</v>
      </c>
      <c r="C213" s="1723" t="s">
        <v>69</v>
      </c>
      <c r="D213" s="2114">
        <v>4500179913</v>
      </c>
      <c r="E213" s="2164" t="s">
        <v>1050</v>
      </c>
      <c r="F213" s="2114" t="s">
        <v>1053</v>
      </c>
      <c r="G213" s="2044" t="s">
        <v>1047</v>
      </c>
      <c r="H213" s="2044" t="s">
        <v>66</v>
      </c>
      <c r="I213" s="2128" t="s">
        <v>67</v>
      </c>
      <c r="J213" s="2181">
        <v>420</v>
      </c>
      <c r="K213" s="2037">
        <v>0</v>
      </c>
      <c r="L213" s="2038">
        <v>12</v>
      </c>
      <c r="M213" s="2039">
        <f t="shared" si="66"/>
        <v>35</v>
      </c>
      <c r="N213" s="2040">
        <v>45975</v>
      </c>
      <c r="O213" s="2040">
        <v>45971</v>
      </c>
      <c r="P213" s="1364" t="s">
        <v>1034</v>
      </c>
      <c r="Q213" s="1363" t="s">
        <v>215</v>
      </c>
      <c r="R213" s="1363" t="s">
        <v>1035</v>
      </c>
      <c r="S213" s="1406" t="s">
        <v>1036</v>
      </c>
      <c r="T213" s="1364"/>
      <c r="U213" s="1364" t="s">
        <v>1037</v>
      </c>
      <c r="V213" s="1365" t="s">
        <v>1048</v>
      </c>
      <c r="W213" s="2055" t="s">
        <v>1049</v>
      </c>
      <c r="X213" s="2087" t="s">
        <v>1040</v>
      </c>
      <c r="Y213" s="2065">
        <v>3.5541</v>
      </c>
      <c r="Z213" s="2066">
        <f t="shared" si="67"/>
        <v>1492.722</v>
      </c>
      <c r="AA213" s="2068" t="s">
        <v>1041</v>
      </c>
      <c r="AB213" s="2107">
        <v>420</v>
      </c>
      <c r="AC213" s="2068">
        <f t="shared" si="65"/>
        <v>0</v>
      </c>
      <c r="AD213" s="2108" t="s">
        <v>327</v>
      </c>
      <c r="AE213" s="1402" t="s">
        <v>63</v>
      </c>
      <c r="AF213" s="1402" t="s">
        <v>38</v>
      </c>
      <c r="AG213" s="1363"/>
      <c r="AH213" s="2073"/>
      <c r="AI213" s="2073"/>
      <c r="AJ213" s="2085">
        <f>J213</f>
        <v>420</v>
      </c>
      <c r="AK213" s="2207"/>
      <c r="AL213" s="2042"/>
      <c r="AM213" s="2042">
        <f t="shared" si="68"/>
        <v>420</v>
      </c>
      <c r="AN213" s="2207"/>
      <c r="AO213" s="2207"/>
      <c r="AP213" s="2207"/>
      <c r="AQ213" s="2207"/>
      <c r="AR213" s="2207"/>
      <c r="AS213" s="2214"/>
      <c r="AT213" s="2214"/>
      <c r="AU213" s="2214"/>
      <c r="AV213" s="2214"/>
      <c r="AW213" s="2073"/>
      <c r="AX213" s="2073"/>
      <c r="AY213" s="2085">
        <f>J213</f>
        <v>420</v>
      </c>
      <c r="AZ213" s="2214"/>
      <c r="BA213" s="2085"/>
      <c r="BB213" s="2085"/>
      <c r="BC213" s="2085"/>
      <c r="BD213" s="2094">
        <f t="shared" si="69"/>
        <v>420</v>
      </c>
      <c r="BE213" s="2094">
        <f t="shared" si="70"/>
        <v>0</v>
      </c>
    </row>
    <row r="214" s="1988" customFormat="1" ht="36" customHeight="1" spans="1:57">
      <c r="A214" s="2018">
        <v>45919</v>
      </c>
      <c r="B214" s="2098" t="s">
        <v>1030</v>
      </c>
      <c r="C214" s="1723" t="s">
        <v>69</v>
      </c>
      <c r="D214" s="2114">
        <v>4500179895</v>
      </c>
      <c r="E214" s="2164" t="s">
        <v>1054</v>
      </c>
      <c r="F214" s="2114" t="s">
        <v>1055</v>
      </c>
      <c r="G214" s="2044" t="s">
        <v>1033</v>
      </c>
      <c r="H214" s="2044" t="s">
        <v>54</v>
      </c>
      <c r="I214" s="2103" t="s">
        <v>55</v>
      </c>
      <c r="J214" s="2181">
        <v>24</v>
      </c>
      <c r="K214" s="2037">
        <v>0</v>
      </c>
      <c r="L214" s="2038">
        <v>12</v>
      </c>
      <c r="M214" s="2039">
        <f t="shared" si="66"/>
        <v>2</v>
      </c>
      <c r="N214" s="2040">
        <v>45975</v>
      </c>
      <c r="O214" s="2040">
        <v>45971</v>
      </c>
      <c r="P214" s="1364" t="s">
        <v>1034</v>
      </c>
      <c r="Q214" s="1363" t="s">
        <v>215</v>
      </c>
      <c r="R214" s="1363" t="s">
        <v>1056</v>
      </c>
      <c r="S214" s="1406" t="s">
        <v>1036</v>
      </c>
      <c r="T214" s="1364"/>
      <c r="U214" s="1364" t="s">
        <v>1037</v>
      </c>
      <c r="V214" s="1365" t="s">
        <v>1038</v>
      </c>
      <c r="W214" s="2055" t="s">
        <v>1057</v>
      </c>
      <c r="X214" s="2087" t="s">
        <v>1040</v>
      </c>
      <c r="Y214" s="2065">
        <v>3.8309</v>
      </c>
      <c r="Z214" s="2066">
        <f t="shared" si="67"/>
        <v>91.9416</v>
      </c>
      <c r="AA214" s="2068" t="s">
        <v>1058</v>
      </c>
      <c r="AB214" s="2107">
        <v>24</v>
      </c>
      <c r="AC214" s="2068">
        <f t="shared" si="65"/>
        <v>0</v>
      </c>
      <c r="AD214" s="2108" t="s">
        <v>327</v>
      </c>
      <c r="AE214" s="1402" t="s">
        <v>63</v>
      </c>
      <c r="AF214" s="1402" t="s">
        <v>38</v>
      </c>
      <c r="AG214" s="1363"/>
      <c r="AH214" s="2073">
        <f>J214</f>
        <v>24</v>
      </c>
      <c r="AI214" s="2073"/>
      <c r="AJ214" s="2085"/>
      <c r="AK214" s="2205"/>
      <c r="AL214" s="2042"/>
      <c r="AM214" s="2042">
        <f t="shared" ref="AM214:AM221" si="71">J214</f>
        <v>24</v>
      </c>
      <c r="AN214" s="2205"/>
      <c r="AO214" s="2205"/>
      <c r="AP214" s="2205"/>
      <c r="AQ214" s="2205"/>
      <c r="AR214" s="2205"/>
      <c r="AS214" s="2212"/>
      <c r="AT214" s="2212"/>
      <c r="AU214" s="2212"/>
      <c r="AV214" s="2212"/>
      <c r="AW214" s="2042">
        <f>J214</f>
        <v>24</v>
      </c>
      <c r="AX214" s="2042"/>
      <c r="AY214" s="2042"/>
      <c r="AZ214" s="2212"/>
      <c r="BA214" s="2085"/>
      <c r="BB214" s="2085"/>
      <c r="BC214" s="2085"/>
      <c r="BD214" s="2094">
        <f t="shared" si="69"/>
        <v>24</v>
      </c>
      <c r="BE214" s="2094">
        <f t="shared" si="70"/>
        <v>0</v>
      </c>
    </row>
    <row r="215" s="1988" customFormat="1" ht="36" customHeight="1" spans="1:57">
      <c r="A215" s="2018">
        <v>45919</v>
      </c>
      <c r="B215" s="2098" t="s">
        <v>1030</v>
      </c>
      <c r="C215" s="1723" t="s">
        <v>69</v>
      </c>
      <c r="D215" s="2114">
        <v>4500179895</v>
      </c>
      <c r="E215" s="2164" t="s">
        <v>1054</v>
      </c>
      <c r="F215" s="2114" t="s">
        <v>1059</v>
      </c>
      <c r="G215" s="2044" t="s">
        <v>1043</v>
      </c>
      <c r="H215" s="2044" t="s">
        <v>64</v>
      </c>
      <c r="I215" s="2103" t="s">
        <v>65</v>
      </c>
      <c r="J215" s="2181">
        <v>36</v>
      </c>
      <c r="K215" s="2037">
        <v>0</v>
      </c>
      <c r="L215" s="2038">
        <v>12</v>
      </c>
      <c r="M215" s="2039">
        <f t="shared" si="66"/>
        <v>3</v>
      </c>
      <c r="N215" s="2040">
        <v>45975</v>
      </c>
      <c r="O215" s="2040">
        <v>45971</v>
      </c>
      <c r="P215" s="1364" t="s">
        <v>1034</v>
      </c>
      <c r="Q215" s="1363" t="s">
        <v>215</v>
      </c>
      <c r="R215" s="1363" t="s">
        <v>1056</v>
      </c>
      <c r="S215" s="1406" t="s">
        <v>1036</v>
      </c>
      <c r="T215" s="1364"/>
      <c r="U215" s="1364" t="s">
        <v>1037</v>
      </c>
      <c r="V215" s="1365" t="s">
        <v>1044</v>
      </c>
      <c r="W215" s="2055" t="s">
        <v>1060</v>
      </c>
      <c r="X215" s="2087" t="s">
        <v>1040</v>
      </c>
      <c r="Y215" s="2065">
        <v>3.9509</v>
      </c>
      <c r="Z215" s="2066">
        <f t="shared" si="67"/>
        <v>142.2324</v>
      </c>
      <c r="AA215" s="2068" t="s">
        <v>1058</v>
      </c>
      <c r="AB215" s="2107">
        <v>36</v>
      </c>
      <c r="AC215" s="2068">
        <f t="shared" si="65"/>
        <v>0</v>
      </c>
      <c r="AD215" s="2108" t="s">
        <v>327</v>
      </c>
      <c r="AE215" s="1402" t="s">
        <v>63</v>
      </c>
      <c r="AF215" s="1402" t="s">
        <v>38</v>
      </c>
      <c r="AG215" s="1363"/>
      <c r="AH215" s="2073"/>
      <c r="AI215" s="2073">
        <f>J215</f>
        <v>36</v>
      </c>
      <c r="AJ215" s="2085"/>
      <c r="AK215" s="2205"/>
      <c r="AL215" s="2042"/>
      <c r="AM215" s="2042">
        <f t="shared" si="71"/>
        <v>36</v>
      </c>
      <c r="AN215" s="2205"/>
      <c r="AO215" s="2205"/>
      <c r="AP215" s="2205"/>
      <c r="AQ215" s="2205"/>
      <c r="AR215" s="2205"/>
      <c r="AS215" s="2212"/>
      <c r="AT215" s="2212"/>
      <c r="AU215" s="2212"/>
      <c r="AV215" s="2212"/>
      <c r="AW215" s="2042"/>
      <c r="AX215" s="2042">
        <f>J215</f>
        <v>36</v>
      </c>
      <c r="AY215" s="2042"/>
      <c r="AZ215" s="2212"/>
      <c r="BA215" s="2085"/>
      <c r="BB215" s="2085"/>
      <c r="BC215" s="2085"/>
      <c r="BD215" s="2094">
        <f t="shared" si="69"/>
        <v>36</v>
      </c>
      <c r="BE215" s="2094">
        <f t="shared" si="70"/>
        <v>0</v>
      </c>
    </row>
    <row r="216" s="1988" customFormat="1" ht="36" customHeight="1" spans="1:57">
      <c r="A216" s="2018">
        <v>45919</v>
      </c>
      <c r="B216" s="2098" t="s">
        <v>1030</v>
      </c>
      <c r="C216" s="1723" t="s">
        <v>69</v>
      </c>
      <c r="D216" s="2114">
        <v>4500179895</v>
      </c>
      <c r="E216" s="2164" t="s">
        <v>1054</v>
      </c>
      <c r="F216" s="2114" t="s">
        <v>1061</v>
      </c>
      <c r="G216" s="2044" t="s">
        <v>1047</v>
      </c>
      <c r="H216" s="2044" t="s">
        <v>66</v>
      </c>
      <c r="I216" s="2128" t="s">
        <v>67</v>
      </c>
      <c r="J216" s="2181">
        <v>60</v>
      </c>
      <c r="K216" s="2037">
        <v>0</v>
      </c>
      <c r="L216" s="2038">
        <v>12</v>
      </c>
      <c r="M216" s="2039">
        <f t="shared" si="66"/>
        <v>5</v>
      </c>
      <c r="N216" s="2040">
        <v>45975</v>
      </c>
      <c r="O216" s="2040">
        <v>45971</v>
      </c>
      <c r="P216" s="1364" t="s">
        <v>1034</v>
      </c>
      <c r="Q216" s="1363" t="s">
        <v>215</v>
      </c>
      <c r="R216" s="1363" t="s">
        <v>1056</v>
      </c>
      <c r="S216" s="1406" t="s">
        <v>1036</v>
      </c>
      <c r="T216" s="1364"/>
      <c r="U216" s="1364" t="s">
        <v>1037</v>
      </c>
      <c r="V216" s="1365" t="s">
        <v>1048</v>
      </c>
      <c r="W216" s="2055" t="s">
        <v>1062</v>
      </c>
      <c r="X216" s="2087" t="s">
        <v>1040</v>
      </c>
      <c r="Y216" s="2065">
        <v>3.6399</v>
      </c>
      <c r="Z216" s="2066">
        <f t="shared" si="67"/>
        <v>218.394</v>
      </c>
      <c r="AA216" s="2068" t="s">
        <v>1058</v>
      </c>
      <c r="AB216" s="2107">
        <v>60</v>
      </c>
      <c r="AC216" s="2068">
        <f t="shared" si="65"/>
        <v>0</v>
      </c>
      <c r="AD216" s="2108" t="s">
        <v>327</v>
      </c>
      <c r="AE216" s="1402" t="s">
        <v>63</v>
      </c>
      <c r="AF216" s="1402" t="s">
        <v>38</v>
      </c>
      <c r="AG216" s="1363"/>
      <c r="AH216" s="2073"/>
      <c r="AI216" s="2073"/>
      <c r="AJ216" s="2085">
        <f>J216</f>
        <v>60</v>
      </c>
      <c r="AK216" s="2205"/>
      <c r="AL216" s="2042"/>
      <c r="AM216" s="2042">
        <f t="shared" si="71"/>
        <v>60</v>
      </c>
      <c r="AN216" s="2205"/>
      <c r="AO216" s="2205"/>
      <c r="AP216" s="2205"/>
      <c r="AQ216" s="2205"/>
      <c r="AR216" s="2205"/>
      <c r="AS216" s="2212"/>
      <c r="AT216" s="2212"/>
      <c r="AU216" s="2212"/>
      <c r="AV216" s="2212"/>
      <c r="AW216" s="2042"/>
      <c r="AX216" s="2042"/>
      <c r="AY216" s="2042">
        <f>J216</f>
        <v>60</v>
      </c>
      <c r="AZ216" s="2212"/>
      <c r="BA216" s="2085"/>
      <c r="BB216" s="2085"/>
      <c r="BC216" s="2085"/>
      <c r="BD216" s="2094">
        <f t="shared" si="69"/>
        <v>60</v>
      </c>
      <c r="BE216" s="2094">
        <f t="shared" si="70"/>
        <v>0</v>
      </c>
    </row>
    <row r="217" s="1988" customFormat="1" ht="36" customHeight="1" spans="1:57">
      <c r="A217" s="2018">
        <v>45919</v>
      </c>
      <c r="B217" s="2098" t="s">
        <v>1030</v>
      </c>
      <c r="C217" s="1723" t="s">
        <v>69</v>
      </c>
      <c r="D217" s="2114">
        <v>4500179895</v>
      </c>
      <c r="E217" s="2164" t="s">
        <v>1063</v>
      </c>
      <c r="F217" s="2114" t="s">
        <v>1064</v>
      </c>
      <c r="G217" s="2044" t="s">
        <v>1033</v>
      </c>
      <c r="H217" s="2044" t="s">
        <v>54</v>
      </c>
      <c r="I217" s="2103" t="s">
        <v>55</v>
      </c>
      <c r="J217" s="2181">
        <v>336</v>
      </c>
      <c r="K217" s="2037">
        <v>0</v>
      </c>
      <c r="L217" s="2038">
        <v>12</v>
      </c>
      <c r="M217" s="2039">
        <f t="shared" si="66"/>
        <v>28</v>
      </c>
      <c r="N217" s="2040">
        <v>45975</v>
      </c>
      <c r="O217" s="2040">
        <v>45971</v>
      </c>
      <c r="P217" s="1364" t="s">
        <v>1034</v>
      </c>
      <c r="Q217" s="1363" t="s">
        <v>215</v>
      </c>
      <c r="R217" s="1363" t="s">
        <v>1056</v>
      </c>
      <c r="S217" s="1406" t="s">
        <v>1036</v>
      </c>
      <c r="T217" s="1364"/>
      <c r="U217" s="1364" t="s">
        <v>1037</v>
      </c>
      <c r="V217" s="1365" t="s">
        <v>1038</v>
      </c>
      <c r="W217" s="2055" t="s">
        <v>1057</v>
      </c>
      <c r="X217" s="2087" t="s">
        <v>1040</v>
      </c>
      <c r="Y217" s="2065">
        <v>3.8309</v>
      </c>
      <c r="Z217" s="2066">
        <f t="shared" si="67"/>
        <v>1287.1824</v>
      </c>
      <c r="AA217" s="2068" t="s">
        <v>1065</v>
      </c>
      <c r="AB217" s="2107">
        <v>336</v>
      </c>
      <c r="AC217" s="2068">
        <f t="shared" si="65"/>
        <v>0</v>
      </c>
      <c r="AD217" s="2108" t="s">
        <v>327</v>
      </c>
      <c r="AE217" s="1402" t="s">
        <v>63</v>
      </c>
      <c r="AF217" s="1402" t="s">
        <v>38</v>
      </c>
      <c r="AG217" s="1363"/>
      <c r="AH217" s="2073">
        <f>J217</f>
        <v>336</v>
      </c>
      <c r="AI217" s="2073"/>
      <c r="AJ217" s="2085"/>
      <c r="AK217" s="2205"/>
      <c r="AL217" s="2042"/>
      <c r="AM217" s="2042">
        <f t="shared" si="71"/>
        <v>336</v>
      </c>
      <c r="AN217" s="2205"/>
      <c r="AO217" s="2205"/>
      <c r="AP217" s="2205"/>
      <c r="AQ217" s="2205"/>
      <c r="AR217" s="2205"/>
      <c r="AS217" s="2212"/>
      <c r="AT217" s="2212"/>
      <c r="AU217" s="2212"/>
      <c r="AV217" s="2212"/>
      <c r="AW217" s="2042">
        <f>J217</f>
        <v>336</v>
      </c>
      <c r="AX217" s="2042"/>
      <c r="AY217" s="2042"/>
      <c r="AZ217" s="2212"/>
      <c r="BA217" s="2085"/>
      <c r="BB217" s="2085"/>
      <c r="BC217" s="2085"/>
      <c r="BD217" s="2094">
        <f t="shared" si="69"/>
        <v>336</v>
      </c>
      <c r="BE217" s="2094">
        <f t="shared" si="70"/>
        <v>0</v>
      </c>
    </row>
    <row r="218" s="1988" customFormat="1" ht="36" customHeight="1" spans="1:57">
      <c r="A218" s="2018">
        <v>45919</v>
      </c>
      <c r="B218" s="2098" t="s">
        <v>1030</v>
      </c>
      <c r="C218" s="1723" t="s">
        <v>69</v>
      </c>
      <c r="D218" s="2114">
        <v>4500179895</v>
      </c>
      <c r="E218" s="2164" t="s">
        <v>1063</v>
      </c>
      <c r="F218" s="2114" t="s">
        <v>1066</v>
      </c>
      <c r="G218" s="2044" t="s">
        <v>1043</v>
      </c>
      <c r="H218" s="2044" t="s">
        <v>64</v>
      </c>
      <c r="I218" s="2103" t="s">
        <v>65</v>
      </c>
      <c r="J218" s="2181">
        <v>276</v>
      </c>
      <c r="K218" s="2037">
        <v>0</v>
      </c>
      <c r="L218" s="2038">
        <v>12</v>
      </c>
      <c r="M218" s="2039">
        <f t="shared" si="66"/>
        <v>23</v>
      </c>
      <c r="N218" s="2040">
        <v>45975</v>
      </c>
      <c r="O218" s="2040">
        <v>45971</v>
      </c>
      <c r="P218" s="1364" t="s">
        <v>1034</v>
      </c>
      <c r="Q218" s="1363" t="s">
        <v>215</v>
      </c>
      <c r="R218" s="1363" t="s">
        <v>1056</v>
      </c>
      <c r="S218" s="1406" t="s">
        <v>1036</v>
      </c>
      <c r="T218" s="1364"/>
      <c r="U218" s="1364" t="s">
        <v>1037</v>
      </c>
      <c r="V218" s="1365" t="s">
        <v>1044</v>
      </c>
      <c r="W218" s="2055" t="s">
        <v>1060</v>
      </c>
      <c r="X218" s="2087" t="s">
        <v>1040</v>
      </c>
      <c r="Y218" s="2065">
        <v>3.9509</v>
      </c>
      <c r="Z218" s="2066">
        <f t="shared" si="67"/>
        <v>1090.4484</v>
      </c>
      <c r="AA218" s="2068" t="s">
        <v>1065</v>
      </c>
      <c r="AB218" s="2107">
        <v>276</v>
      </c>
      <c r="AC218" s="2068">
        <f t="shared" si="65"/>
        <v>0</v>
      </c>
      <c r="AD218" s="2108" t="s">
        <v>327</v>
      </c>
      <c r="AE218" s="1402" t="s">
        <v>63</v>
      </c>
      <c r="AF218" s="1402" t="s">
        <v>38</v>
      </c>
      <c r="AG218" s="1363"/>
      <c r="AH218" s="2073"/>
      <c r="AI218" s="2073">
        <f>J218</f>
        <v>276</v>
      </c>
      <c r="AJ218" s="2085"/>
      <c r="AK218" s="2205"/>
      <c r="AL218" s="2042"/>
      <c r="AM218" s="2042">
        <f t="shared" si="71"/>
        <v>276</v>
      </c>
      <c r="AN218" s="2205"/>
      <c r="AO218" s="2205"/>
      <c r="AP218" s="2205"/>
      <c r="AQ218" s="2205"/>
      <c r="AR218" s="2205"/>
      <c r="AS218" s="2212"/>
      <c r="AT218" s="2212"/>
      <c r="AU218" s="2212"/>
      <c r="AV218" s="2212"/>
      <c r="AW218" s="2042"/>
      <c r="AX218" s="2042">
        <f>J218</f>
        <v>276</v>
      </c>
      <c r="AY218" s="2042"/>
      <c r="AZ218" s="2212"/>
      <c r="BA218" s="2085"/>
      <c r="BB218" s="2085"/>
      <c r="BC218" s="2085"/>
      <c r="BD218" s="2094">
        <f t="shared" si="69"/>
        <v>276</v>
      </c>
      <c r="BE218" s="2094">
        <f t="shared" si="70"/>
        <v>0</v>
      </c>
    </row>
    <row r="219" s="1988" customFormat="1" ht="36" customHeight="1" spans="1:57">
      <c r="A219" s="2018">
        <v>45919</v>
      </c>
      <c r="B219" s="2098" t="s">
        <v>1030</v>
      </c>
      <c r="C219" s="1723" t="s">
        <v>69</v>
      </c>
      <c r="D219" s="2114">
        <v>4500179895</v>
      </c>
      <c r="E219" s="2164" t="s">
        <v>1063</v>
      </c>
      <c r="F219" s="2114" t="s">
        <v>1067</v>
      </c>
      <c r="G219" s="2044" t="s">
        <v>1047</v>
      </c>
      <c r="H219" s="2044" t="s">
        <v>66</v>
      </c>
      <c r="I219" s="2128" t="s">
        <v>67</v>
      </c>
      <c r="J219" s="2181">
        <v>288</v>
      </c>
      <c r="K219" s="2037">
        <v>0</v>
      </c>
      <c r="L219" s="2038">
        <v>12</v>
      </c>
      <c r="M219" s="2039">
        <f t="shared" si="66"/>
        <v>24</v>
      </c>
      <c r="N219" s="2040">
        <v>45975</v>
      </c>
      <c r="O219" s="2040">
        <v>45971</v>
      </c>
      <c r="P219" s="1364" t="s">
        <v>1034</v>
      </c>
      <c r="Q219" s="1363" t="s">
        <v>215</v>
      </c>
      <c r="R219" s="1363" t="s">
        <v>1056</v>
      </c>
      <c r="S219" s="1406" t="s">
        <v>1036</v>
      </c>
      <c r="T219" s="1364"/>
      <c r="U219" s="1364" t="s">
        <v>1037</v>
      </c>
      <c r="V219" s="1365" t="s">
        <v>1048</v>
      </c>
      <c r="W219" s="2055" t="s">
        <v>1062</v>
      </c>
      <c r="X219" s="2087" t="s">
        <v>1040</v>
      </c>
      <c r="Y219" s="2065">
        <v>3.6399</v>
      </c>
      <c r="Z219" s="2066">
        <f t="shared" si="67"/>
        <v>1048.2912</v>
      </c>
      <c r="AA219" s="2068" t="s">
        <v>1065</v>
      </c>
      <c r="AB219" s="2107">
        <v>288</v>
      </c>
      <c r="AC219" s="2068">
        <f t="shared" si="65"/>
        <v>0</v>
      </c>
      <c r="AD219" s="2108" t="s">
        <v>327</v>
      </c>
      <c r="AE219" s="1402" t="s">
        <v>63</v>
      </c>
      <c r="AF219" s="1402" t="s">
        <v>38</v>
      </c>
      <c r="AG219" s="1363"/>
      <c r="AH219" s="2073"/>
      <c r="AI219" s="2073"/>
      <c r="AJ219" s="2085">
        <f>J219</f>
        <v>288</v>
      </c>
      <c r="AK219" s="2205"/>
      <c r="AL219" s="2042"/>
      <c r="AM219" s="2042">
        <f t="shared" si="71"/>
        <v>288</v>
      </c>
      <c r="AN219" s="2205"/>
      <c r="AO219" s="2205"/>
      <c r="AP219" s="2205"/>
      <c r="AQ219" s="2205"/>
      <c r="AR219" s="2205"/>
      <c r="AS219" s="2212"/>
      <c r="AT219" s="2212"/>
      <c r="AU219" s="2212"/>
      <c r="AV219" s="2212"/>
      <c r="AW219" s="2042"/>
      <c r="AX219" s="2042"/>
      <c r="AY219" s="2042">
        <f>J219</f>
        <v>288</v>
      </c>
      <c r="AZ219" s="2212"/>
      <c r="BA219" s="2085"/>
      <c r="BB219" s="2085"/>
      <c r="BC219" s="2085"/>
      <c r="BD219" s="2094">
        <f t="shared" si="69"/>
        <v>288</v>
      </c>
      <c r="BE219" s="2094">
        <f t="shared" si="70"/>
        <v>0</v>
      </c>
    </row>
    <row r="220" s="1988" customFormat="1" ht="36" customHeight="1" spans="1:57">
      <c r="A220" s="2018">
        <v>45928</v>
      </c>
      <c r="B220" s="2098" t="s">
        <v>1016</v>
      </c>
      <c r="C220" s="1723" t="s">
        <v>91</v>
      </c>
      <c r="D220" s="2114">
        <v>4500180576</v>
      </c>
      <c r="E220" s="2328" t="s">
        <v>1068</v>
      </c>
      <c r="F220" s="2114" t="s">
        <v>1069</v>
      </c>
      <c r="G220" s="2044" t="s">
        <v>94</v>
      </c>
      <c r="H220" s="2044" t="s">
        <v>94</v>
      </c>
      <c r="I220" s="2036" t="s">
        <v>55</v>
      </c>
      <c r="J220" s="1989">
        <v>686</v>
      </c>
      <c r="K220" s="2037">
        <v>0</v>
      </c>
      <c r="L220" s="2038">
        <v>2</v>
      </c>
      <c r="M220" s="2039">
        <f t="shared" si="66"/>
        <v>343</v>
      </c>
      <c r="N220" s="2040">
        <v>45985</v>
      </c>
      <c r="O220" s="2040">
        <v>45981</v>
      </c>
      <c r="P220" s="1364"/>
      <c r="Q220" s="1363" t="s">
        <v>215</v>
      </c>
      <c r="R220" s="1363" t="s">
        <v>1070</v>
      </c>
      <c r="S220" s="1406" t="s">
        <v>985</v>
      </c>
      <c r="T220" s="1364"/>
      <c r="U220" s="1364" t="s">
        <v>1020</v>
      </c>
      <c r="V220" s="1365" t="s">
        <v>987</v>
      </c>
      <c r="W220" s="2055" t="s">
        <v>1071</v>
      </c>
      <c r="X220" s="2087" t="s">
        <v>101</v>
      </c>
      <c r="Y220" s="2065">
        <v>2.0161</v>
      </c>
      <c r="Z220" s="2066">
        <f t="shared" si="67"/>
        <v>1383.0446</v>
      </c>
      <c r="AA220" s="2068"/>
      <c r="AB220" s="2107">
        <v>686</v>
      </c>
      <c r="AC220" s="2068">
        <f t="shared" si="65"/>
        <v>0</v>
      </c>
      <c r="AD220" s="2108" t="s">
        <v>81</v>
      </c>
      <c r="AE220" s="1402" t="s">
        <v>63</v>
      </c>
      <c r="AF220" s="1402" t="s">
        <v>38</v>
      </c>
      <c r="AG220" s="1363"/>
      <c r="AH220" s="2073">
        <f t="shared" ref="AH220:AH231" si="72">J220</f>
        <v>686</v>
      </c>
      <c r="AI220" s="2073"/>
      <c r="AJ220" s="2085"/>
      <c r="AK220" s="2204"/>
      <c r="AL220" s="2042">
        <f t="shared" ref="AL220:AL229" si="73">J220</f>
        <v>686</v>
      </c>
      <c r="AM220" s="2042"/>
      <c r="AN220" s="2204"/>
      <c r="AO220" s="2204"/>
      <c r="AP220" s="2204"/>
      <c r="AQ220" s="2204"/>
      <c r="AR220" s="2204"/>
      <c r="AS220" s="2210"/>
      <c r="AT220" s="2210"/>
      <c r="AU220" s="2210"/>
      <c r="AV220" s="2210"/>
      <c r="AW220" s="2042"/>
      <c r="AX220" s="2042"/>
      <c r="AY220" s="2042"/>
      <c r="AZ220" s="2210"/>
      <c r="BA220" s="2085">
        <f t="shared" ref="BA220:BA228" si="74">J220</f>
        <v>686</v>
      </c>
      <c r="BB220" s="1989"/>
      <c r="BC220" s="2042"/>
      <c r="BD220" s="2094">
        <f t="shared" si="69"/>
        <v>686</v>
      </c>
      <c r="BE220" s="2094">
        <f t="shared" si="70"/>
        <v>0</v>
      </c>
    </row>
    <row r="221" s="1988" customFormat="1" ht="36" customHeight="1" spans="1:57">
      <c r="A221" s="2018">
        <v>45928</v>
      </c>
      <c r="B221" s="2098" t="s">
        <v>1016</v>
      </c>
      <c r="C221" s="1723" t="s">
        <v>91</v>
      </c>
      <c r="D221" s="2114">
        <v>4500180574</v>
      </c>
      <c r="E221" s="2327" t="s">
        <v>1072</v>
      </c>
      <c r="F221" s="2099" t="s">
        <v>1073</v>
      </c>
      <c r="G221" s="1989" t="s">
        <v>94</v>
      </c>
      <c r="H221" s="1989" t="s">
        <v>94</v>
      </c>
      <c r="I221" s="2036" t="s">
        <v>55</v>
      </c>
      <c r="J221" s="1989">
        <v>1094</v>
      </c>
      <c r="K221" s="2037">
        <v>0</v>
      </c>
      <c r="L221" s="2038">
        <v>2</v>
      </c>
      <c r="M221" s="2039">
        <f t="shared" si="66"/>
        <v>547</v>
      </c>
      <c r="N221" s="2040">
        <v>45985</v>
      </c>
      <c r="O221" s="2040">
        <v>45981</v>
      </c>
      <c r="P221" s="1364"/>
      <c r="Q221" s="1363" t="s">
        <v>215</v>
      </c>
      <c r="R221" s="1363"/>
      <c r="S221" s="1406" t="s">
        <v>985</v>
      </c>
      <c r="T221" s="1364"/>
      <c r="U221" s="1364" t="s">
        <v>1020</v>
      </c>
      <c r="V221" s="1365" t="s">
        <v>987</v>
      </c>
      <c r="W221" s="2055" t="s">
        <v>1071</v>
      </c>
      <c r="X221" s="2087" t="s">
        <v>101</v>
      </c>
      <c r="Y221" s="2065">
        <v>2.0161</v>
      </c>
      <c r="Z221" s="2066">
        <f t="shared" si="67"/>
        <v>2205.6134</v>
      </c>
      <c r="AA221" s="2068"/>
      <c r="AB221" s="2107">
        <v>1094</v>
      </c>
      <c r="AC221" s="2068">
        <f t="shared" ref="AC220:AC232" si="75">AB221-J221</f>
        <v>0</v>
      </c>
      <c r="AD221" s="2108" t="s">
        <v>81</v>
      </c>
      <c r="AE221" s="1402" t="s">
        <v>63</v>
      </c>
      <c r="AF221" s="1402" t="s">
        <v>38</v>
      </c>
      <c r="AG221" s="1363"/>
      <c r="AH221" s="2073">
        <f t="shared" si="72"/>
        <v>1094</v>
      </c>
      <c r="AI221" s="2073"/>
      <c r="AJ221" s="2085"/>
      <c r="AK221" s="2204"/>
      <c r="AL221" s="2042">
        <f t="shared" si="73"/>
        <v>1094</v>
      </c>
      <c r="AM221" s="2042"/>
      <c r="AN221" s="2204"/>
      <c r="AO221" s="2204"/>
      <c r="AP221" s="2204"/>
      <c r="AQ221" s="2204"/>
      <c r="AR221" s="2204"/>
      <c r="AS221" s="2210"/>
      <c r="AT221" s="2210"/>
      <c r="AU221" s="2210"/>
      <c r="AV221" s="2210"/>
      <c r="AW221" s="2042"/>
      <c r="AX221" s="2042"/>
      <c r="AY221" s="2042"/>
      <c r="AZ221" s="2210"/>
      <c r="BA221" s="2085">
        <f t="shared" si="74"/>
        <v>1094</v>
      </c>
      <c r="BB221" s="2042"/>
      <c r="BC221" s="2042"/>
      <c r="BD221" s="2094">
        <f t="shared" si="69"/>
        <v>1094</v>
      </c>
      <c r="BE221" s="2094">
        <f t="shared" si="70"/>
        <v>0</v>
      </c>
    </row>
    <row r="222" s="1988" customFormat="1" ht="36" customHeight="1" spans="1:57">
      <c r="A222" s="2018">
        <v>45928</v>
      </c>
      <c r="B222" s="2098" t="s">
        <v>1016</v>
      </c>
      <c r="C222" s="1723" t="s">
        <v>91</v>
      </c>
      <c r="D222" s="2114">
        <v>4500180578</v>
      </c>
      <c r="E222" s="2327" t="s">
        <v>1074</v>
      </c>
      <c r="F222" s="2099" t="s">
        <v>1075</v>
      </c>
      <c r="G222" s="1989" t="s">
        <v>94</v>
      </c>
      <c r="H222" s="1989" t="s">
        <v>94</v>
      </c>
      <c r="I222" s="2036" t="s">
        <v>55</v>
      </c>
      <c r="J222" s="1989">
        <v>1476</v>
      </c>
      <c r="K222" s="2037">
        <v>0</v>
      </c>
      <c r="L222" s="2038">
        <v>2</v>
      </c>
      <c r="M222" s="2039">
        <f t="shared" si="66"/>
        <v>738</v>
      </c>
      <c r="N222" s="2040">
        <v>45985</v>
      </c>
      <c r="O222" s="2040">
        <v>45981</v>
      </c>
      <c r="P222" s="1364"/>
      <c r="Q222" s="1363" t="s">
        <v>215</v>
      </c>
      <c r="R222" s="1363" t="s">
        <v>1076</v>
      </c>
      <c r="S222" s="1406" t="s">
        <v>985</v>
      </c>
      <c r="T222" s="1364"/>
      <c r="U222" s="1364" t="s">
        <v>1020</v>
      </c>
      <c r="V222" s="1365" t="s">
        <v>987</v>
      </c>
      <c r="W222" s="2055" t="s">
        <v>1071</v>
      </c>
      <c r="X222" s="2087" t="s">
        <v>101</v>
      </c>
      <c r="Y222" s="2065">
        <v>2.0161</v>
      </c>
      <c r="Z222" s="2066">
        <f t="shared" si="67"/>
        <v>2975.7636</v>
      </c>
      <c r="AA222" s="2068"/>
      <c r="AB222" s="2107">
        <v>1476</v>
      </c>
      <c r="AC222" s="2068">
        <f t="shared" si="75"/>
        <v>0</v>
      </c>
      <c r="AD222" s="2108" t="s">
        <v>81</v>
      </c>
      <c r="AE222" s="1402" t="s">
        <v>63</v>
      </c>
      <c r="AF222" s="1402" t="s">
        <v>38</v>
      </c>
      <c r="AG222" s="1363"/>
      <c r="AH222" s="2073">
        <f t="shared" si="72"/>
        <v>1476</v>
      </c>
      <c r="AI222" s="2073"/>
      <c r="AJ222" s="2085"/>
      <c r="AK222" s="2204"/>
      <c r="AL222" s="2042">
        <f t="shared" si="73"/>
        <v>1476</v>
      </c>
      <c r="AM222" s="2042"/>
      <c r="AN222" s="2204"/>
      <c r="AO222" s="2204"/>
      <c r="AP222" s="2204"/>
      <c r="AQ222" s="2204"/>
      <c r="AR222" s="2204"/>
      <c r="AS222" s="2210"/>
      <c r="AT222" s="2210"/>
      <c r="AU222" s="2210"/>
      <c r="AV222" s="2210"/>
      <c r="AW222" s="2042"/>
      <c r="AX222" s="2042"/>
      <c r="AY222" s="2042"/>
      <c r="AZ222" s="2210"/>
      <c r="BA222" s="2085">
        <f t="shared" si="74"/>
        <v>1476</v>
      </c>
      <c r="BB222" s="2042"/>
      <c r="BC222" s="2042"/>
      <c r="BD222" s="2094">
        <f t="shared" si="69"/>
        <v>1476</v>
      </c>
      <c r="BE222" s="2094">
        <f t="shared" si="70"/>
        <v>0</v>
      </c>
    </row>
    <row r="223" s="1988" customFormat="1" ht="36" customHeight="1" spans="1:57">
      <c r="A223" s="2018">
        <v>45943</v>
      </c>
      <c r="B223" s="2098" t="s">
        <v>1016</v>
      </c>
      <c r="C223" s="1723" t="s">
        <v>91</v>
      </c>
      <c r="D223" s="2099">
        <v>4500181695</v>
      </c>
      <c r="E223" s="2100" t="s">
        <v>1077</v>
      </c>
      <c r="F223" s="2099" t="s">
        <v>1078</v>
      </c>
      <c r="G223" s="1989" t="s">
        <v>94</v>
      </c>
      <c r="H223" s="1989" t="s">
        <v>94</v>
      </c>
      <c r="I223" s="2036" t="s">
        <v>55</v>
      </c>
      <c r="J223" s="1989">
        <v>2414</v>
      </c>
      <c r="K223" s="2037">
        <v>0</v>
      </c>
      <c r="L223" s="2038">
        <v>2</v>
      </c>
      <c r="M223" s="2039">
        <f t="shared" si="66"/>
        <v>1207</v>
      </c>
      <c r="N223" s="2040">
        <v>45985</v>
      </c>
      <c r="O223" s="2040">
        <v>45981</v>
      </c>
      <c r="P223" s="1364" t="s">
        <v>1079</v>
      </c>
      <c r="Q223" s="1363" t="s">
        <v>215</v>
      </c>
      <c r="R223" s="1363" t="s">
        <v>1035</v>
      </c>
      <c r="S223" s="1406" t="s">
        <v>1080</v>
      </c>
      <c r="T223" s="1364"/>
      <c r="U223" s="1364" t="s">
        <v>1081</v>
      </c>
      <c r="V223" s="1365" t="s">
        <v>1082</v>
      </c>
      <c r="W223" s="2055" t="s">
        <v>1083</v>
      </c>
      <c r="X223" s="2087" t="s">
        <v>101</v>
      </c>
      <c r="Y223" s="2065">
        <v>2.0609</v>
      </c>
      <c r="Z223" s="2066">
        <f t="shared" si="67"/>
        <v>4975.0126</v>
      </c>
      <c r="AA223" s="2068"/>
      <c r="AB223" s="2107">
        <v>2414</v>
      </c>
      <c r="AC223" s="2068">
        <f t="shared" si="75"/>
        <v>0</v>
      </c>
      <c r="AD223" s="2108" t="s">
        <v>81</v>
      </c>
      <c r="AE223" s="1402" t="s">
        <v>63</v>
      </c>
      <c r="AF223" s="1402" t="s">
        <v>38</v>
      </c>
      <c r="AG223" s="1363"/>
      <c r="AH223" s="2073">
        <f t="shared" si="72"/>
        <v>2414</v>
      </c>
      <c r="AI223" s="2073"/>
      <c r="AJ223" s="2085"/>
      <c r="AK223" s="2204"/>
      <c r="AL223" s="2042">
        <f t="shared" si="73"/>
        <v>2414</v>
      </c>
      <c r="AM223" s="2042"/>
      <c r="AN223" s="2204"/>
      <c r="AO223" s="2204"/>
      <c r="AP223" s="2204"/>
      <c r="AQ223" s="2204"/>
      <c r="AR223" s="2204"/>
      <c r="AS223" s="2210"/>
      <c r="AT223" s="2210"/>
      <c r="AU223" s="2210"/>
      <c r="AV223" s="2210"/>
      <c r="AW223" s="2042"/>
      <c r="AX223" s="2042"/>
      <c r="AY223" s="2042"/>
      <c r="AZ223" s="2210"/>
      <c r="BA223" s="2085">
        <f t="shared" si="74"/>
        <v>2414</v>
      </c>
      <c r="BB223" s="2085"/>
      <c r="BC223" s="2085"/>
      <c r="BD223" s="2094">
        <f t="shared" si="69"/>
        <v>2414</v>
      </c>
      <c r="BE223" s="2094">
        <f t="shared" si="70"/>
        <v>0</v>
      </c>
    </row>
    <row r="224" s="1988" customFormat="1" ht="36" customHeight="1" spans="1:57">
      <c r="A224" s="2018">
        <v>45943</v>
      </c>
      <c r="B224" s="2098" t="s">
        <v>1016</v>
      </c>
      <c r="C224" s="1723" t="s">
        <v>91</v>
      </c>
      <c r="D224" s="2099">
        <v>4500181695</v>
      </c>
      <c r="E224" s="2100" t="s">
        <v>1084</v>
      </c>
      <c r="F224" s="2099" t="s">
        <v>1085</v>
      </c>
      <c r="G224" s="1989" t="s">
        <v>94</v>
      </c>
      <c r="H224" s="1989" t="s">
        <v>94</v>
      </c>
      <c r="I224" s="2036" t="s">
        <v>55</v>
      </c>
      <c r="J224" s="1989">
        <v>1364</v>
      </c>
      <c r="K224" s="2037">
        <v>0</v>
      </c>
      <c r="L224" s="2038">
        <v>2</v>
      </c>
      <c r="M224" s="2039">
        <f t="shared" si="66"/>
        <v>682</v>
      </c>
      <c r="N224" s="2040">
        <v>45985</v>
      </c>
      <c r="O224" s="2040">
        <v>45981</v>
      </c>
      <c r="P224" s="1364" t="s">
        <v>1079</v>
      </c>
      <c r="Q224" s="1363" t="s">
        <v>215</v>
      </c>
      <c r="R224" s="1363" t="s">
        <v>1070</v>
      </c>
      <c r="S224" s="1406" t="s">
        <v>1080</v>
      </c>
      <c r="T224" s="1364"/>
      <c r="U224" s="1364" t="s">
        <v>1081</v>
      </c>
      <c r="V224" s="1365" t="s">
        <v>1082</v>
      </c>
      <c r="W224" s="2055" t="s">
        <v>1083</v>
      </c>
      <c r="X224" s="2087" t="s">
        <v>101</v>
      </c>
      <c r="Y224" s="2065">
        <v>2.1826</v>
      </c>
      <c r="Z224" s="2066">
        <f t="shared" si="67"/>
        <v>2977.0664</v>
      </c>
      <c r="AA224" s="2068"/>
      <c r="AB224" s="2107">
        <v>1364</v>
      </c>
      <c r="AC224" s="2068">
        <f t="shared" si="75"/>
        <v>0</v>
      </c>
      <c r="AD224" s="2108" t="s">
        <v>81</v>
      </c>
      <c r="AE224" s="1402" t="s">
        <v>63</v>
      </c>
      <c r="AF224" s="1402" t="s">
        <v>38</v>
      </c>
      <c r="AG224" s="1363"/>
      <c r="AH224" s="2073">
        <f t="shared" si="72"/>
        <v>1364</v>
      </c>
      <c r="AI224" s="2073"/>
      <c r="AJ224" s="2085"/>
      <c r="AK224" s="2204"/>
      <c r="AL224" s="2042">
        <f t="shared" si="73"/>
        <v>1364</v>
      </c>
      <c r="AM224" s="2042"/>
      <c r="AN224" s="2204"/>
      <c r="AO224" s="2204"/>
      <c r="AP224" s="2204"/>
      <c r="AQ224" s="2204"/>
      <c r="AR224" s="2204"/>
      <c r="AS224" s="2210"/>
      <c r="AT224" s="2210"/>
      <c r="AU224" s="2210"/>
      <c r="AV224" s="2210"/>
      <c r="AW224" s="2042"/>
      <c r="AX224" s="2042"/>
      <c r="AY224" s="2042"/>
      <c r="AZ224" s="2210"/>
      <c r="BA224" s="2085">
        <f t="shared" si="74"/>
        <v>1364</v>
      </c>
      <c r="BB224" s="2085"/>
      <c r="BC224" s="2085"/>
      <c r="BD224" s="2094">
        <f t="shared" si="69"/>
        <v>1364</v>
      </c>
      <c r="BE224" s="2094">
        <f t="shared" si="70"/>
        <v>0</v>
      </c>
    </row>
    <row r="225" s="1988" customFormat="1" ht="36" customHeight="1" spans="1:57">
      <c r="A225" s="2018">
        <v>45928</v>
      </c>
      <c r="B225" s="2098" t="s">
        <v>1016</v>
      </c>
      <c r="C225" s="1723" t="s">
        <v>91</v>
      </c>
      <c r="D225" s="2114">
        <v>4500180589</v>
      </c>
      <c r="E225" s="2327" t="s">
        <v>1086</v>
      </c>
      <c r="F225" s="2099" t="s">
        <v>1087</v>
      </c>
      <c r="G225" s="1989" t="s">
        <v>94</v>
      </c>
      <c r="H225" s="1989" t="s">
        <v>94</v>
      </c>
      <c r="I225" s="2036" t="s">
        <v>55</v>
      </c>
      <c r="J225" s="1989">
        <v>2052</v>
      </c>
      <c r="K225" s="2037">
        <v>0</v>
      </c>
      <c r="L225" s="2038">
        <v>2</v>
      </c>
      <c r="M225" s="2039">
        <f t="shared" si="66"/>
        <v>1026</v>
      </c>
      <c r="N225" s="2040">
        <v>45988</v>
      </c>
      <c r="O225" s="2040">
        <v>45985</v>
      </c>
      <c r="P225" s="1364" t="s">
        <v>1088</v>
      </c>
      <c r="Q225" s="1363" t="s">
        <v>215</v>
      </c>
      <c r="R225" s="1363" t="s">
        <v>1089</v>
      </c>
      <c r="S225" s="1406" t="s">
        <v>985</v>
      </c>
      <c r="T225" s="1364"/>
      <c r="U225" s="1364" t="s">
        <v>1020</v>
      </c>
      <c r="V225" s="1365" t="s">
        <v>987</v>
      </c>
      <c r="W225" s="2055" t="s">
        <v>1071</v>
      </c>
      <c r="X225" s="2087" t="s">
        <v>101</v>
      </c>
      <c r="Y225" s="2065">
        <v>1.9465</v>
      </c>
      <c r="Z225" s="2066">
        <f t="shared" si="67"/>
        <v>3994.218</v>
      </c>
      <c r="AA225" s="2068"/>
      <c r="AB225" s="2107">
        <f>2042+10</f>
        <v>2052</v>
      </c>
      <c r="AC225" s="2068">
        <f t="shared" si="75"/>
        <v>0</v>
      </c>
      <c r="AD225" s="2108" t="s">
        <v>81</v>
      </c>
      <c r="AE225" s="1402" t="s">
        <v>63</v>
      </c>
      <c r="AF225" s="1402" t="s">
        <v>38</v>
      </c>
      <c r="AG225" s="1363"/>
      <c r="AH225" s="2073">
        <f t="shared" si="72"/>
        <v>2052</v>
      </c>
      <c r="AI225" s="2073"/>
      <c r="AJ225" s="2085"/>
      <c r="AK225" s="2204"/>
      <c r="AL225" s="2042">
        <f t="shared" si="73"/>
        <v>2052</v>
      </c>
      <c r="AM225" s="2042"/>
      <c r="AN225" s="2204"/>
      <c r="AO225" s="2204"/>
      <c r="AP225" s="2204"/>
      <c r="AQ225" s="2204"/>
      <c r="AR225" s="2204"/>
      <c r="AS225" s="2210"/>
      <c r="AT225" s="2210"/>
      <c r="AU225" s="2210"/>
      <c r="AV225" s="2210"/>
      <c r="AW225" s="2042"/>
      <c r="AX225" s="2042"/>
      <c r="AY225" s="2042"/>
      <c r="AZ225" s="2210"/>
      <c r="BA225" s="2085">
        <f t="shared" si="74"/>
        <v>2052</v>
      </c>
      <c r="BB225" s="2085"/>
      <c r="BC225" s="2085"/>
      <c r="BD225" s="2094">
        <f t="shared" si="69"/>
        <v>2052</v>
      </c>
      <c r="BE225" s="2094">
        <f t="shared" si="70"/>
        <v>0</v>
      </c>
    </row>
    <row r="226" s="1988" customFormat="1" ht="36" customHeight="1" spans="1:57">
      <c r="A226" s="2018">
        <v>45943</v>
      </c>
      <c r="B226" s="2098" t="s">
        <v>1016</v>
      </c>
      <c r="C226" s="1723" t="s">
        <v>91</v>
      </c>
      <c r="D226" s="2099">
        <v>4500181703</v>
      </c>
      <c r="E226" s="2100" t="s">
        <v>1090</v>
      </c>
      <c r="F226" s="2099" t="s">
        <v>1091</v>
      </c>
      <c r="G226" s="1989" t="s">
        <v>94</v>
      </c>
      <c r="H226" s="1989" t="s">
        <v>94</v>
      </c>
      <c r="I226" s="2036" t="s">
        <v>55</v>
      </c>
      <c r="J226" s="1989">
        <v>2754</v>
      </c>
      <c r="K226" s="2037">
        <v>0</v>
      </c>
      <c r="L226" s="2038">
        <v>2</v>
      </c>
      <c r="M226" s="2039">
        <f t="shared" si="66"/>
        <v>1377</v>
      </c>
      <c r="N226" s="2040">
        <v>45988</v>
      </c>
      <c r="O226" s="2040">
        <v>45985</v>
      </c>
      <c r="P226" s="1364" t="s">
        <v>1088</v>
      </c>
      <c r="Q226" s="1363" t="s">
        <v>215</v>
      </c>
      <c r="R226" s="1363" t="s">
        <v>1076</v>
      </c>
      <c r="S226" s="1406" t="s">
        <v>1080</v>
      </c>
      <c r="T226" s="1364"/>
      <c r="U226" s="1364" t="s">
        <v>1081</v>
      </c>
      <c r="V226" s="1365" t="s">
        <v>1082</v>
      </c>
      <c r="W226" s="2055" t="s">
        <v>1092</v>
      </c>
      <c r="X226" s="2087" t="s">
        <v>101</v>
      </c>
      <c r="Y226" s="2065">
        <v>2.1305</v>
      </c>
      <c r="Z226" s="2066">
        <f t="shared" si="67"/>
        <v>5867.397</v>
      </c>
      <c r="AA226" s="2068"/>
      <c r="AB226" s="2107">
        <v>2754</v>
      </c>
      <c r="AC226" s="2068">
        <f t="shared" si="75"/>
        <v>0</v>
      </c>
      <c r="AD226" s="2108" t="s">
        <v>81</v>
      </c>
      <c r="AE226" s="1402" t="s">
        <v>63</v>
      </c>
      <c r="AF226" s="1402" t="s">
        <v>38</v>
      </c>
      <c r="AG226" s="1363"/>
      <c r="AH226" s="2073">
        <f t="shared" si="72"/>
        <v>2754</v>
      </c>
      <c r="AI226" s="2073"/>
      <c r="AJ226" s="2085"/>
      <c r="AK226" s="2204"/>
      <c r="AL226" s="2042">
        <f t="shared" si="73"/>
        <v>2754</v>
      </c>
      <c r="AM226" s="2042"/>
      <c r="AN226" s="2204"/>
      <c r="AO226" s="2204"/>
      <c r="AP226" s="2204"/>
      <c r="AQ226" s="2204"/>
      <c r="AR226" s="2204"/>
      <c r="AS226" s="2210"/>
      <c r="AT226" s="2210"/>
      <c r="AU226" s="2210"/>
      <c r="AV226" s="2210"/>
      <c r="AW226" s="2042"/>
      <c r="AX226" s="2042"/>
      <c r="AY226" s="2042"/>
      <c r="AZ226" s="2210"/>
      <c r="BA226" s="2085">
        <f t="shared" si="74"/>
        <v>2754</v>
      </c>
      <c r="BB226" s="2085"/>
      <c r="BC226" s="2085"/>
      <c r="BD226" s="2094">
        <f t="shared" si="69"/>
        <v>2754</v>
      </c>
      <c r="BE226" s="2094">
        <f t="shared" si="70"/>
        <v>0</v>
      </c>
    </row>
    <row r="227" s="1988" customFormat="1" ht="36" customHeight="1" spans="1:57">
      <c r="A227" s="2018">
        <v>45943</v>
      </c>
      <c r="B227" s="2098" t="s">
        <v>1016</v>
      </c>
      <c r="C227" s="1723" t="s">
        <v>91</v>
      </c>
      <c r="D227" s="2099">
        <v>4500181703</v>
      </c>
      <c r="E227" s="2100" t="s">
        <v>1093</v>
      </c>
      <c r="F227" s="2099" t="s">
        <v>1094</v>
      </c>
      <c r="G227" s="1989" t="s">
        <v>94</v>
      </c>
      <c r="H227" s="1989" t="s">
        <v>94</v>
      </c>
      <c r="I227" s="2036" t="s">
        <v>55</v>
      </c>
      <c r="J227" s="1989">
        <v>2912</v>
      </c>
      <c r="K227" s="2037">
        <v>0</v>
      </c>
      <c r="L227" s="2038">
        <v>2</v>
      </c>
      <c r="M227" s="2039">
        <f t="shared" si="66"/>
        <v>1456</v>
      </c>
      <c r="N227" s="2040">
        <v>45988</v>
      </c>
      <c r="O227" s="2040">
        <v>45985</v>
      </c>
      <c r="P227" s="1364" t="s">
        <v>1088</v>
      </c>
      <c r="Q227" s="1363" t="s">
        <v>215</v>
      </c>
      <c r="R227" s="1363" t="s">
        <v>1076</v>
      </c>
      <c r="S227" s="1406" t="s">
        <v>1080</v>
      </c>
      <c r="T227" s="1364"/>
      <c r="U227" s="1364" t="s">
        <v>1081</v>
      </c>
      <c r="V227" s="1365" t="s">
        <v>1082</v>
      </c>
      <c r="W227" s="2055" t="s">
        <v>1092</v>
      </c>
      <c r="X227" s="2087" t="s">
        <v>101</v>
      </c>
      <c r="Y227" s="2065">
        <v>2.1305</v>
      </c>
      <c r="Z227" s="2066">
        <f t="shared" si="67"/>
        <v>6204.016</v>
      </c>
      <c r="AA227" s="2068"/>
      <c r="AB227" s="2107">
        <f>450+2462</f>
        <v>2912</v>
      </c>
      <c r="AC227" s="2068">
        <f t="shared" si="75"/>
        <v>0</v>
      </c>
      <c r="AD227" s="2108" t="s">
        <v>81</v>
      </c>
      <c r="AE227" s="1402" t="s">
        <v>63</v>
      </c>
      <c r="AF227" s="1402" t="s">
        <v>38</v>
      </c>
      <c r="AG227" s="1363"/>
      <c r="AH227" s="2073">
        <f t="shared" si="72"/>
        <v>2912</v>
      </c>
      <c r="AI227" s="2073"/>
      <c r="AJ227" s="2085"/>
      <c r="AK227" s="2204"/>
      <c r="AL227" s="2042">
        <f t="shared" si="73"/>
        <v>2912</v>
      </c>
      <c r="AM227" s="2042"/>
      <c r="AN227" s="2204"/>
      <c r="AO227" s="2204"/>
      <c r="AP227" s="2204"/>
      <c r="AQ227" s="2204"/>
      <c r="AR227" s="2204"/>
      <c r="AS227" s="2210"/>
      <c r="AT227" s="2210"/>
      <c r="AU227" s="2210"/>
      <c r="AV227" s="2210"/>
      <c r="AW227" s="2042"/>
      <c r="AX227" s="2042"/>
      <c r="AY227" s="2042"/>
      <c r="AZ227" s="2210"/>
      <c r="BA227" s="2085">
        <f t="shared" si="74"/>
        <v>2912</v>
      </c>
      <c r="BB227" s="2085"/>
      <c r="BC227" s="2085"/>
      <c r="BD227" s="2094">
        <f t="shared" si="69"/>
        <v>2912</v>
      </c>
      <c r="BE227" s="2094">
        <f t="shared" si="70"/>
        <v>0</v>
      </c>
    </row>
    <row r="228" s="1988" customFormat="1" ht="36" customHeight="1" spans="1:57">
      <c r="A228" s="2018">
        <v>45943</v>
      </c>
      <c r="B228" s="2098" t="s">
        <v>1016</v>
      </c>
      <c r="C228" s="1723" t="s">
        <v>91</v>
      </c>
      <c r="D228" s="2099">
        <v>4500181703</v>
      </c>
      <c r="E228" s="2100" t="s">
        <v>1095</v>
      </c>
      <c r="F228" s="2099" t="s">
        <v>1096</v>
      </c>
      <c r="G228" s="1989" t="s">
        <v>94</v>
      </c>
      <c r="H228" s="1989" t="s">
        <v>94</v>
      </c>
      <c r="I228" s="2036" t="s">
        <v>55</v>
      </c>
      <c r="J228" s="1989">
        <v>3456</v>
      </c>
      <c r="K228" s="2037">
        <v>0</v>
      </c>
      <c r="L228" s="2038">
        <v>2</v>
      </c>
      <c r="M228" s="2039">
        <f t="shared" si="66"/>
        <v>1728</v>
      </c>
      <c r="N228" s="2040">
        <v>45988</v>
      </c>
      <c r="O228" s="2040">
        <v>45985</v>
      </c>
      <c r="P228" s="1364" t="s">
        <v>1088</v>
      </c>
      <c r="Q228" s="1363" t="s">
        <v>215</v>
      </c>
      <c r="R228" s="1363" t="s">
        <v>1089</v>
      </c>
      <c r="S228" s="1406" t="s">
        <v>1080</v>
      </c>
      <c r="T228" s="1364"/>
      <c r="U228" s="1364" t="s">
        <v>1081</v>
      </c>
      <c r="V228" s="1365" t="s">
        <v>1082</v>
      </c>
      <c r="W228" s="2055" t="s">
        <v>1092</v>
      </c>
      <c r="X228" s="2087" t="s">
        <v>101</v>
      </c>
      <c r="Y228" s="2065">
        <v>2.0648</v>
      </c>
      <c r="Z228" s="2066">
        <f t="shared" si="67"/>
        <v>7135.9488</v>
      </c>
      <c r="AA228" s="2068"/>
      <c r="AB228" s="2107">
        <v>3456</v>
      </c>
      <c r="AC228" s="2068">
        <f t="shared" si="75"/>
        <v>0</v>
      </c>
      <c r="AD228" s="2108" t="s">
        <v>81</v>
      </c>
      <c r="AE228" s="1402" t="s">
        <v>63</v>
      </c>
      <c r="AF228" s="1402" t="s">
        <v>38</v>
      </c>
      <c r="AG228" s="1363"/>
      <c r="AH228" s="2073">
        <f t="shared" si="72"/>
        <v>3456</v>
      </c>
      <c r="AI228" s="2073"/>
      <c r="AJ228" s="2085"/>
      <c r="AK228" s="2204"/>
      <c r="AL228" s="2042">
        <f t="shared" si="73"/>
        <v>3456</v>
      </c>
      <c r="AM228" s="2042"/>
      <c r="AN228" s="2204"/>
      <c r="AO228" s="2204"/>
      <c r="AP228" s="2204"/>
      <c r="AQ228" s="2204"/>
      <c r="AR228" s="2204"/>
      <c r="AS228" s="2210"/>
      <c r="AT228" s="2210"/>
      <c r="AU228" s="2210"/>
      <c r="AV228" s="2210"/>
      <c r="AW228" s="2042"/>
      <c r="AX228" s="2042"/>
      <c r="AY228" s="2042"/>
      <c r="AZ228" s="2210"/>
      <c r="BA228" s="2085">
        <f t="shared" si="74"/>
        <v>3456</v>
      </c>
      <c r="BB228" s="2085"/>
      <c r="BC228" s="2085"/>
      <c r="BD228" s="2094">
        <f t="shared" si="69"/>
        <v>3456</v>
      </c>
      <c r="BE228" s="2094">
        <f t="shared" si="70"/>
        <v>0</v>
      </c>
    </row>
    <row r="229" s="1988" customFormat="1" ht="36" customHeight="1" spans="1:57">
      <c r="A229" s="2018">
        <v>45946</v>
      </c>
      <c r="B229" s="2098" t="s">
        <v>1097</v>
      </c>
      <c r="C229" s="1723" t="s">
        <v>91</v>
      </c>
      <c r="D229" s="2099">
        <v>4500182100</v>
      </c>
      <c r="E229" s="2100" t="s">
        <v>1098</v>
      </c>
      <c r="F229" s="2099" t="s">
        <v>1099</v>
      </c>
      <c r="G229" s="1989" t="s">
        <v>1100</v>
      </c>
      <c r="H229" s="1989" t="s">
        <v>94</v>
      </c>
      <c r="I229" s="2036" t="s">
        <v>55</v>
      </c>
      <c r="J229" s="1989">
        <v>1200</v>
      </c>
      <c r="K229" s="2037">
        <v>0</v>
      </c>
      <c r="L229" s="2038">
        <v>2</v>
      </c>
      <c r="M229" s="2039">
        <f t="shared" si="66"/>
        <v>600</v>
      </c>
      <c r="N229" s="2040">
        <v>45989</v>
      </c>
      <c r="O229" s="2040">
        <v>45985</v>
      </c>
      <c r="P229" s="1364" t="s">
        <v>1101</v>
      </c>
      <c r="Q229" s="1363" t="s">
        <v>215</v>
      </c>
      <c r="R229" s="1363"/>
      <c r="S229" s="1406" t="s">
        <v>1102</v>
      </c>
      <c r="T229" s="1364"/>
      <c r="U229" s="1364" t="s">
        <v>58</v>
      </c>
      <c r="V229" s="1365" t="s">
        <v>1103</v>
      </c>
      <c r="W229" s="2055" t="s">
        <v>1104</v>
      </c>
      <c r="X229" s="2087" t="s">
        <v>1105</v>
      </c>
      <c r="Y229" s="2065">
        <v>2.1826</v>
      </c>
      <c r="Z229" s="2066">
        <f t="shared" si="67"/>
        <v>2619.12</v>
      </c>
      <c r="AA229" s="2068"/>
      <c r="AB229" s="2107">
        <f>700+500</f>
        <v>1200</v>
      </c>
      <c r="AC229" s="2068">
        <f t="shared" si="75"/>
        <v>0</v>
      </c>
      <c r="AD229" s="2108" t="s">
        <v>58</v>
      </c>
      <c r="AE229" s="1402" t="s">
        <v>63</v>
      </c>
      <c r="AF229" s="1402" t="s">
        <v>38</v>
      </c>
      <c r="AG229" s="1363"/>
      <c r="AH229" s="2073">
        <f t="shared" si="72"/>
        <v>1200</v>
      </c>
      <c r="AI229" s="2073"/>
      <c r="AJ229" s="2085"/>
      <c r="AK229" s="2042"/>
      <c r="AL229" s="2042">
        <f t="shared" si="73"/>
        <v>1200</v>
      </c>
      <c r="AM229" s="2042"/>
      <c r="AN229" s="2042"/>
      <c r="AO229" s="2042"/>
      <c r="AP229" s="2042"/>
      <c r="AQ229" s="2042"/>
      <c r="AR229" s="2042"/>
      <c r="AS229" s="2211"/>
      <c r="AT229" s="2211"/>
      <c r="AU229" s="2211"/>
      <c r="AV229" s="2211"/>
      <c r="AW229" s="2042">
        <f>J229</f>
        <v>1200</v>
      </c>
      <c r="AX229" s="2042"/>
      <c r="AY229" s="2042"/>
      <c r="AZ229" s="2211"/>
      <c r="BA229" s="2085"/>
      <c r="BB229" s="2085"/>
      <c r="BC229" s="2085"/>
      <c r="BD229" s="2094">
        <f t="shared" si="69"/>
        <v>1200</v>
      </c>
      <c r="BE229" s="2094">
        <f t="shared" si="70"/>
        <v>0</v>
      </c>
    </row>
    <row r="230" s="1988" customFormat="1" ht="36" customHeight="1" spans="1:57">
      <c r="A230" s="2018">
        <v>45952</v>
      </c>
      <c r="B230" s="2098" t="s">
        <v>945</v>
      </c>
      <c r="C230" s="1723" t="s">
        <v>493</v>
      </c>
      <c r="D230" s="2099">
        <v>4500182611</v>
      </c>
      <c r="E230" s="2100" t="s">
        <v>1106</v>
      </c>
      <c r="F230" s="2099" t="s">
        <v>1107</v>
      </c>
      <c r="G230" s="2165" t="s">
        <v>125</v>
      </c>
      <c r="H230" s="1989" t="s">
        <v>54</v>
      </c>
      <c r="I230" s="2103" t="s">
        <v>55</v>
      </c>
      <c r="J230" s="2181">
        <v>1104</v>
      </c>
      <c r="K230" s="2037">
        <v>0</v>
      </c>
      <c r="L230" s="2038">
        <v>12</v>
      </c>
      <c r="M230" s="2039">
        <f t="shared" si="66"/>
        <v>92</v>
      </c>
      <c r="N230" s="2040">
        <v>45978</v>
      </c>
      <c r="O230" s="2040">
        <v>45974</v>
      </c>
      <c r="P230" s="1364" t="s">
        <v>1024</v>
      </c>
      <c r="Q230" s="1363" t="s">
        <v>215</v>
      </c>
      <c r="R230" s="1363" t="s">
        <v>1108</v>
      </c>
      <c r="S230" s="1406" t="s">
        <v>1109</v>
      </c>
      <c r="T230" s="1364"/>
      <c r="U230" s="1364" t="s">
        <v>1110</v>
      </c>
      <c r="V230" s="1365" t="s">
        <v>1028</v>
      </c>
      <c r="W230" s="2055" t="s">
        <v>1111</v>
      </c>
      <c r="X230" s="2087" t="s">
        <v>953</v>
      </c>
      <c r="Y230" s="2065">
        <v>3.4758</v>
      </c>
      <c r="Z230" s="2066">
        <f t="shared" si="67"/>
        <v>3837.2832</v>
      </c>
      <c r="AA230" s="2068" t="s">
        <v>1112</v>
      </c>
      <c r="AB230" s="2107">
        <v>1104</v>
      </c>
      <c r="AC230" s="2068">
        <f t="shared" si="75"/>
        <v>0</v>
      </c>
      <c r="AD230" s="2108" t="s">
        <v>81</v>
      </c>
      <c r="AE230" s="1402" t="s">
        <v>63</v>
      </c>
      <c r="AF230" s="1402" t="s">
        <v>38</v>
      </c>
      <c r="AG230" s="1363"/>
      <c r="AH230" s="2073">
        <f t="shared" si="72"/>
        <v>1104</v>
      </c>
      <c r="AI230" s="2073"/>
      <c r="AJ230" s="2085"/>
      <c r="AK230" s="2204"/>
      <c r="AL230" s="2042"/>
      <c r="AM230" s="2042">
        <f>J230</f>
        <v>1104</v>
      </c>
      <c r="AN230" s="2204"/>
      <c r="AO230" s="2204"/>
      <c r="AP230" s="2204"/>
      <c r="AQ230" s="2204"/>
      <c r="AR230" s="2204"/>
      <c r="AS230" s="2210"/>
      <c r="AT230" s="2210"/>
      <c r="AU230" s="2210"/>
      <c r="AV230" s="2210"/>
      <c r="AW230" s="2042">
        <f>J230</f>
        <v>1104</v>
      </c>
      <c r="AX230" s="2042"/>
      <c r="AY230" s="2042"/>
      <c r="AZ230" s="2210"/>
      <c r="BA230" s="2085"/>
      <c r="BB230" s="2085"/>
      <c r="BC230" s="2085"/>
      <c r="BD230" s="2094">
        <f t="shared" si="69"/>
        <v>1104</v>
      </c>
      <c r="BE230" s="2094">
        <f t="shared" si="70"/>
        <v>0</v>
      </c>
    </row>
    <row r="231" s="1988" customFormat="1" ht="36" customHeight="1" spans="1:57">
      <c r="A231" s="2018">
        <v>45952</v>
      </c>
      <c r="B231" s="2098" t="s">
        <v>945</v>
      </c>
      <c r="C231" s="1723" t="s">
        <v>493</v>
      </c>
      <c r="D231" s="2099">
        <v>4500182611</v>
      </c>
      <c r="E231" s="2100" t="s">
        <v>1113</v>
      </c>
      <c r="F231" s="2099" t="s">
        <v>1114</v>
      </c>
      <c r="G231" s="2165" t="s">
        <v>125</v>
      </c>
      <c r="H231" s="1989" t="s">
        <v>54</v>
      </c>
      <c r="I231" s="2103" t="s">
        <v>55</v>
      </c>
      <c r="J231" s="2104">
        <v>900</v>
      </c>
      <c r="K231" s="2037">
        <v>0</v>
      </c>
      <c r="L231" s="2038">
        <v>12</v>
      </c>
      <c r="M231" s="2039">
        <f t="shared" si="66"/>
        <v>75</v>
      </c>
      <c r="N231" s="2040">
        <v>45978</v>
      </c>
      <c r="O231" s="2040">
        <v>45974</v>
      </c>
      <c r="P231" s="1364" t="s">
        <v>1024</v>
      </c>
      <c r="Q231" s="1363" t="s">
        <v>215</v>
      </c>
      <c r="R231" s="1363"/>
      <c r="S231" s="1406" t="s">
        <v>1109</v>
      </c>
      <c r="T231" s="1364"/>
      <c r="U231" s="1364" t="s">
        <v>1110</v>
      </c>
      <c r="V231" s="1365" t="s">
        <v>1028</v>
      </c>
      <c r="W231" s="2055" t="s">
        <v>1111</v>
      </c>
      <c r="X231" s="2087" t="s">
        <v>953</v>
      </c>
      <c r="Y231" s="2065">
        <v>3.8309</v>
      </c>
      <c r="Z231" s="2066">
        <f t="shared" si="67"/>
        <v>3447.81</v>
      </c>
      <c r="AA231" s="2068" t="s">
        <v>1112</v>
      </c>
      <c r="AB231" s="2107">
        <v>900</v>
      </c>
      <c r="AC231" s="2068">
        <f t="shared" si="75"/>
        <v>0</v>
      </c>
      <c r="AD231" s="2108" t="s">
        <v>81</v>
      </c>
      <c r="AE231" s="1402" t="s">
        <v>63</v>
      </c>
      <c r="AF231" s="1402" t="s">
        <v>38</v>
      </c>
      <c r="AG231" s="1363"/>
      <c r="AH231" s="2073">
        <f t="shared" si="72"/>
        <v>900</v>
      </c>
      <c r="AI231" s="2073"/>
      <c r="AJ231" s="2085"/>
      <c r="AK231" s="2204"/>
      <c r="AL231" s="2042"/>
      <c r="AM231" s="2042">
        <f>J231</f>
        <v>900</v>
      </c>
      <c r="AN231" s="2204"/>
      <c r="AO231" s="2204"/>
      <c r="AP231" s="2204"/>
      <c r="AQ231" s="2204"/>
      <c r="AR231" s="2204"/>
      <c r="AS231" s="2210"/>
      <c r="AT231" s="2210"/>
      <c r="AU231" s="2210"/>
      <c r="AV231" s="2210"/>
      <c r="AW231" s="2042">
        <f>J231</f>
        <v>900</v>
      </c>
      <c r="AX231" s="2042"/>
      <c r="AY231" s="2042"/>
      <c r="AZ231" s="2210"/>
      <c r="BA231" s="2085"/>
      <c r="BB231" s="2085"/>
      <c r="BC231" s="2085"/>
      <c r="BD231" s="2094">
        <f t="shared" si="69"/>
        <v>900</v>
      </c>
      <c r="BE231" s="2094">
        <f t="shared" si="70"/>
        <v>0</v>
      </c>
    </row>
    <row r="232" s="1988" customFormat="1" ht="36" customHeight="1" spans="1:57">
      <c r="A232" s="2018">
        <v>45922</v>
      </c>
      <c r="B232" s="2098" t="s">
        <v>1115</v>
      </c>
      <c r="C232" s="1723" t="s">
        <v>778</v>
      </c>
      <c r="D232" s="2099">
        <v>4500179875</v>
      </c>
      <c r="E232" s="2100" t="s">
        <v>1116</v>
      </c>
      <c r="F232" s="2099" t="s">
        <v>1117</v>
      </c>
      <c r="G232" s="1989" t="s">
        <v>1047</v>
      </c>
      <c r="H232" s="1989" t="s">
        <v>66</v>
      </c>
      <c r="I232" s="2128" t="s">
        <v>67</v>
      </c>
      <c r="J232" s="2104">
        <v>504</v>
      </c>
      <c r="K232" s="2037">
        <v>0</v>
      </c>
      <c r="L232" s="2038">
        <v>12</v>
      </c>
      <c r="M232" s="2039">
        <f t="shared" ref="M222:M259" si="76">J232/L232</f>
        <v>42</v>
      </c>
      <c r="N232" s="2040">
        <v>45989</v>
      </c>
      <c r="O232" s="2040">
        <v>45985</v>
      </c>
      <c r="P232" s="1364" t="s">
        <v>1034</v>
      </c>
      <c r="Q232" s="1363" t="s">
        <v>215</v>
      </c>
      <c r="R232" s="1363"/>
      <c r="S232" s="1406" t="s">
        <v>1118</v>
      </c>
      <c r="T232" s="1364"/>
      <c r="U232" s="1364" t="s">
        <v>1119</v>
      </c>
      <c r="V232" s="1365" t="s">
        <v>1048</v>
      </c>
      <c r="W232" s="2055" t="s">
        <v>1120</v>
      </c>
      <c r="X232" s="2087" t="s">
        <v>1040</v>
      </c>
      <c r="Y232" s="2065">
        <v>3.8518</v>
      </c>
      <c r="Z232" s="2066">
        <f t="shared" ref="Z222:Z259" si="77">Y232*J232</f>
        <v>1941.3072</v>
      </c>
      <c r="AA232" s="2068"/>
      <c r="AB232" s="2107">
        <v>504</v>
      </c>
      <c r="AC232" s="2068">
        <f t="shared" si="75"/>
        <v>0</v>
      </c>
      <c r="AD232" s="2108" t="s">
        <v>327</v>
      </c>
      <c r="AE232" s="1402" t="s">
        <v>63</v>
      </c>
      <c r="AF232" s="1402" t="s">
        <v>38</v>
      </c>
      <c r="AG232" s="1363"/>
      <c r="AH232" s="2073"/>
      <c r="AI232" s="2073"/>
      <c r="AJ232" s="2085">
        <f>J232</f>
        <v>504</v>
      </c>
      <c r="AK232" s="2042"/>
      <c r="AL232" s="2042"/>
      <c r="AM232" s="2042">
        <f>J232</f>
        <v>504</v>
      </c>
      <c r="AN232" s="2042"/>
      <c r="AO232" s="2042"/>
      <c r="AP232" s="2042"/>
      <c r="AQ232" s="2042"/>
      <c r="AR232" s="2042"/>
      <c r="AS232" s="2211"/>
      <c r="AT232" s="2211"/>
      <c r="AU232" s="2211"/>
      <c r="AV232" s="2211"/>
      <c r="AW232" s="2042"/>
      <c r="AX232" s="2042"/>
      <c r="AY232" s="2042">
        <f>J232</f>
        <v>504</v>
      </c>
      <c r="AZ232" s="2211"/>
      <c r="BA232" s="2085"/>
      <c r="BB232" s="2085"/>
      <c r="BC232" s="2085"/>
      <c r="BD232" s="2094">
        <f t="shared" ref="BD224:BD276" si="78">SUM(AH232:AJ232)</f>
        <v>504</v>
      </c>
      <c r="BE232" s="2094">
        <f t="shared" ref="BE224:BE276" si="79">BD232-J232</f>
        <v>0</v>
      </c>
    </row>
    <row r="233" s="1988" customFormat="1" ht="36" customHeight="1" spans="1:57">
      <c r="A233" s="2018">
        <v>45952</v>
      </c>
      <c r="B233" s="2098" t="s">
        <v>856</v>
      </c>
      <c r="C233" s="1723" t="s">
        <v>178</v>
      </c>
      <c r="D233" s="2099">
        <v>4500182610</v>
      </c>
      <c r="E233" s="2100" t="s">
        <v>1121</v>
      </c>
      <c r="F233" s="2099" t="s">
        <v>1122</v>
      </c>
      <c r="G233" s="1723" t="s">
        <v>125</v>
      </c>
      <c r="H233" s="1989" t="s">
        <v>54</v>
      </c>
      <c r="I233" s="2103" t="s">
        <v>55</v>
      </c>
      <c r="J233" s="2104">
        <v>1008</v>
      </c>
      <c r="K233" s="2037">
        <v>0</v>
      </c>
      <c r="L233" s="2038">
        <v>12</v>
      </c>
      <c r="M233" s="2039">
        <f t="shared" si="76"/>
        <v>84</v>
      </c>
      <c r="N233" s="2040">
        <v>45992</v>
      </c>
      <c r="O233" s="2040">
        <f>N233-4</f>
        <v>45988</v>
      </c>
      <c r="P233" s="1364" t="s">
        <v>1024</v>
      </c>
      <c r="Q233" s="1363" t="s">
        <v>215</v>
      </c>
      <c r="R233" s="1363" t="s">
        <v>1070</v>
      </c>
      <c r="S233" s="1406" t="s">
        <v>1109</v>
      </c>
      <c r="T233" s="1364"/>
      <c r="U233" s="1364" t="s">
        <v>1123</v>
      </c>
      <c r="V233" s="1365" t="s">
        <v>1028</v>
      </c>
      <c r="W233" s="2055" t="s">
        <v>1029</v>
      </c>
      <c r="X233" s="2087" t="s">
        <v>953</v>
      </c>
      <c r="Y233" s="2065">
        <v>3.4758</v>
      </c>
      <c r="Z233" s="2066">
        <f t="shared" si="77"/>
        <v>3503.6064</v>
      </c>
      <c r="AA233" s="2068" t="s">
        <v>1124</v>
      </c>
      <c r="AB233" s="2107">
        <v>1008</v>
      </c>
      <c r="AC233" s="2068">
        <f t="shared" ref="AC233:AC259" si="80">AB233-J233</f>
        <v>0</v>
      </c>
      <c r="AD233" s="2108" t="s">
        <v>81</v>
      </c>
      <c r="AE233" s="1402" t="s">
        <v>63</v>
      </c>
      <c r="AF233" s="1402" t="s">
        <v>38</v>
      </c>
      <c r="AG233" s="1363"/>
      <c r="AH233" s="2073">
        <f>J233</f>
        <v>1008</v>
      </c>
      <c r="AI233" s="2073"/>
      <c r="AJ233" s="2085"/>
      <c r="AK233" s="2042"/>
      <c r="AL233" s="2042"/>
      <c r="AM233" s="2042">
        <f>J233</f>
        <v>1008</v>
      </c>
      <c r="AN233" s="2042"/>
      <c r="AO233" s="2042"/>
      <c r="AP233" s="2042"/>
      <c r="AQ233" s="2042"/>
      <c r="AR233" s="2042"/>
      <c r="AS233" s="2211"/>
      <c r="AT233" s="2211"/>
      <c r="AU233" s="2211"/>
      <c r="AV233" s="2211"/>
      <c r="AW233" s="2042">
        <f>J233</f>
        <v>1008</v>
      </c>
      <c r="AX233" s="2042"/>
      <c r="AY233" s="2042"/>
      <c r="AZ233" s="2211"/>
      <c r="BA233" s="2085"/>
      <c r="BB233" s="2085"/>
      <c r="BC233" s="2085"/>
      <c r="BD233" s="2094">
        <f t="shared" si="78"/>
        <v>1008</v>
      </c>
      <c r="BE233" s="2094">
        <f t="shared" si="79"/>
        <v>0</v>
      </c>
    </row>
    <row r="234" s="1990" customFormat="1" ht="36" customHeight="1" spans="1:57">
      <c r="A234" s="2166">
        <v>45957</v>
      </c>
      <c r="B234" s="2167" t="s">
        <v>1125</v>
      </c>
      <c r="C234" s="2168" t="s">
        <v>398</v>
      </c>
      <c r="D234" s="2169">
        <v>4500183043</v>
      </c>
      <c r="E234" s="2170" t="s">
        <v>1126</v>
      </c>
      <c r="F234" s="2171" t="s">
        <v>1127</v>
      </c>
      <c r="G234" s="2168" t="s">
        <v>125</v>
      </c>
      <c r="H234" s="2172" t="s">
        <v>54</v>
      </c>
      <c r="I234" s="2182" t="s">
        <v>55</v>
      </c>
      <c r="J234" s="2183">
        <v>804</v>
      </c>
      <c r="K234" s="2184">
        <v>0</v>
      </c>
      <c r="L234" s="2185">
        <v>12</v>
      </c>
      <c r="M234" s="2186">
        <f t="shared" si="76"/>
        <v>67</v>
      </c>
      <c r="N234" s="2187">
        <v>45994</v>
      </c>
      <c r="O234" s="2187">
        <v>45990</v>
      </c>
      <c r="P234" s="1467" t="s">
        <v>1128</v>
      </c>
      <c r="Q234" s="2197" t="s">
        <v>215</v>
      </c>
      <c r="R234" s="2197"/>
      <c r="S234" s="1472" t="s">
        <v>1129</v>
      </c>
      <c r="T234" s="1467"/>
      <c r="U234" s="1467" t="s">
        <v>1130</v>
      </c>
      <c r="V234" s="2198" t="s">
        <v>1131</v>
      </c>
      <c r="W234" s="2199" t="s">
        <v>1132</v>
      </c>
      <c r="X234" s="2111" t="s">
        <v>517</v>
      </c>
      <c r="Y234" s="2200">
        <v>3.4758</v>
      </c>
      <c r="Z234" s="2201">
        <f t="shared" si="77"/>
        <v>2794.5432</v>
      </c>
      <c r="AA234" s="2202" t="s">
        <v>1133</v>
      </c>
      <c r="AB234" s="2203">
        <v>804</v>
      </c>
      <c r="AC234" s="2202">
        <f t="shared" si="80"/>
        <v>0</v>
      </c>
      <c r="AD234" s="1878" t="s">
        <v>81</v>
      </c>
      <c r="AE234" s="1468" t="s">
        <v>63</v>
      </c>
      <c r="AF234" s="1468" t="s">
        <v>38</v>
      </c>
      <c r="AG234" s="2197"/>
      <c r="AH234" s="2208">
        <f>J234</f>
        <v>804</v>
      </c>
      <c r="AI234" s="2208"/>
      <c r="AJ234" s="2209"/>
      <c r="AK234" s="2086"/>
      <c r="AL234" s="2110"/>
      <c r="AM234" s="2110">
        <f>J235</f>
        <v>204</v>
      </c>
      <c r="AN234" s="2086"/>
      <c r="AO234" s="2086"/>
      <c r="AP234" s="2086"/>
      <c r="AQ234" s="2086"/>
      <c r="AR234" s="2086"/>
      <c r="AS234" s="2162"/>
      <c r="AT234" s="2162"/>
      <c r="AU234" s="2162"/>
      <c r="AV234" s="2162"/>
      <c r="AW234" s="2110"/>
      <c r="AX234" s="2110"/>
      <c r="AY234" s="2110"/>
      <c r="AZ234" s="2162"/>
      <c r="BA234" s="2209">
        <f>J234</f>
        <v>804</v>
      </c>
      <c r="BB234" s="2209"/>
      <c r="BC234" s="2209"/>
      <c r="BD234" s="2160">
        <f t="shared" si="78"/>
        <v>804</v>
      </c>
      <c r="BE234" s="2160">
        <f t="shared" si="79"/>
        <v>0</v>
      </c>
    </row>
    <row r="235" s="1990" customFormat="1" ht="36" customHeight="1" spans="1:57">
      <c r="A235" s="2166">
        <v>45957</v>
      </c>
      <c r="B235" s="2167" t="s">
        <v>1125</v>
      </c>
      <c r="C235" s="2168" t="s">
        <v>398</v>
      </c>
      <c r="D235" s="2169">
        <v>4500183043</v>
      </c>
      <c r="E235" s="2170" t="s">
        <v>1126</v>
      </c>
      <c r="F235" s="2171" t="s">
        <v>1134</v>
      </c>
      <c r="G235" s="2168" t="s">
        <v>125</v>
      </c>
      <c r="H235" s="2172" t="s">
        <v>54</v>
      </c>
      <c r="I235" s="2182" t="s">
        <v>55</v>
      </c>
      <c r="J235" s="2183">
        <v>204</v>
      </c>
      <c r="K235" s="2184">
        <v>0</v>
      </c>
      <c r="L235" s="2185">
        <v>12</v>
      </c>
      <c r="M235" s="2186">
        <f t="shared" si="76"/>
        <v>17</v>
      </c>
      <c r="N235" s="2187">
        <v>45994</v>
      </c>
      <c r="O235" s="2187">
        <v>45990</v>
      </c>
      <c r="P235" s="1467" t="s">
        <v>1128</v>
      </c>
      <c r="Q235" s="2197" t="s">
        <v>215</v>
      </c>
      <c r="R235" s="2197"/>
      <c r="S235" s="1472" t="s">
        <v>1129</v>
      </c>
      <c r="T235" s="1467"/>
      <c r="U235" s="1467" t="s">
        <v>1130</v>
      </c>
      <c r="V235" s="2198" t="s">
        <v>1131</v>
      </c>
      <c r="W235" s="2199" t="s">
        <v>1132</v>
      </c>
      <c r="X235" s="2111" t="s">
        <v>517</v>
      </c>
      <c r="Y235" s="2200">
        <v>3.4758</v>
      </c>
      <c r="Z235" s="2201">
        <f t="shared" si="77"/>
        <v>709.0632</v>
      </c>
      <c r="AA235" s="2202" t="s">
        <v>1133</v>
      </c>
      <c r="AB235" s="2203">
        <v>204</v>
      </c>
      <c r="AC235" s="2202">
        <f t="shared" si="80"/>
        <v>0</v>
      </c>
      <c r="AD235" s="1878" t="s">
        <v>81</v>
      </c>
      <c r="AE235" s="1468" t="s">
        <v>63</v>
      </c>
      <c r="AF235" s="1468" t="s">
        <v>38</v>
      </c>
      <c r="AG235" s="2197"/>
      <c r="AH235" s="2208">
        <f>J235</f>
        <v>204</v>
      </c>
      <c r="AI235" s="2208"/>
      <c r="AJ235" s="2209"/>
      <c r="AK235" s="2086"/>
      <c r="AL235" s="2110"/>
      <c r="AM235" s="2110">
        <f>J236</f>
        <v>804</v>
      </c>
      <c r="AN235" s="2086"/>
      <c r="AO235" s="2086"/>
      <c r="AP235" s="2086"/>
      <c r="AQ235" s="2086"/>
      <c r="AR235" s="2086"/>
      <c r="AS235" s="2162"/>
      <c r="AT235" s="2162"/>
      <c r="AU235" s="2162"/>
      <c r="AV235" s="2162"/>
      <c r="AW235" s="2110"/>
      <c r="AX235" s="2110"/>
      <c r="AY235" s="2110"/>
      <c r="AZ235" s="2162"/>
      <c r="BA235" s="2209">
        <f>J235</f>
        <v>204</v>
      </c>
      <c r="BB235" s="2209"/>
      <c r="BC235" s="2209"/>
      <c r="BD235" s="2160">
        <f t="shared" si="78"/>
        <v>204</v>
      </c>
      <c r="BE235" s="2160">
        <f t="shared" si="79"/>
        <v>0</v>
      </c>
    </row>
    <row r="236" s="1990" customFormat="1" ht="36" customHeight="1" spans="1:57">
      <c r="A236" s="2166">
        <v>45957</v>
      </c>
      <c r="B236" s="2167" t="s">
        <v>1125</v>
      </c>
      <c r="C236" s="2168" t="s">
        <v>398</v>
      </c>
      <c r="D236" s="2169">
        <v>4500183043</v>
      </c>
      <c r="E236" s="2170" t="s">
        <v>1126</v>
      </c>
      <c r="F236" s="2171" t="s">
        <v>1135</v>
      </c>
      <c r="G236" s="2173" t="s">
        <v>180</v>
      </c>
      <c r="H236" s="2172" t="s">
        <v>66</v>
      </c>
      <c r="I236" s="2188" t="s">
        <v>67</v>
      </c>
      <c r="J236" s="2183">
        <v>804</v>
      </c>
      <c r="K236" s="2184">
        <v>0</v>
      </c>
      <c r="L236" s="2185">
        <v>12</v>
      </c>
      <c r="M236" s="2186">
        <f t="shared" si="76"/>
        <v>67</v>
      </c>
      <c r="N236" s="2187">
        <v>45994</v>
      </c>
      <c r="O236" s="2187">
        <v>45990</v>
      </c>
      <c r="P236" s="1467" t="s">
        <v>1136</v>
      </c>
      <c r="Q236" s="2197" t="s">
        <v>215</v>
      </c>
      <c r="R236" s="2197"/>
      <c r="S236" s="1472" t="s">
        <v>1129</v>
      </c>
      <c r="T236" s="1467"/>
      <c r="U236" s="1467" t="s">
        <v>1130</v>
      </c>
      <c r="V236" s="2198" t="s">
        <v>1137</v>
      </c>
      <c r="W236" s="2199" t="s">
        <v>1138</v>
      </c>
      <c r="X236" s="2111" t="s">
        <v>517</v>
      </c>
      <c r="Y236" s="2200">
        <v>3.6399</v>
      </c>
      <c r="Z236" s="2201">
        <f t="shared" si="77"/>
        <v>2926.4796</v>
      </c>
      <c r="AA236" s="2202" t="s">
        <v>1133</v>
      </c>
      <c r="AB236" s="2203">
        <v>804</v>
      </c>
      <c r="AC236" s="2202">
        <f t="shared" si="80"/>
        <v>0</v>
      </c>
      <c r="AD236" s="1878" t="s">
        <v>81</v>
      </c>
      <c r="AE236" s="1468" t="s">
        <v>63</v>
      </c>
      <c r="AF236" s="1468" t="s">
        <v>38</v>
      </c>
      <c r="AG236" s="2197"/>
      <c r="AH236" s="2208"/>
      <c r="AI236" s="2208"/>
      <c r="AJ236" s="2209">
        <f>J236</f>
        <v>804</v>
      </c>
      <c r="AK236" s="2086"/>
      <c r="AL236" s="2110"/>
      <c r="AM236" s="2110">
        <f>J237</f>
        <v>204</v>
      </c>
      <c r="AN236" s="2086"/>
      <c r="AO236" s="2086"/>
      <c r="AP236" s="2086"/>
      <c r="AQ236" s="2086"/>
      <c r="AR236" s="2086"/>
      <c r="AS236" s="2162"/>
      <c r="AT236" s="2162"/>
      <c r="AU236" s="2162"/>
      <c r="AV236" s="2162"/>
      <c r="AW236" s="2110"/>
      <c r="AX236" s="2110"/>
      <c r="AY236" s="2110"/>
      <c r="AZ236" s="2162"/>
      <c r="BA236" s="2209"/>
      <c r="BB236" s="2209"/>
      <c r="BC236" s="2209">
        <f>J236</f>
        <v>804</v>
      </c>
      <c r="BD236" s="2160">
        <f t="shared" si="78"/>
        <v>804</v>
      </c>
      <c r="BE236" s="2160">
        <f t="shared" si="79"/>
        <v>0</v>
      </c>
    </row>
    <row r="237" s="1990" customFormat="1" ht="36" customHeight="1" spans="1:57">
      <c r="A237" s="2166">
        <v>45957</v>
      </c>
      <c r="B237" s="2167" t="s">
        <v>1125</v>
      </c>
      <c r="C237" s="2168" t="s">
        <v>398</v>
      </c>
      <c r="D237" s="2169">
        <v>4500183043</v>
      </c>
      <c r="E237" s="2170" t="s">
        <v>1126</v>
      </c>
      <c r="F237" s="2171" t="s">
        <v>1139</v>
      </c>
      <c r="G237" s="2173" t="s">
        <v>180</v>
      </c>
      <c r="H237" s="2172" t="s">
        <v>66</v>
      </c>
      <c r="I237" s="2188" t="s">
        <v>67</v>
      </c>
      <c r="J237" s="2183">
        <v>204</v>
      </c>
      <c r="K237" s="2184">
        <v>0</v>
      </c>
      <c r="L237" s="2185">
        <v>12</v>
      </c>
      <c r="M237" s="2186">
        <f t="shared" si="76"/>
        <v>17</v>
      </c>
      <c r="N237" s="2187">
        <v>45994</v>
      </c>
      <c r="O237" s="2187">
        <v>45990</v>
      </c>
      <c r="P237" s="1467" t="s">
        <v>1136</v>
      </c>
      <c r="Q237" s="2197" t="s">
        <v>215</v>
      </c>
      <c r="R237" s="2197"/>
      <c r="S237" s="1472" t="s">
        <v>1129</v>
      </c>
      <c r="T237" s="1467"/>
      <c r="U237" s="1467" t="s">
        <v>1130</v>
      </c>
      <c r="V237" s="2198" t="s">
        <v>1137</v>
      </c>
      <c r="W237" s="2199" t="s">
        <v>1138</v>
      </c>
      <c r="X237" s="2111" t="s">
        <v>517</v>
      </c>
      <c r="Y237" s="2200">
        <v>3.2336</v>
      </c>
      <c r="Z237" s="2201">
        <f t="shared" si="77"/>
        <v>659.6544</v>
      </c>
      <c r="AA237" s="1990" t="s">
        <v>1140</v>
      </c>
      <c r="AB237" s="2203">
        <v>204</v>
      </c>
      <c r="AC237" s="2202">
        <f t="shared" si="80"/>
        <v>0</v>
      </c>
      <c r="AD237" s="1878" t="s">
        <v>81</v>
      </c>
      <c r="AE237" s="1468" t="s">
        <v>63</v>
      </c>
      <c r="AF237" s="1468" t="s">
        <v>38</v>
      </c>
      <c r="AG237" s="2197"/>
      <c r="AH237" s="2208"/>
      <c r="AI237" s="2208"/>
      <c r="AJ237" s="2209">
        <f>J237</f>
        <v>204</v>
      </c>
      <c r="AK237" s="2086"/>
      <c r="AL237" s="2110"/>
      <c r="AM237" s="2110">
        <f>J238</f>
        <v>144</v>
      </c>
      <c r="AN237" s="2086"/>
      <c r="AO237" s="2086"/>
      <c r="AP237" s="2086"/>
      <c r="AQ237" s="2086"/>
      <c r="AR237" s="2086"/>
      <c r="AS237" s="2162"/>
      <c r="AT237" s="2162"/>
      <c r="AU237" s="2162"/>
      <c r="AV237" s="2162"/>
      <c r="AW237" s="2110"/>
      <c r="AX237" s="2110"/>
      <c r="AY237" s="2110"/>
      <c r="AZ237" s="2162"/>
      <c r="BA237" s="2209"/>
      <c r="BB237" s="2209"/>
      <c r="BC237" s="2209">
        <f>J237</f>
        <v>204</v>
      </c>
      <c r="BD237" s="2160">
        <f t="shared" si="78"/>
        <v>204</v>
      </c>
      <c r="BE237" s="2160">
        <f t="shared" si="79"/>
        <v>0</v>
      </c>
    </row>
    <row r="238" s="1990" customFormat="1" ht="36" customHeight="1" spans="1:57">
      <c r="A238" s="2166">
        <v>45957</v>
      </c>
      <c r="B238" s="2174" t="s">
        <v>510</v>
      </c>
      <c r="C238" s="2175" t="s">
        <v>398</v>
      </c>
      <c r="D238" s="2176">
        <v>4500183001</v>
      </c>
      <c r="E238" s="2177" t="s">
        <v>1141</v>
      </c>
      <c r="F238" s="2178" t="s">
        <v>1142</v>
      </c>
      <c r="G238" s="2168" t="s">
        <v>125</v>
      </c>
      <c r="H238" s="2179" t="s">
        <v>54</v>
      </c>
      <c r="I238" s="2189" t="s">
        <v>55</v>
      </c>
      <c r="J238" s="2190">
        <v>144</v>
      </c>
      <c r="K238" s="2191">
        <v>0</v>
      </c>
      <c r="L238" s="2192">
        <v>12</v>
      </c>
      <c r="M238" s="2193">
        <f t="shared" si="76"/>
        <v>12</v>
      </c>
      <c r="N238" s="2194">
        <v>45994</v>
      </c>
      <c r="O238" s="2194">
        <v>45990</v>
      </c>
      <c r="P238" s="1467" t="s">
        <v>1136</v>
      </c>
      <c r="Q238" s="2197" t="s">
        <v>215</v>
      </c>
      <c r="R238" s="2197" t="s">
        <v>1143</v>
      </c>
      <c r="S238" s="1472" t="s">
        <v>1129</v>
      </c>
      <c r="T238" s="1467"/>
      <c r="U238" s="1467" t="s">
        <v>1130</v>
      </c>
      <c r="V238" s="2198" t="s">
        <v>1131</v>
      </c>
      <c r="W238" s="2199" t="s">
        <v>1144</v>
      </c>
      <c r="X238" s="2111" t="s">
        <v>517</v>
      </c>
      <c r="Y238" s="2200">
        <v>3.7451</v>
      </c>
      <c r="Z238" s="2201">
        <f t="shared" si="77"/>
        <v>539.2944</v>
      </c>
      <c r="AA238" s="2202" t="s">
        <v>1145</v>
      </c>
      <c r="AB238" s="2203">
        <v>144</v>
      </c>
      <c r="AC238" s="2202">
        <f t="shared" si="80"/>
        <v>0</v>
      </c>
      <c r="AD238" s="1878" t="s">
        <v>327</v>
      </c>
      <c r="AE238" s="1468" t="s">
        <v>63</v>
      </c>
      <c r="AF238" s="1468" t="s">
        <v>38</v>
      </c>
      <c r="AG238" s="2197"/>
      <c r="AH238" s="2208">
        <f>J238</f>
        <v>144</v>
      </c>
      <c r="AI238" s="2208"/>
      <c r="AJ238" s="2209"/>
      <c r="AK238" s="2086"/>
      <c r="AL238" s="2110"/>
      <c r="AM238" s="2110">
        <f>J239</f>
        <v>144</v>
      </c>
      <c r="AN238" s="2086"/>
      <c r="AO238" s="2086"/>
      <c r="AP238" s="2086"/>
      <c r="AQ238" s="2086"/>
      <c r="AR238" s="2086"/>
      <c r="AS238" s="2162"/>
      <c r="AT238" s="2162"/>
      <c r="AU238" s="2162"/>
      <c r="AV238" s="2162"/>
      <c r="AW238" s="2110"/>
      <c r="AX238" s="2110"/>
      <c r="AY238" s="2110"/>
      <c r="AZ238" s="2162"/>
      <c r="BA238" s="2209">
        <f>J238</f>
        <v>144</v>
      </c>
      <c r="BB238" s="2209"/>
      <c r="BC238" s="2209"/>
      <c r="BD238" s="2160">
        <f t="shared" si="78"/>
        <v>144</v>
      </c>
      <c r="BE238" s="2160">
        <f t="shared" si="79"/>
        <v>0</v>
      </c>
    </row>
    <row r="239" s="1990" customFormat="1" ht="36" customHeight="1" spans="1:57">
      <c r="A239" s="2166">
        <v>45957</v>
      </c>
      <c r="B239" s="2174" t="s">
        <v>510</v>
      </c>
      <c r="C239" s="2175" t="s">
        <v>398</v>
      </c>
      <c r="D239" s="2176">
        <v>4500183001</v>
      </c>
      <c r="E239" s="2177" t="s">
        <v>1141</v>
      </c>
      <c r="F239" s="2178" t="s">
        <v>1146</v>
      </c>
      <c r="G239" s="2173" t="s">
        <v>180</v>
      </c>
      <c r="H239" s="2179" t="s">
        <v>66</v>
      </c>
      <c r="I239" s="2195" t="s">
        <v>67</v>
      </c>
      <c r="J239" s="2190">
        <v>144</v>
      </c>
      <c r="K239" s="2191">
        <v>0</v>
      </c>
      <c r="L239" s="2192">
        <v>12</v>
      </c>
      <c r="M239" s="2193">
        <f t="shared" si="76"/>
        <v>12</v>
      </c>
      <c r="N239" s="2194">
        <v>45994</v>
      </c>
      <c r="O239" s="2194">
        <v>45990</v>
      </c>
      <c r="P239" s="1467" t="s">
        <v>1136</v>
      </c>
      <c r="Q239" s="2197" t="s">
        <v>215</v>
      </c>
      <c r="R239" s="2197" t="s">
        <v>1143</v>
      </c>
      <c r="S239" s="1472" t="s">
        <v>1129</v>
      </c>
      <c r="T239" s="1467"/>
      <c r="U239" s="1467" t="s">
        <v>1147</v>
      </c>
      <c r="V239" s="2198" t="s">
        <v>1137</v>
      </c>
      <c r="W239" s="2199" t="s">
        <v>1148</v>
      </c>
      <c r="X239" s="2111" t="s">
        <v>517</v>
      </c>
      <c r="Y239" s="2200">
        <v>3.6399</v>
      </c>
      <c r="Z239" s="2201">
        <f t="shared" si="77"/>
        <v>524.1456</v>
      </c>
      <c r="AA239" s="2202" t="s">
        <v>1145</v>
      </c>
      <c r="AB239" s="2203">
        <v>144</v>
      </c>
      <c r="AC239" s="2202">
        <f t="shared" si="80"/>
        <v>0</v>
      </c>
      <c r="AD239" s="1878" t="s">
        <v>327</v>
      </c>
      <c r="AE239" s="1468" t="s">
        <v>63</v>
      </c>
      <c r="AF239" s="1468" t="s">
        <v>38</v>
      </c>
      <c r="AG239" s="2197"/>
      <c r="AH239" s="2208"/>
      <c r="AI239" s="2208"/>
      <c r="AJ239" s="2209">
        <f>J239</f>
        <v>144</v>
      </c>
      <c r="AK239" s="2086"/>
      <c r="AL239" s="2110"/>
      <c r="AM239" s="2110">
        <f>J244</f>
        <v>1290</v>
      </c>
      <c r="AN239" s="2086"/>
      <c r="AO239" s="2086"/>
      <c r="AP239" s="2086"/>
      <c r="AQ239" s="2086"/>
      <c r="AR239" s="2086"/>
      <c r="AS239" s="2162"/>
      <c r="AT239" s="2162"/>
      <c r="AU239" s="2162"/>
      <c r="AV239" s="2162"/>
      <c r="AW239" s="2110"/>
      <c r="AX239" s="2110"/>
      <c r="AY239" s="2110"/>
      <c r="AZ239" s="2162"/>
      <c r="BA239" s="2209"/>
      <c r="BB239" s="2209"/>
      <c r="BC239" s="2209">
        <f>J239</f>
        <v>144</v>
      </c>
      <c r="BD239" s="2160">
        <f t="shared" si="78"/>
        <v>144</v>
      </c>
      <c r="BE239" s="2160">
        <f t="shared" si="79"/>
        <v>0</v>
      </c>
    </row>
    <row r="240" s="1990" customFormat="1" ht="36" customHeight="1" spans="1:57">
      <c r="A240" s="2166">
        <v>45964</v>
      </c>
      <c r="B240" s="2167" t="s">
        <v>230</v>
      </c>
      <c r="C240" s="2168" t="s">
        <v>91</v>
      </c>
      <c r="D240" s="2169">
        <v>4500184172</v>
      </c>
      <c r="E240" s="2170">
        <v>60262503</v>
      </c>
      <c r="F240" s="2169" t="s">
        <v>1149</v>
      </c>
      <c r="G240" s="2172" t="s">
        <v>54</v>
      </c>
      <c r="H240" s="2172" t="s">
        <v>54</v>
      </c>
      <c r="I240" s="2182" t="s">
        <v>55</v>
      </c>
      <c r="J240" s="2183">
        <v>2808</v>
      </c>
      <c r="K240" s="2184">
        <v>0</v>
      </c>
      <c r="L240" s="2185">
        <v>12</v>
      </c>
      <c r="M240" s="2186">
        <f t="shared" si="76"/>
        <v>234</v>
      </c>
      <c r="N240" s="2187">
        <v>45995</v>
      </c>
      <c r="O240" s="2187">
        <v>45990</v>
      </c>
      <c r="P240" s="1467"/>
      <c r="Q240" s="2197" t="s">
        <v>56</v>
      </c>
      <c r="R240" s="2197" t="s">
        <v>1076</v>
      </c>
      <c r="S240" s="1472" t="s">
        <v>1129</v>
      </c>
      <c r="T240" s="1467"/>
      <c r="U240" s="1467" t="s">
        <v>1150</v>
      </c>
      <c r="V240" s="2198" t="s">
        <v>235</v>
      </c>
      <c r="W240" s="2199" t="s">
        <v>816</v>
      </c>
      <c r="X240" s="2111" t="s">
        <v>1151</v>
      </c>
      <c r="Y240" s="2200">
        <v>1.9819</v>
      </c>
      <c r="Z240" s="2201">
        <f t="shared" si="77"/>
        <v>5565.1752</v>
      </c>
      <c r="AA240" s="2202"/>
      <c r="AB240" s="2203">
        <v>2808</v>
      </c>
      <c r="AC240" s="2202">
        <f t="shared" si="80"/>
        <v>0</v>
      </c>
      <c r="AD240" s="1878" t="s">
        <v>81</v>
      </c>
      <c r="AE240" s="1468" t="s">
        <v>63</v>
      </c>
      <c r="AF240" s="1468" t="s">
        <v>38</v>
      </c>
      <c r="AG240" s="2197"/>
      <c r="AH240" s="2208">
        <f t="shared" ref="AH240:AH248" si="81">J240</f>
        <v>2808</v>
      </c>
      <c r="AI240" s="2208"/>
      <c r="AJ240" s="2209"/>
      <c r="AK240" s="2206"/>
      <c r="AL240" s="2110">
        <f t="shared" ref="AL240:AL258" si="82">J240</f>
        <v>2808</v>
      </c>
      <c r="AM240" s="2110"/>
      <c r="AN240" s="2206"/>
      <c r="AO240" s="2206"/>
      <c r="AP240" s="2206"/>
      <c r="AQ240" s="2206"/>
      <c r="AR240" s="2206"/>
      <c r="AS240" s="2213"/>
      <c r="AT240" s="2213"/>
      <c r="AU240" s="2213"/>
      <c r="AV240" s="2213"/>
      <c r="AW240" s="2208">
        <f>J240</f>
        <v>2808</v>
      </c>
      <c r="AX240" s="2110"/>
      <c r="AY240" s="2110"/>
      <c r="AZ240" s="2213"/>
      <c r="BA240" s="2209"/>
      <c r="BB240" s="2209"/>
      <c r="BC240" s="2209"/>
      <c r="BD240" s="2160">
        <f t="shared" si="78"/>
        <v>2808</v>
      </c>
      <c r="BE240" s="2160">
        <f t="shared" si="79"/>
        <v>0</v>
      </c>
    </row>
    <row r="241" s="1990" customFormat="1" ht="36" customHeight="1" spans="1:57">
      <c r="A241" s="2166">
        <v>45964</v>
      </c>
      <c r="B241" s="2167" t="s">
        <v>230</v>
      </c>
      <c r="C241" s="2168" t="s">
        <v>91</v>
      </c>
      <c r="D241" s="2169">
        <v>4500184172</v>
      </c>
      <c r="E241" s="2170">
        <v>60262578</v>
      </c>
      <c r="F241" s="2169" t="s">
        <v>1152</v>
      </c>
      <c r="G241" s="2172" t="s">
        <v>54</v>
      </c>
      <c r="H241" s="2172" t="s">
        <v>54</v>
      </c>
      <c r="I241" s="2182" t="s">
        <v>55</v>
      </c>
      <c r="J241" s="2183">
        <v>3408</v>
      </c>
      <c r="K241" s="2184">
        <v>0</v>
      </c>
      <c r="L241" s="2185">
        <v>12</v>
      </c>
      <c r="M241" s="2186">
        <f t="shared" si="76"/>
        <v>284</v>
      </c>
      <c r="N241" s="2187">
        <v>45995</v>
      </c>
      <c r="O241" s="2187">
        <v>45990</v>
      </c>
      <c r="P241" s="1467"/>
      <c r="Q241" s="2197" t="s">
        <v>56</v>
      </c>
      <c r="R241" s="2197" t="s">
        <v>1076</v>
      </c>
      <c r="S241" s="1472" t="s">
        <v>1129</v>
      </c>
      <c r="T241" s="1467"/>
      <c r="U241" s="1467" t="s">
        <v>1150</v>
      </c>
      <c r="V241" s="2198" t="s">
        <v>235</v>
      </c>
      <c r="W241" s="2199" t="s">
        <v>816</v>
      </c>
      <c r="X241" s="2111" t="s">
        <v>1151</v>
      </c>
      <c r="Y241" s="2200">
        <v>1.9162</v>
      </c>
      <c r="Z241" s="2201">
        <f t="shared" si="77"/>
        <v>6530.4096</v>
      </c>
      <c r="AA241" s="2202"/>
      <c r="AB241" s="2203">
        <v>3408</v>
      </c>
      <c r="AC241" s="2202">
        <f t="shared" si="80"/>
        <v>0</v>
      </c>
      <c r="AD241" s="1878" t="s">
        <v>81</v>
      </c>
      <c r="AE241" s="1468" t="s">
        <v>63</v>
      </c>
      <c r="AF241" s="1468" t="s">
        <v>38</v>
      </c>
      <c r="AG241" s="2197"/>
      <c r="AH241" s="2208">
        <f t="shared" si="81"/>
        <v>3408</v>
      </c>
      <c r="AI241" s="2208"/>
      <c r="AJ241" s="2209"/>
      <c r="AK241" s="2206"/>
      <c r="AL241" s="2110">
        <f t="shared" si="82"/>
        <v>3408</v>
      </c>
      <c r="AM241" s="2110"/>
      <c r="AN241" s="2206"/>
      <c r="AO241" s="2206"/>
      <c r="AP241" s="2206"/>
      <c r="AQ241" s="2206"/>
      <c r="AR241" s="2206"/>
      <c r="AS241" s="2213"/>
      <c r="AT241" s="2213"/>
      <c r="AU241" s="2213"/>
      <c r="AV241" s="2213"/>
      <c r="AW241" s="2208">
        <f>J241</f>
        <v>3408</v>
      </c>
      <c r="AX241" s="2110"/>
      <c r="AY241" s="2110"/>
      <c r="AZ241" s="2213"/>
      <c r="BA241" s="2209"/>
      <c r="BB241" s="2209"/>
      <c r="BC241" s="2209"/>
      <c r="BD241" s="2160">
        <f t="shared" si="78"/>
        <v>3408</v>
      </c>
      <c r="BE241" s="2160">
        <f t="shared" si="79"/>
        <v>0</v>
      </c>
    </row>
    <row r="242" s="1990" customFormat="1" ht="36" customHeight="1" spans="1:57">
      <c r="A242" s="2166">
        <v>45964</v>
      </c>
      <c r="B242" s="2167" t="s">
        <v>230</v>
      </c>
      <c r="C242" s="2168" t="s">
        <v>91</v>
      </c>
      <c r="D242" s="2169">
        <v>4500184172</v>
      </c>
      <c r="E242" s="2170">
        <v>60262581</v>
      </c>
      <c r="F242" s="2169" t="s">
        <v>1153</v>
      </c>
      <c r="G242" s="2172" t="s">
        <v>54</v>
      </c>
      <c r="H242" s="2172" t="s">
        <v>54</v>
      </c>
      <c r="I242" s="2182" t="s">
        <v>55</v>
      </c>
      <c r="J242" s="2183">
        <v>2808</v>
      </c>
      <c r="K242" s="2184">
        <v>0</v>
      </c>
      <c r="L242" s="2185">
        <v>12</v>
      </c>
      <c r="M242" s="2186">
        <f t="shared" si="76"/>
        <v>234</v>
      </c>
      <c r="N242" s="2187">
        <v>45995</v>
      </c>
      <c r="O242" s="2187">
        <v>45990</v>
      </c>
      <c r="P242" s="1467"/>
      <c r="Q242" s="2197" t="s">
        <v>56</v>
      </c>
      <c r="R242" s="2197" t="s">
        <v>1076</v>
      </c>
      <c r="S242" s="1472" t="s">
        <v>1129</v>
      </c>
      <c r="T242" s="1467"/>
      <c r="U242" s="1467" t="s">
        <v>1150</v>
      </c>
      <c r="V242" s="2198" t="s">
        <v>235</v>
      </c>
      <c r="W242" s="2199" t="s">
        <v>816</v>
      </c>
      <c r="X242" s="2111" t="s">
        <v>1151</v>
      </c>
      <c r="Y242" s="2200">
        <v>1.9819</v>
      </c>
      <c r="Z242" s="2201">
        <f t="shared" si="77"/>
        <v>5565.1752</v>
      </c>
      <c r="AA242" s="2202"/>
      <c r="AB242" s="2203">
        <v>2808</v>
      </c>
      <c r="AC242" s="2202">
        <f t="shared" si="80"/>
        <v>0</v>
      </c>
      <c r="AD242" s="1878" t="s">
        <v>81</v>
      </c>
      <c r="AE242" s="1468" t="s">
        <v>63</v>
      </c>
      <c r="AF242" s="1468" t="s">
        <v>38</v>
      </c>
      <c r="AG242" s="2197"/>
      <c r="AH242" s="2208">
        <f t="shared" si="81"/>
        <v>2808</v>
      </c>
      <c r="AI242" s="2208"/>
      <c r="AJ242" s="2209"/>
      <c r="AK242" s="2206"/>
      <c r="AL242" s="2110">
        <f t="shared" si="82"/>
        <v>2808</v>
      </c>
      <c r="AM242" s="2110"/>
      <c r="AN242" s="2206"/>
      <c r="AO242" s="2206"/>
      <c r="AP242" s="2206"/>
      <c r="AQ242" s="2206"/>
      <c r="AR242" s="2206"/>
      <c r="AS242" s="2213"/>
      <c r="AT242" s="2213"/>
      <c r="AU242" s="2213"/>
      <c r="AV242" s="2213"/>
      <c r="AW242" s="2208">
        <f>J242</f>
        <v>2808</v>
      </c>
      <c r="AX242" s="2110"/>
      <c r="AY242" s="2110"/>
      <c r="AZ242" s="2213"/>
      <c r="BA242" s="2209"/>
      <c r="BB242" s="2209"/>
      <c r="BC242" s="2209"/>
      <c r="BD242" s="2160">
        <f t="shared" si="78"/>
        <v>2808</v>
      </c>
      <c r="BE242" s="2160">
        <f t="shared" si="79"/>
        <v>0</v>
      </c>
    </row>
    <row r="243" s="1990" customFormat="1" ht="36" customHeight="1" spans="1:57">
      <c r="A243" s="2166">
        <v>45964</v>
      </c>
      <c r="B243" s="2167" t="s">
        <v>230</v>
      </c>
      <c r="C243" s="2168" t="s">
        <v>91</v>
      </c>
      <c r="D243" s="2169">
        <v>4500184172</v>
      </c>
      <c r="E243" s="2170">
        <v>60262583</v>
      </c>
      <c r="F243" s="2169" t="s">
        <v>1154</v>
      </c>
      <c r="G243" s="2172" t="s">
        <v>54</v>
      </c>
      <c r="H243" s="2172" t="s">
        <v>54</v>
      </c>
      <c r="I243" s="2182" t="s">
        <v>55</v>
      </c>
      <c r="J243" s="2183">
        <v>2400</v>
      </c>
      <c r="K243" s="2184">
        <v>0</v>
      </c>
      <c r="L243" s="2185">
        <v>12</v>
      </c>
      <c r="M243" s="2186">
        <f t="shared" si="76"/>
        <v>200</v>
      </c>
      <c r="N243" s="2187">
        <v>45995</v>
      </c>
      <c r="O243" s="2187">
        <v>45990</v>
      </c>
      <c r="P243" s="1467"/>
      <c r="Q243" s="2197" t="s">
        <v>56</v>
      </c>
      <c r="R243" s="2197" t="s">
        <v>1076</v>
      </c>
      <c r="S243" s="1472" t="s">
        <v>1129</v>
      </c>
      <c r="T243" s="1467"/>
      <c r="U243" s="1467" t="s">
        <v>1150</v>
      </c>
      <c r="V243" s="2198" t="s">
        <v>235</v>
      </c>
      <c r="W243" s="2199" t="s">
        <v>816</v>
      </c>
      <c r="X243" s="2111" t="s">
        <v>1151</v>
      </c>
      <c r="Y243" s="2200">
        <v>1.9819</v>
      </c>
      <c r="Z243" s="2201">
        <f t="shared" si="77"/>
        <v>4756.56</v>
      </c>
      <c r="AA243" s="2202"/>
      <c r="AB243" s="2203">
        <v>2400</v>
      </c>
      <c r="AC243" s="2202">
        <f t="shared" si="80"/>
        <v>0</v>
      </c>
      <c r="AD243" s="1878" t="s">
        <v>81</v>
      </c>
      <c r="AE243" s="1468" t="s">
        <v>63</v>
      </c>
      <c r="AF243" s="1468" t="s">
        <v>38</v>
      </c>
      <c r="AG243" s="2197"/>
      <c r="AH243" s="2208">
        <f t="shared" si="81"/>
        <v>2400</v>
      </c>
      <c r="AI243" s="2208"/>
      <c r="AJ243" s="2209"/>
      <c r="AK243" s="2206"/>
      <c r="AL243" s="2110">
        <f t="shared" si="82"/>
        <v>2400</v>
      </c>
      <c r="AM243" s="2110"/>
      <c r="AN243" s="2206"/>
      <c r="AO243" s="2206"/>
      <c r="AP243" s="2206"/>
      <c r="AQ243" s="2206"/>
      <c r="AR243" s="2206"/>
      <c r="AS243" s="2213"/>
      <c r="AT243" s="2213"/>
      <c r="AU243" s="2213"/>
      <c r="AV243" s="2213"/>
      <c r="AW243" s="2208">
        <f>J243</f>
        <v>2400</v>
      </c>
      <c r="AX243" s="2110"/>
      <c r="AY243" s="2110"/>
      <c r="AZ243" s="2213"/>
      <c r="BA243" s="2209"/>
      <c r="BB243" s="2209"/>
      <c r="BC243" s="2209"/>
      <c r="BD243" s="2160">
        <f t="shared" si="78"/>
        <v>2400</v>
      </c>
      <c r="BE243" s="2160">
        <f t="shared" si="79"/>
        <v>0</v>
      </c>
    </row>
    <row r="244" s="1990" customFormat="1" ht="36" customHeight="1" spans="1:57">
      <c r="A244" s="2166">
        <v>45928</v>
      </c>
      <c r="B244" s="2167" t="s">
        <v>1016</v>
      </c>
      <c r="C244" s="2168" t="s">
        <v>91</v>
      </c>
      <c r="D244" s="2169">
        <v>4500180591</v>
      </c>
      <c r="E244" s="2329" t="s">
        <v>1155</v>
      </c>
      <c r="F244" s="2169" t="s">
        <v>1156</v>
      </c>
      <c r="G244" s="2172" t="s">
        <v>94</v>
      </c>
      <c r="H244" s="2172" t="s">
        <v>94</v>
      </c>
      <c r="I244" s="2196" t="s">
        <v>55</v>
      </c>
      <c r="J244" s="2172">
        <v>1290</v>
      </c>
      <c r="K244" s="2184">
        <v>0</v>
      </c>
      <c r="L244" s="2185">
        <v>2</v>
      </c>
      <c r="M244" s="2186">
        <f t="shared" si="76"/>
        <v>645</v>
      </c>
      <c r="N244" s="2187">
        <v>45999</v>
      </c>
      <c r="O244" s="2187">
        <v>45995</v>
      </c>
      <c r="P244" s="1467" t="s">
        <v>1157</v>
      </c>
      <c r="Q244" s="2197" t="s">
        <v>56</v>
      </c>
      <c r="R244" s="2197" t="s">
        <v>1089</v>
      </c>
      <c r="S244" s="1472" t="s">
        <v>985</v>
      </c>
      <c r="T244" s="1467"/>
      <c r="U244" s="1467" t="s">
        <v>1020</v>
      </c>
      <c r="V244" s="2198" t="s">
        <v>987</v>
      </c>
      <c r="W244" s="2199" t="s">
        <v>1071</v>
      </c>
      <c r="X244" s="2111" t="s">
        <v>101</v>
      </c>
      <c r="Y244" s="2200">
        <v>2.0161</v>
      </c>
      <c r="Z244" s="2201">
        <f t="shared" si="77"/>
        <v>2600.769</v>
      </c>
      <c r="AA244" s="2202"/>
      <c r="AB244" s="2203">
        <v>1290</v>
      </c>
      <c r="AC244" s="2202">
        <f t="shared" si="80"/>
        <v>0</v>
      </c>
      <c r="AD244" s="1878" t="s">
        <v>81</v>
      </c>
      <c r="AE244" s="1468" t="s">
        <v>63</v>
      </c>
      <c r="AF244" s="1468" t="s">
        <v>38</v>
      </c>
      <c r="AG244" s="2197"/>
      <c r="AH244" s="2208">
        <f t="shared" si="81"/>
        <v>1290</v>
      </c>
      <c r="AI244" s="2208"/>
      <c r="AJ244" s="2209"/>
      <c r="AK244" s="2110"/>
      <c r="AL244" s="2110">
        <f t="shared" si="82"/>
        <v>1290</v>
      </c>
      <c r="AM244" s="2110"/>
      <c r="AN244" s="2110"/>
      <c r="AO244" s="2110"/>
      <c r="AP244" s="2110"/>
      <c r="AQ244" s="2110"/>
      <c r="AR244" s="2110"/>
      <c r="AS244" s="2215"/>
      <c r="AT244" s="2215"/>
      <c r="AU244" s="2215"/>
      <c r="AV244" s="2215"/>
      <c r="AW244" s="2110"/>
      <c r="AX244" s="2110"/>
      <c r="AY244" s="2110"/>
      <c r="AZ244" s="2215"/>
      <c r="BA244" s="2209">
        <f>J244</f>
        <v>1290</v>
      </c>
      <c r="BB244" s="2209"/>
      <c r="BC244" s="2209"/>
      <c r="BD244" s="2160">
        <f t="shared" si="78"/>
        <v>1290</v>
      </c>
      <c r="BE244" s="2160">
        <f t="shared" si="79"/>
        <v>0</v>
      </c>
    </row>
    <row r="245" s="1990" customFormat="1" ht="36" customHeight="1" spans="1:57">
      <c r="A245" s="2166">
        <v>45928</v>
      </c>
      <c r="B245" s="2167" t="s">
        <v>1016</v>
      </c>
      <c r="C245" s="2168" t="s">
        <v>91</v>
      </c>
      <c r="D245" s="2169">
        <v>4500180592</v>
      </c>
      <c r="E245" s="2329" t="s">
        <v>1158</v>
      </c>
      <c r="F245" s="2169" t="s">
        <v>1159</v>
      </c>
      <c r="G245" s="2172" t="s">
        <v>94</v>
      </c>
      <c r="H245" s="2172" t="s">
        <v>94</v>
      </c>
      <c r="I245" s="2196" t="s">
        <v>55</v>
      </c>
      <c r="J245" s="2172">
        <v>488</v>
      </c>
      <c r="K245" s="2184">
        <v>0</v>
      </c>
      <c r="L245" s="2185">
        <v>2</v>
      </c>
      <c r="M245" s="2186">
        <f t="shared" si="76"/>
        <v>244</v>
      </c>
      <c r="N245" s="2187">
        <v>45999</v>
      </c>
      <c r="O245" s="2187">
        <v>45995</v>
      </c>
      <c r="P245" s="1467" t="s">
        <v>1160</v>
      </c>
      <c r="Q245" s="2197" t="s">
        <v>56</v>
      </c>
      <c r="R245" s="2197" t="s">
        <v>1161</v>
      </c>
      <c r="S245" s="1472" t="s">
        <v>985</v>
      </c>
      <c r="T245" s="1467"/>
      <c r="U245" s="1467" t="s">
        <v>1020</v>
      </c>
      <c r="V245" s="2198" t="s">
        <v>987</v>
      </c>
      <c r="W245" s="2199" t="s">
        <v>1071</v>
      </c>
      <c r="X245" s="2111" t="s">
        <v>101</v>
      </c>
      <c r="Y245" s="2200">
        <v>2.0161</v>
      </c>
      <c r="Z245" s="2201">
        <f t="shared" si="77"/>
        <v>983.8568</v>
      </c>
      <c r="AA245" s="2202"/>
      <c r="AB245" s="2203">
        <v>488</v>
      </c>
      <c r="AC245" s="2202">
        <f t="shared" si="80"/>
        <v>0</v>
      </c>
      <c r="AD245" s="1878" t="s">
        <v>81</v>
      </c>
      <c r="AE245" s="1468" t="s">
        <v>63</v>
      </c>
      <c r="AF245" s="1468" t="s">
        <v>38</v>
      </c>
      <c r="AG245" s="2197"/>
      <c r="AH245" s="2208">
        <f t="shared" si="81"/>
        <v>488</v>
      </c>
      <c r="AI245" s="2208"/>
      <c r="AJ245" s="2209"/>
      <c r="AK245" s="2110"/>
      <c r="AL245" s="2110">
        <f t="shared" si="82"/>
        <v>488</v>
      </c>
      <c r="AM245" s="2110"/>
      <c r="AN245" s="2110"/>
      <c r="AO245" s="2110"/>
      <c r="AP245" s="2110"/>
      <c r="AQ245" s="2110"/>
      <c r="AR245" s="2110"/>
      <c r="AS245" s="2215"/>
      <c r="AT245" s="2215"/>
      <c r="AU245" s="2215"/>
      <c r="AV245" s="2215"/>
      <c r="AW245" s="2110"/>
      <c r="AX245" s="2110"/>
      <c r="AY245" s="2110"/>
      <c r="AZ245" s="2215"/>
      <c r="BA245" s="2209">
        <f>J245</f>
        <v>488</v>
      </c>
      <c r="BB245" s="2209"/>
      <c r="BC245" s="2209"/>
      <c r="BD245" s="2160">
        <f t="shared" si="78"/>
        <v>488</v>
      </c>
      <c r="BE245" s="2160">
        <f t="shared" si="79"/>
        <v>0</v>
      </c>
    </row>
    <row r="246" s="1990" customFormat="1" ht="36" customHeight="1" spans="1:57">
      <c r="A246" s="2166">
        <v>45943</v>
      </c>
      <c r="B246" s="2167" t="s">
        <v>1016</v>
      </c>
      <c r="C246" s="2168" t="s">
        <v>91</v>
      </c>
      <c r="D246" s="2169">
        <v>4500181733</v>
      </c>
      <c r="E246" s="2170" t="s">
        <v>1162</v>
      </c>
      <c r="F246" s="2169" t="s">
        <v>1163</v>
      </c>
      <c r="G246" s="2172" t="s">
        <v>94</v>
      </c>
      <c r="H246" s="2172" t="s">
        <v>94</v>
      </c>
      <c r="I246" s="2196" t="s">
        <v>55</v>
      </c>
      <c r="J246" s="2172">
        <v>384</v>
      </c>
      <c r="K246" s="2184">
        <v>0</v>
      </c>
      <c r="L246" s="2185">
        <v>2</v>
      </c>
      <c r="M246" s="2186">
        <f t="shared" si="76"/>
        <v>192</v>
      </c>
      <c r="N246" s="2187">
        <v>46000</v>
      </c>
      <c r="O246" s="2187">
        <v>45996</v>
      </c>
      <c r="P246" s="1467" t="s">
        <v>1157</v>
      </c>
      <c r="Q246" s="2197" t="s">
        <v>56</v>
      </c>
      <c r="R246" s="2197" t="s">
        <v>1164</v>
      </c>
      <c r="S246" s="1472" t="s">
        <v>1080</v>
      </c>
      <c r="T246" s="1467"/>
      <c r="U246" s="1467" t="s">
        <v>1081</v>
      </c>
      <c r="V246" s="2198" t="s">
        <v>1082</v>
      </c>
      <c r="W246" s="2199" t="s">
        <v>1092</v>
      </c>
      <c r="X246" s="2111" t="s">
        <v>101</v>
      </c>
      <c r="Y246" s="2200">
        <v>2.3957</v>
      </c>
      <c r="Z246" s="2201">
        <f t="shared" si="77"/>
        <v>919.9488</v>
      </c>
      <c r="AA246" s="2202"/>
      <c r="AB246" s="2203">
        <v>384</v>
      </c>
      <c r="AC246" s="2202">
        <f t="shared" si="80"/>
        <v>0</v>
      </c>
      <c r="AD246" s="1878" t="s">
        <v>81</v>
      </c>
      <c r="AE246" s="1468" t="s">
        <v>63</v>
      </c>
      <c r="AF246" s="1468" t="s">
        <v>38</v>
      </c>
      <c r="AG246" s="2197"/>
      <c r="AH246" s="2208">
        <f t="shared" si="81"/>
        <v>384</v>
      </c>
      <c r="AI246" s="2208"/>
      <c r="AJ246" s="2209"/>
      <c r="AK246" s="2110"/>
      <c r="AL246" s="2110">
        <f t="shared" si="82"/>
        <v>384</v>
      </c>
      <c r="AM246" s="2110"/>
      <c r="AN246" s="2110"/>
      <c r="AO246" s="2110"/>
      <c r="AP246" s="2110"/>
      <c r="AQ246" s="2110"/>
      <c r="AR246" s="2110"/>
      <c r="AS246" s="2215"/>
      <c r="AT246" s="2215"/>
      <c r="AU246" s="2215"/>
      <c r="AV246" s="2215"/>
      <c r="AW246" s="2110"/>
      <c r="AX246" s="2110"/>
      <c r="AY246" s="2110"/>
      <c r="AZ246" s="2215"/>
      <c r="BA246" s="2209">
        <f>J246</f>
        <v>384</v>
      </c>
      <c r="BB246" s="2209"/>
      <c r="BC246" s="2209"/>
      <c r="BD246" s="2160">
        <f t="shared" si="78"/>
        <v>384</v>
      </c>
      <c r="BE246" s="2160">
        <f t="shared" si="79"/>
        <v>0</v>
      </c>
    </row>
    <row r="247" s="1990" customFormat="1" ht="36" customHeight="1" spans="1:57">
      <c r="A247" s="2166">
        <v>45943</v>
      </c>
      <c r="B247" s="2167" t="s">
        <v>1016</v>
      </c>
      <c r="C247" s="2168" t="s">
        <v>91</v>
      </c>
      <c r="D247" s="2169">
        <v>4500181733</v>
      </c>
      <c r="E247" s="2170" t="s">
        <v>1165</v>
      </c>
      <c r="F247" s="2169" t="s">
        <v>1166</v>
      </c>
      <c r="G247" s="2172" t="s">
        <v>94</v>
      </c>
      <c r="H247" s="2172" t="s">
        <v>94</v>
      </c>
      <c r="I247" s="2196" t="s">
        <v>55</v>
      </c>
      <c r="J247" s="2172">
        <v>2474</v>
      </c>
      <c r="K247" s="2184">
        <v>0</v>
      </c>
      <c r="L247" s="2185">
        <v>2</v>
      </c>
      <c r="M247" s="2186">
        <f t="shared" si="76"/>
        <v>1237</v>
      </c>
      <c r="N247" s="2187">
        <v>46000</v>
      </c>
      <c r="O247" s="2187">
        <v>45996</v>
      </c>
      <c r="P247" s="1467" t="s">
        <v>1157</v>
      </c>
      <c r="Q247" s="2197" t="s">
        <v>56</v>
      </c>
      <c r="R247" s="2197" t="s">
        <v>1167</v>
      </c>
      <c r="S247" s="1472" t="s">
        <v>1080</v>
      </c>
      <c r="T247" s="1467"/>
      <c r="U247" s="1467" t="s">
        <v>1081</v>
      </c>
      <c r="V247" s="2198" t="s">
        <v>1082</v>
      </c>
      <c r="W247" s="2199" t="s">
        <v>1092</v>
      </c>
      <c r="X247" s="2111" t="s">
        <v>101</v>
      </c>
      <c r="Y247" s="2200">
        <v>2.1305</v>
      </c>
      <c r="Z247" s="2201">
        <f t="shared" si="77"/>
        <v>5270.857</v>
      </c>
      <c r="AA247" s="2202"/>
      <c r="AB247" s="2203">
        <f>2250+224</f>
        <v>2474</v>
      </c>
      <c r="AC247" s="2202">
        <f t="shared" si="80"/>
        <v>0</v>
      </c>
      <c r="AD247" s="1878" t="s">
        <v>81</v>
      </c>
      <c r="AE247" s="1468" t="s">
        <v>63</v>
      </c>
      <c r="AF247" s="1468" t="s">
        <v>38</v>
      </c>
      <c r="AG247" s="2197"/>
      <c r="AH247" s="2208">
        <f t="shared" si="81"/>
        <v>2474</v>
      </c>
      <c r="AI247" s="2208"/>
      <c r="AJ247" s="2209"/>
      <c r="AK247" s="2086"/>
      <c r="AL247" s="2110">
        <f t="shared" si="82"/>
        <v>2474</v>
      </c>
      <c r="AM247" s="2110"/>
      <c r="AN247" s="2086"/>
      <c r="AO247" s="2086"/>
      <c r="AP247" s="2086"/>
      <c r="AQ247" s="2086"/>
      <c r="AR247" s="2086"/>
      <c r="AS247" s="2162"/>
      <c r="AT247" s="2162"/>
      <c r="AU247" s="2162"/>
      <c r="AV247" s="2162"/>
      <c r="AW247" s="2110"/>
      <c r="AX247" s="2110"/>
      <c r="AY247" s="2110"/>
      <c r="AZ247" s="2162"/>
      <c r="BA247" s="2209">
        <f>J247</f>
        <v>2474</v>
      </c>
      <c r="BB247" s="2209"/>
      <c r="BC247" s="2209"/>
      <c r="BD247" s="2160">
        <f t="shared" si="78"/>
        <v>2474</v>
      </c>
      <c r="BE247" s="2160">
        <f t="shared" si="79"/>
        <v>0</v>
      </c>
    </row>
    <row r="248" s="1990" customFormat="1" ht="36" customHeight="1" spans="1:57">
      <c r="A248" s="2166">
        <v>45964</v>
      </c>
      <c r="B248" s="2167" t="s">
        <v>1168</v>
      </c>
      <c r="C248" s="2168" t="s">
        <v>1169</v>
      </c>
      <c r="D248" s="2169">
        <v>4500183825</v>
      </c>
      <c r="E248" s="2169">
        <v>157056</v>
      </c>
      <c r="F248" s="2169" t="s">
        <v>1170</v>
      </c>
      <c r="G248" s="2172" t="s">
        <v>54</v>
      </c>
      <c r="H248" s="2172" t="s">
        <v>54</v>
      </c>
      <c r="I248" s="2182" t="s">
        <v>55</v>
      </c>
      <c r="J248" s="2172">
        <v>300</v>
      </c>
      <c r="K248" s="2184">
        <v>0</v>
      </c>
      <c r="L248" s="2185">
        <v>12</v>
      </c>
      <c r="M248" s="2186">
        <f t="shared" si="76"/>
        <v>25</v>
      </c>
      <c r="N248" s="2187">
        <v>46001</v>
      </c>
      <c r="O248" s="2187">
        <v>45997</v>
      </c>
      <c r="P248" s="1467"/>
      <c r="Q248" s="2197" t="s">
        <v>56</v>
      </c>
      <c r="R248" s="2197" t="s">
        <v>1171</v>
      </c>
      <c r="S248" s="1472" t="s">
        <v>1172</v>
      </c>
      <c r="T248" s="1467"/>
      <c r="U248" s="1467" t="s">
        <v>1173</v>
      </c>
      <c r="V248" s="2198" t="s">
        <v>1174</v>
      </c>
      <c r="W248" s="2199" t="s">
        <v>1175</v>
      </c>
      <c r="X248" s="2111" t="s">
        <v>1176</v>
      </c>
      <c r="Y248" s="2200">
        <v>3.8309</v>
      </c>
      <c r="Z248" s="2201">
        <f t="shared" si="77"/>
        <v>1149.27</v>
      </c>
      <c r="AA248" s="2202"/>
      <c r="AB248" s="2203">
        <v>300</v>
      </c>
      <c r="AC248" s="2202">
        <f t="shared" si="80"/>
        <v>0</v>
      </c>
      <c r="AD248" s="1878" t="s">
        <v>81</v>
      </c>
      <c r="AE248" s="1468" t="s">
        <v>63</v>
      </c>
      <c r="AF248" s="1468" t="s">
        <v>38</v>
      </c>
      <c r="AG248" s="2197"/>
      <c r="AH248" s="2208">
        <f t="shared" si="81"/>
        <v>300</v>
      </c>
      <c r="AI248" s="2208"/>
      <c r="AJ248" s="2209"/>
      <c r="AK248" s="2086"/>
      <c r="AL248" s="2110">
        <f t="shared" si="82"/>
        <v>300</v>
      </c>
      <c r="AM248" s="2110"/>
      <c r="AN248" s="2086"/>
      <c r="AO248" s="2086"/>
      <c r="AP248" s="2086"/>
      <c r="AQ248" s="2086"/>
      <c r="AR248" s="2086"/>
      <c r="AS248" s="2162"/>
      <c r="AT248" s="2162"/>
      <c r="AU248" s="2162"/>
      <c r="AV248" s="2162"/>
      <c r="AW248" s="2208">
        <f>J248</f>
        <v>300</v>
      </c>
      <c r="AX248" s="2110"/>
      <c r="AY248" s="2110"/>
      <c r="AZ248" s="2162"/>
      <c r="BA248" s="2209"/>
      <c r="BB248" s="2209"/>
      <c r="BC248" s="2209"/>
      <c r="BD248" s="2160">
        <f t="shared" si="78"/>
        <v>300</v>
      </c>
      <c r="BE248" s="2160">
        <f t="shared" si="79"/>
        <v>0</v>
      </c>
    </row>
    <row r="249" s="1990" customFormat="1" ht="36" customHeight="1" spans="1:57">
      <c r="A249" s="2166">
        <v>45964</v>
      </c>
      <c r="B249" s="2167" t="s">
        <v>1168</v>
      </c>
      <c r="C249" s="2168" t="s">
        <v>1169</v>
      </c>
      <c r="D249" s="2169">
        <v>4500183825</v>
      </c>
      <c r="E249" s="2169">
        <v>157056</v>
      </c>
      <c r="F249" s="2169" t="s">
        <v>1177</v>
      </c>
      <c r="G249" s="2180" t="s">
        <v>66</v>
      </c>
      <c r="H249" s="2172" t="s">
        <v>66</v>
      </c>
      <c r="I249" s="2188" t="s">
        <v>67</v>
      </c>
      <c r="J249" s="2172">
        <v>300</v>
      </c>
      <c r="K249" s="2184">
        <v>0</v>
      </c>
      <c r="L249" s="2185">
        <v>12</v>
      </c>
      <c r="M249" s="2186">
        <f t="shared" si="76"/>
        <v>25</v>
      </c>
      <c r="N249" s="2187">
        <v>46001</v>
      </c>
      <c r="O249" s="2187">
        <v>45997</v>
      </c>
      <c r="P249" s="1467"/>
      <c r="Q249" s="2197" t="s">
        <v>56</v>
      </c>
      <c r="R249" s="2197" t="s">
        <v>1171</v>
      </c>
      <c r="S249" s="1472" t="s">
        <v>1172</v>
      </c>
      <c r="T249" s="1467"/>
      <c r="U249" s="1467" t="s">
        <v>1178</v>
      </c>
      <c r="V249" s="2198" t="s">
        <v>1179</v>
      </c>
      <c r="W249" s="2199" t="s">
        <v>1180</v>
      </c>
      <c r="X249" s="2111" t="s">
        <v>1176</v>
      </c>
      <c r="Y249" s="2200">
        <v>3.6399</v>
      </c>
      <c r="Z249" s="2201">
        <f t="shared" si="77"/>
        <v>1091.97</v>
      </c>
      <c r="AA249" s="2202"/>
      <c r="AB249" s="2203">
        <v>300</v>
      </c>
      <c r="AC249" s="2202">
        <f t="shared" si="80"/>
        <v>0</v>
      </c>
      <c r="AD249" s="1878" t="s">
        <v>81</v>
      </c>
      <c r="AE249" s="1468" t="s">
        <v>63</v>
      </c>
      <c r="AF249" s="1468" t="s">
        <v>38</v>
      </c>
      <c r="AG249" s="2197"/>
      <c r="AH249" s="2208"/>
      <c r="AI249" s="2208"/>
      <c r="AJ249" s="2209">
        <f>J249</f>
        <v>300</v>
      </c>
      <c r="AK249" s="2086"/>
      <c r="AL249" s="2110">
        <f t="shared" si="82"/>
        <v>300</v>
      </c>
      <c r="AM249" s="2110"/>
      <c r="AN249" s="2086"/>
      <c r="AO249" s="2086"/>
      <c r="AP249" s="2086"/>
      <c r="AQ249" s="2086"/>
      <c r="AR249" s="2086"/>
      <c r="AS249" s="2162"/>
      <c r="AT249" s="2162"/>
      <c r="AU249" s="2162"/>
      <c r="AV249" s="2162"/>
      <c r="AW249" s="2110"/>
      <c r="AX249" s="2110"/>
      <c r="AY249" s="2110">
        <f>J249</f>
        <v>300</v>
      </c>
      <c r="AZ249" s="2162"/>
      <c r="BA249" s="2209"/>
      <c r="BB249" s="2209"/>
      <c r="BC249" s="2209">
        <f>J249</f>
        <v>300</v>
      </c>
      <c r="BD249" s="2160">
        <f t="shared" si="78"/>
        <v>300</v>
      </c>
      <c r="BE249" s="2160">
        <f t="shared" si="79"/>
        <v>0</v>
      </c>
    </row>
    <row r="250" s="1990" customFormat="1" ht="36" customHeight="1" spans="1:57">
      <c r="A250" s="2166">
        <v>45967</v>
      </c>
      <c r="B250" s="2167" t="s">
        <v>899</v>
      </c>
      <c r="C250" s="2168" t="s">
        <v>900</v>
      </c>
      <c r="D250" s="2169">
        <v>4500184724</v>
      </c>
      <c r="E250" s="2170" t="s">
        <v>1181</v>
      </c>
      <c r="F250" s="2169" t="s">
        <v>1182</v>
      </c>
      <c r="G250" s="2172" t="s">
        <v>54</v>
      </c>
      <c r="H250" s="2172" t="s">
        <v>54</v>
      </c>
      <c r="I250" s="2182" t="s">
        <v>55</v>
      </c>
      <c r="J250" s="2172">
        <v>504</v>
      </c>
      <c r="K250" s="2184">
        <v>0</v>
      </c>
      <c r="L250" s="2185">
        <v>12</v>
      </c>
      <c r="M250" s="2186">
        <f t="shared" si="76"/>
        <v>42</v>
      </c>
      <c r="N250" s="2187">
        <v>46006</v>
      </c>
      <c r="O250" s="2187">
        <v>46004</v>
      </c>
      <c r="P250" s="1467"/>
      <c r="Q250" s="2197" t="s">
        <v>56</v>
      </c>
      <c r="R250" s="2197" t="s">
        <v>1183</v>
      </c>
      <c r="S250" s="1472" t="s">
        <v>1184</v>
      </c>
      <c r="T250" s="1467"/>
      <c r="U250" s="1467" t="s">
        <v>58</v>
      </c>
      <c r="V250" s="2198" t="s">
        <v>1185</v>
      </c>
      <c r="W250" s="2199" t="s">
        <v>1186</v>
      </c>
      <c r="X250" s="2111" t="s">
        <v>907</v>
      </c>
      <c r="Y250" s="2200">
        <v>3.7451</v>
      </c>
      <c r="Z250" s="2201">
        <f t="shared" si="77"/>
        <v>1887.5304</v>
      </c>
      <c r="AA250" s="2202"/>
      <c r="AB250" s="2203">
        <v>504</v>
      </c>
      <c r="AC250" s="2202">
        <f t="shared" si="80"/>
        <v>0</v>
      </c>
      <c r="AD250" s="1878" t="s">
        <v>58</v>
      </c>
      <c r="AE250" s="1468" t="s">
        <v>63</v>
      </c>
      <c r="AF250" s="1468" t="s">
        <v>38</v>
      </c>
      <c r="AG250" s="2197"/>
      <c r="AH250" s="2208">
        <f>J250</f>
        <v>504</v>
      </c>
      <c r="AI250" s="2208"/>
      <c r="AJ250" s="2209"/>
      <c r="AK250" s="2086"/>
      <c r="AL250" s="2110">
        <f t="shared" si="82"/>
        <v>504</v>
      </c>
      <c r="AM250" s="2110"/>
      <c r="AN250" s="2086"/>
      <c r="AO250" s="2086"/>
      <c r="AP250" s="2086"/>
      <c r="AQ250" s="2086"/>
      <c r="AR250" s="2086"/>
      <c r="AS250" s="2162"/>
      <c r="AT250" s="2162"/>
      <c r="AU250" s="2162"/>
      <c r="AV250" s="2162"/>
      <c r="AW250" s="2208">
        <f>J250</f>
        <v>504</v>
      </c>
      <c r="AX250" s="2110"/>
      <c r="AY250" s="2110"/>
      <c r="AZ250" s="2162"/>
      <c r="BA250" s="2209"/>
      <c r="BB250" s="2209"/>
      <c r="BC250" s="2209"/>
      <c r="BD250" s="2160">
        <f t="shared" si="78"/>
        <v>504</v>
      </c>
      <c r="BE250" s="2160">
        <f t="shared" si="79"/>
        <v>0</v>
      </c>
    </row>
    <row r="251" s="1990" customFormat="1" ht="36" customHeight="1" spans="1:57">
      <c r="A251" s="2166">
        <v>45967</v>
      </c>
      <c r="B251" s="2167" t="s">
        <v>899</v>
      </c>
      <c r="C251" s="2168" t="s">
        <v>900</v>
      </c>
      <c r="D251" s="2169">
        <v>4500184724</v>
      </c>
      <c r="E251" s="2170" t="s">
        <v>1181</v>
      </c>
      <c r="F251" s="2169" t="s">
        <v>1187</v>
      </c>
      <c r="G251" s="2180" t="s">
        <v>66</v>
      </c>
      <c r="H251" s="2172" t="s">
        <v>66</v>
      </c>
      <c r="I251" s="2188" t="s">
        <v>67</v>
      </c>
      <c r="J251" s="2172">
        <v>504</v>
      </c>
      <c r="K251" s="2184">
        <v>0</v>
      </c>
      <c r="L251" s="2185">
        <v>12</v>
      </c>
      <c r="M251" s="2186">
        <f t="shared" si="76"/>
        <v>42</v>
      </c>
      <c r="N251" s="2187">
        <v>46006</v>
      </c>
      <c r="O251" s="2187">
        <v>46004</v>
      </c>
      <c r="P251" s="1467"/>
      <c r="Q251" s="2197" t="s">
        <v>56</v>
      </c>
      <c r="R251" s="2197" t="s">
        <v>1183</v>
      </c>
      <c r="S251" s="1472" t="s">
        <v>1184</v>
      </c>
      <c r="T251" s="1467"/>
      <c r="U251" s="1467" t="s">
        <v>58</v>
      </c>
      <c r="V251" s="2198" t="s">
        <v>1185</v>
      </c>
      <c r="W251" s="2199" t="s">
        <v>1186</v>
      </c>
      <c r="X251" s="2111" t="s">
        <v>907</v>
      </c>
      <c r="Y251" s="2200">
        <v>3.6399</v>
      </c>
      <c r="Z251" s="2201">
        <f t="shared" si="77"/>
        <v>1834.5096</v>
      </c>
      <c r="AA251" s="2202"/>
      <c r="AB251" s="2203">
        <v>504</v>
      </c>
      <c r="AC251" s="2202">
        <f t="shared" si="80"/>
        <v>0</v>
      </c>
      <c r="AD251" s="1878" t="s">
        <v>58</v>
      </c>
      <c r="AE251" s="1468" t="s">
        <v>63</v>
      </c>
      <c r="AF251" s="1468" t="s">
        <v>38</v>
      </c>
      <c r="AG251" s="2197"/>
      <c r="AH251" s="2208"/>
      <c r="AI251" s="2208"/>
      <c r="AJ251" s="2209">
        <f>J251</f>
        <v>504</v>
      </c>
      <c r="AK251" s="2086"/>
      <c r="AL251" s="2110">
        <f t="shared" si="82"/>
        <v>504</v>
      </c>
      <c r="AM251" s="2110"/>
      <c r="AN251" s="2086"/>
      <c r="AO251" s="2086"/>
      <c r="AP251" s="2086"/>
      <c r="AQ251" s="2086"/>
      <c r="AR251" s="2086"/>
      <c r="AS251" s="2162"/>
      <c r="AT251" s="2162"/>
      <c r="AU251" s="2162"/>
      <c r="AV251" s="2162"/>
      <c r="AW251" s="2110"/>
      <c r="AX251" s="2110"/>
      <c r="AY251" s="2110">
        <f>J251</f>
        <v>504</v>
      </c>
      <c r="AZ251" s="2162"/>
      <c r="BA251" s="2209"/>
      <c r="BB251" s="2209"/>
      <c r="BC251" s="2209"/>
      <c r="BD251" s="2160">
        <f t="shared" si="78"/>
        <v>504</v>
      </c>
      <c r="BE251" s="2160">
        <f t="shared" si="79"/>
        <v>0</v>
      </c>
    </row>
    <row r="252" s="1990" customFormat="1" ht="36" customHeight="1" spans="1:57">
      <c r="A252" s="2166">
        <v>45943</v>
      </c>
      <c r="B252" s="2167" t="s">
        <v>1016</v>
      </c>
      <c r="C252" s="2168" t="s">
        <v>91</v>
      </c>
      <c r="D252" s="2169">
        <v>4500181734</v>
      </c>
      <c r="E252" s="2170" t="s">
        <v>1188</v>
      </c>
      <c r="F252" s="2169" t="s">
        <v>1189</v>
      </c>
      <c r="G252" s="2172" t="s">
        <v>94</v>
      </c>
      <c r="H252" s="2172" t="s">
        <v>94</v>
      </c>
      <c r="I252" s="2196" t="s">
        <v>55</v>
      </c>
      <c r="J252" s="2172">
        <v>3218</v>
      </c>
      <c r="K252" s="2184">
        <v>0</v>
      </c>
      <c r="L252" s="2185">
        <v>2</v>
      </c>
      <c r="M252" s="2186">
        <f t="shared" si="76"/>
        <v>1609</v>
      </c>
      <c r="N252" s="2187">
        <v>46006</v>
      </c>
      <c r="O252" s="2187">
        <v>46002</v>
      </c>
      <c r="P252" s="1467" t="s">
        <v>1190</v>
      </c>
      <c r="Q252" s="2197" t="s">
        <v>56</v>
      </c>
      <c r="R252" s="2197"/>
      <c r="S252" s="1472" t="s">
        <v>1080</v>
      </c>
      <c r="T252" s="1467"/>
      <c r="U252" s="1467" t="s">
        <v>1081</v>
      </c>
      <c r="V252" s="2198" t="s">
        <v>1082</v>
      </c>
      <c r="W252" s="2199" t="s">
        <v>1092</v>
      </c>
      <c r="X252" s="2111" t="s">
        <v>101</v>
      </c>
      <c r="Y252" s="2200">
        <v>2.0648</v>
      </c>
      <c r="Z252" s="2201">
        <f t="shared" si="77"/>
        <v>6644.5264</v>
      </c>
      <c r="AA252" s="2202"/>
      <c r="AB252" s="2203">
        <v>3218</v>
      </c>
      <c r="AC252" s="2202">
        <f t="shared" si="80"/>
        <v>0</v>
      </c>
      <c r="AD252" s="1878" t="s">
        <v>81</v>
      </c>
      <c r="AE252" s="1468" t="s">
        <v>63</v>
      </c>
      <c r="AF252" s="1468" t="s">
        <v>38</v>
      </c>
      <c r="AG252" s="2197"/>
      <c r="AH252" s="2208">
        <f t="shared" ref="AH252:AH258" si="83">J252</f>
        <v>3218</v>
      </c>
      <c r="AI252" s="2208"/>
      <c r="AJ252" s="2209"/>
      <c r="AK252" s="2086"/>
      <c r="AL252" s="2110">
        <f t="shared" si="82"/>
        <v>3218</v>
      </c>
      <c r="AM252" s="2110"/>
      <c r="AN252" s="2086"/>
      <c r="AO252" s="2086"/>
      <c r="AP252" s="2086"/>
      <c r="AQ252" s="2086"/>
      <c r="AR252" s="2086"/>
      <c r="AS252" s="2162"/>
      <c r="AT252" s="2162"/>
      <c r="AU252" s="2162"/>
      <c r="AV252" s="2162"/>
      <c r="AW252" s="2110"/>
      <c r="AX252" s="2110"/>
      <c r="AY252" s="2110"/>
      <c r="AZ252" s="2162"/>
      <c r="BA252" s="2209">
        <f>J252</f>
        <v>3218</v>
      </c>
      <c r="BB252" s="2209"/>
      <c r="BC252" s="2209"/>
      <c r="BD252" s="2160">
        <f t="shared" si="78"/>
        <v>3218</v>
      </c>
      <c r="BE252" s="2160">
        <f t="shared" si="79"/>
        <v>0</v>
      </c>
    </row>
    <row r="253" s="1990" customFormat="1" ht="36" customHeight="1" spans="1:57">
      <c r="A253" s="2166">
        <v>45943</v>
      </c>
      <c r="B253" s="2167" t="s">
        <v>1016</v>
      </c>
      <c r="C253" s="2168" t="s">
        <v>91</v>
      </c>
      <c r="D253" s="2169">
        <v>4500181734</v>
      </c>
      <c r="E253" s="2170" t="s">
        <v>1191</v>
      </c>
      <c r="F253" s="2169" t="s">
        <v>1192</v>
      </c>
      <c r="G253" s="2172" t="s">
        <v>94</v>
      </c>
      <c r="H253" s="2172" t="s">
        <v>94</v>
      </c>
      <c r="I253" s="2196" t="s">
        <v>55</v>
      </c>
      <c r="J253" s="2172">
        <v>1818</v>
      </c>
      <c r="K253" s="2184">
        <v>0</v>
      </c>
      <c r="L253" s="2185">
        <v>2</v>
      </c>
      <c r="M253" s="2186">
        <f t="shared" si="76"/>
        <v>909</v>
      </c>
      <c r="N253" s="2187">
        <v>46006</v>
      </c>
      <c r="O253" s="2187">
        <v>46002</v>
      </c>
      <c r="P253" s="1467" t="s">
        <v>1190</v>
      </c>
      <c r="Q253" s="2197" t="s">
        <v>56</v>
      </c>
      <c r="R253" s="2197" t="s">
        <v>1193</v>
      </c>
      <c r="S253" s="1472" t="s">
        <v>1080</v>
      </c>
      <c r="T253" s="1467"/>
      <c r="U253" s="1467" t="s">
        <v>1081</v>
      </c>
      <c r="V253" s="2198" t="s">
        <v>1082</v>
      </c>
      <c r="W253" s="2199" t="s">
        <v>1092</v>
      </c>
      <c r="X253" s="2111" t="s">
        <v>101</v>
      </c>
      <c r="Y253" s="2200">
        <v>2.1826</v>
      </c>
      <c r="Z253" s="2201">
        <f t="shared" si="77"/>
        <v>3967.9668</v>
      </c>
      <c r="AA253" s="2202"/>
      <c r="AB253" s="2203">
        <v>1818</v>
      </c>
      <c r="AC253" s="2202">
        <f t="shared" si="80"/>
        <v>0</v>
      </c>
      <c r="AD253" s="1878" t="s">
        <v>81</v>
      </c>
      <c r="AE253" s="1468" t="s">
        <v>63</v>
      </c>
      <c r="AF253" s="1468" t="s">
        <v>38</v>
      </c>
      <c r="AG253" s="2197"/>
      <c r="AH253" s="2208">
        <f t="shared" si="83"/>
        <v>1818</v>
      </c>
      <c r="AI253" s="2208"/>
      <c r="AJ253" s="2209"/>
      <c r="AK253" s="2086"/>
      <c r="AL253" s="2110">
        <f t="shared" si="82"/>
        <v>1818</v>
      </c>
      <c r="AM253" s="2110"/>
      <c r="AN253" s="2086"/>
      <c r="AO253" s="2086"/>
      <c r="AP253" s="2086"/>
      <c r="AQ253" s="2086"/>
      <c r="AR253" s="2086"/>
      <c r="AS253" s="2162"/>
      <c r="AT253" s="2162"/>
      <c r="AU253" s="2162"/>
      <c r="AV253" s="2162"/>
      <c r="AW253" s="2110"/>
      <c r="AX253" s="2110"/>
      <c r="AY253" s="2110"/>
      <c r="AZ253" s="2162"/>
      <c r="BA253" s="2209">
        <f>J253</f>
        <v>1818</v>
      </c>
      <c r="BB253" s="2209"/>
      <c r="BC253" s="2209"/>
      <c r="BD253" s="2160">
        <f t="shared" si="78"/>
        <v>1818</v>
      </c>
      <c r="BE253" s="2160">
        <f t="shared" si="79"/>
        <v>0</v>
      </c>
    </row>
    <row r="254" s="1990" customFormat="1" ht="36" customHeight="1" spans="1:57">
      <c r="A254" s="2166">
        <v>45943</v>
      </c>
      <c r="B254" s="2167" t="s">
        <v>1016</v>
      </c>
      <c r="C254" s="2168" t="s">
        <v>91</v>
      </c>
      <c r="D254" s="2169">
        <v>4500181735</v>
      </c>
      <c r="E254" s="2170" t="s">
        <v>1194</v>
      </c>
      <c r="F254" s="2169" t="s">
        <v>1195</v>
      </c>
      <c r="G254" s="2172" t="s">
        <v>94</v>
      </c>
      <c r="H254" s="2172" t="s">
        <v>94</v>
      </c>
      <c r="I254" s="2196" t="s">
        <v>55</v>
      </c>
      <c r="J254" s="2172">
        <v>4608</v>
      </c>
      <c r="K254" s="2184">
        <v>0</v>
      </c>
      <c r="L254" s="2185">
        <v>2</v>
      </c>
      <c r="M254" s="2186">
        <f t="shared" si="76"/>
        <v>2304</v>
      </c>
      <c r="N254" s="2187">
        <v>46008</v>
      </c>
      <c r="O254" s="2187">
        <v>46004</v>
      </c>
      <c r="P254" s="1467" t="s">
        <v>1190</v>
      </c>
      <c r="Q254" s="2197" t="s">
        <v>56</v>
      </c>
      <c r="R254" s="2197" t="s">
        <v>1167</v>
      </c>
      <c r="S254" s="1472" t="s">
        <v>1080</v>
      </c>
      <c r="T254" s="1467"/>
      <c r="U254" s="1467" t="s">
        <v>1081</v>
      </c>
      <c r="V254" s="2198" t="s">
        <v>1082</v>
      </c>
      <c r="W254" s="2199" t="s">
        <v>1092</v>
      </c>
      <c r="X254" s="2111" t="s">
        <v>101</v>
      </c>
      <c r="Y254" s="2200">
        <v>2.0648</v>
      </c>
      <c r="Z254" s="2201">
        <f t="shared" si="77"/>
        <v>9514.5984</v>
      </c>
      <c r="AA254" s="2202"/>
      <c r="AB254" s="2203">
        <f>3600+1008</f>
        <v>4608</v>
      </c>
      <c r="AC254" s="2202">
        <f t="shared" si="80"/>
        <v>0</v>
      </c>
      <c r="AD254" s="1878" t="s">
        <v>81</v>
      </c>
      <c r="AE254" s="1468" t="s">
        <v>63</v>
      </c>
      <c r="AF254" s="1468" t="s">
        <v>38</v>
      </c>
      <c r="AG254" s="2197"/>
      <c r="AH254" s="2208">
        <f t="shared" si="83"/>
        <v>4608</v>
      </c>
      <c r="AI254" s="2208"/>
      <c r="AJ254" s="2209"/>
      <c r="AK254" s="2086"/>
      <c r="AL254" s="2110">
        <f t="shared" si="82"/>
        <v>4608</v>
      </c>
      <c r="AM254" s="2110"/>
      <c r="AN254" s="2086"/>
      <c r="AO254" s="2086"/>
      <c r="AP254" s="2086"/>
      <c r="AQ254" s="2086"/>
      <c r="AR254" s="2086"/>
      <c r="AS254" s="2162"/>
      <c r="AT254" s="2162"/>
      <c r="AU254" s="2162"/>
      <c r="AV254" s="2162"/>
      <c r="AW254" s="2110"/>
      <c r="AX254" s="2110"/>
      <c r="AY254" s="2110"/>
      <c r="AZ254" s="2162"/>
      <c r="BA254" s="2209">
        <f>J254</f>
        <v>4608</v>
      </c>
      <c r="BB254" s="2209"/>
      <c r="BC254" s="2209"/>
      <c r="BD254" s="2160">
        <f t="shared" si="78"/>
        <v>4608</v>
      </c>
      <c r="BE254" s="2160">
        <f t="shared" si="79"/>
        <v>0</v>
      </c>
    </row>
    <row r="255" s="1990" customFormat="1" ht="36" customHeight="1" spans="1:57">
      <c r="A255" s="2166">
        <v>45943</v>
      </c>
      <c r="B255" s="2167" t="s">
        <v>1016</v>
      </c>
      <c r="C255" s="2168" t="s">
        <v>91</v>
      </c>
      <c r="D255" s="2169">
        <v>4500181735</v>
      </c>
      <c r="E255" s="2170" t="s">
        <v>1196</v>
      </c>
      <c r="F255" s="2169" t="s">
        <v>1197</v>
      </c>
      <c r="G255" s="2172" t="s">
        <v>94</v>
      </c>
      <c r="H255" s="2172" t="s">
        <v>94</v>
      </c>
      <c r="I255" s="2196" t="s">
        <v>55</v>
      </c>
      <c r="J255" s="2172">
        <v>3674</v>
      </c>
      <c r="K255" s="2184">
        <v>0</v>
      </c>
      <c r="L255" s="2185">
        <v>2</v>
      </c>
      <c r="M255" s="2186">
        <f t="shared" si="76"/>
        <v>1837</v>
      </c>
      <c r="N255" s="2187">
        <v>46008</v>
      </c>
      <c r="O255" s="2187">
        <v>46004</v>
      </c>
      <c r="P255" s="1467" t="s">
        <v>1190</v>
      </c>
      <c r="Q255" s="2197" t="s">
        <v>56</v>
      </c>
      <c r="R255" s="2197" t="s">
        <v>1198</v>
      </c>
      <c r="S255" s="1472" t="s">
        <v>1080</v>
      </c>
      <c r="T255" s="1467"/>
      <c r="U255" s="1467" t="s">
        <v>1081</v>
      </c>
      <c r="V255" s="2198" t="s">
        <v>1082</v>
      </c>
      <c r="W255" s="2199" t="s">
        <v>1092</v>
      </c>
      <c r="X255" s="2111" t="s">
        <v>101</v>
      </c>
      <c r="Y255" s="2200">
        <v>2.0648</v>
      </c>
      <c r="Z255" s="2201">
        <f t="shared" si="77"/>
        <v>7586.0752</v>
      </c>
      <c r="AA255" s="2202"/>
      <c r="AB255" s="2203">
        <v>3674</v>
      </c>
      <c r="AC255" s="2202">
        <f t="shared" si="80"/>
        <v>0</v>
      </c>
      <c r="AD255" s="1878" t="s">
        <v>81</v>
      </c>
      <c r="AE255" s="1468" t="s">
        <v>63</v>
      </c>
      <c r="AF255" s="1468" t="s">
        <v>38</v>
      </c>
      <c r="AG255" s="2197"/>
      <c r="AH255" s="2208">
        <f t="shared" si="83"/>
        <v>3674</v>
      </c>
      <c r="AI255" s="2208"/>
      <c r="AJ255" s="2209"/>
      <c r="AK255" s="2086"/>
      <c r="AL255" s="2110">
        <f t="shared" si="82"/>
        <v>3674</v>
      </c>
      <c r="AM255" s="2110"/>
      <c r="AN255" s="2086"/>
      <c r="AO255" s="2086"/>
      <c r="AP255" s="2086"/>
      <c r="AQ255" s="2086"/>
      <c r="AR255" s="2086"/>
      <c r="AS255" s="2162"/>
      <c r="AT255" s="2162"/>
      <c r="AU255" s="2162"/>
      <c r="AV255" s="2162"/>
      <c r="AW255" s="2110"/>
      <c r="AX255" s="2110"/>
      <c r="AY255" s="2110"/>
      <c r="AZ255" s="2162"/>
      <c r="BA255" s="2209">
        <f>J255</f>
        <v>3674</v>
      </c>
      <c r="BB255" s="2209"/>
      <c r="BC255" s="2209"/>
      <c r="BD255" s="2160">
        <f t="shared" si="78"/>
        <v>3674</v>
      </c>
      <c r="BE255" s="2160">
        <f t="shared" si="79"/>
        <v>0</v>
      </c>
    </row>
    <row r="256" s="1990" customFormat="1" ht="36" customHeight="1" spans="1:57">
      <c r="A256" s="2166">
        <v>45943</v>
      </c>
      <c r="B256" s="2167" t="s">
        <v>1016</v>
      </c>
      <c r="C256" s="2168" t="s">
        <v>91</v>
      </c>
      <c r="D256" s="2169">
        <v>4500181736</v>
      </c>
      <c r="E256" s="2329" t="s">
        <v>1199</v>
      </c>
      <c r="F256" s="2169" t="s">
        <v>1200</v>
      </c>
      <c r="G256" s="2172" t="s">
        <v>94</v>
      </c>
      <c r="H256" s="2172" t="s">
        <v>94</v>
      </c>
      <c r="I256" s="2196" t="s">
        <v>55</v>
      </c>
      <c r="J256" s="2172">
        <v>3884</v>
      </c>
      <c r="K256" s="2184">
        <v>0</v>
      </c>
      <c r="L256" s="2185">
        <v>2</v>
      </c>
      <c r="M256" s="2186">
        <f t="shared" si="76"/>
        <v>1942</v>
      </c>
      <c r="N256" s="2187">
        <v>46010</v>
      </c>
      <c r="O256" s="2187">
        <v>46006</v>
      </c>
      <c r="P256" s="1467" t="s">
        <v>1190</v>
      </c>
      <c r="Q256" s="2197" t="s">
        <v>56</v>
      </c>
      <c r="R256" s="2197" t="s">
        <v>161</v>
      </c>
      <c r="S256" s="1472" t="s">
        <v>1080</v>
      </c>
      <c r="T256" s="1467"/>
      <c r="U256" s="1467" t="s">
        <v>1081</v>
      </c>
      <c r="V256" s="2198" t="s">
        <v>1082</v>
      </c>
      <c r="W256" s="2199" t="s">
        <v>1092</v>
      </c>
      <c r="X256" s="2111" t="s">
        <v>101</v>
      </c>
      <c r="Y256" s="2200">
        <v>2.0648</v>
      </c>
      <c r="Z256" s="2201">
        <f t="shared" si="77"/>
        <v>8019.6832</v>
      </c>
      <c r="AA256" s="2202"/>
      <c r="AB256" s="2203">
        <f>1950+1934</f>
        <v>3884</v>
      </c>
      <c r="AC256" s="2202">
        <f t="shared" si="80"/>
        <v>0</v>
      </c>
      <c r="AD256" s="1878" t="s">
        <v>81</v>
      </c>
      <c r="AE256" s="1468" t="s">
        <v>63</v>
      </c>
      <c r="AF256" s="1468" t="s">
        <v>38</v>
      </c>
      <c r="AG256" s="2197"/>
      <c r="AH256" s="2208">
        <f t="shared" si="83"/>
        <v>3884</v>
      </c>
      <c r="AI256" s="2208"/>
      <c r="AJ256" s="2209"/>
      <c r="AK256" s="2086"/>
      <c r="AL256" s="2110">
        <f t="shared" si="82"/>
        <v>3884</v>
      </c>
      <c r="AM256" s="2110"/>
      <c r="AN256" s="2086"/>
      <c r="AO256" s="2086"/>
      <c r="AP256" s="2086"/>
      <c r="AQ256" s="2086"/>
      <c r="AR256" s="2086"/>
      <c r="AS256" s="2162"/>
      <c r="AT256" s="2162"/>
      <c r="AU256" s="2162"/>
      <c r="AV256" s="2162"/>
      <c r="AW256" s="2110"/>
      <c r="AX256" s="2110"/>
      <c r="AY256" s="2110"/>
      <c r="AZ256" s="2162"/>
      <c r="BA256" s="2209">
        <f>J256</f>
        <v>3884</v>
      </c>
      <c r="BB256" s="2209"/>
      <c r="BC256" s="2209"/>
      <c r="BD256" s="2160">
        <f t="shared" si="78"/>
        <v>3884</v>
      </c>
      <c r="BE256" s="2160">
        <f t="shared" si="79"/>
        <v>0</v>
      </c>
    </row>
    <row r="257" s="1990" customFormat="1" ht="36" customHeight="1" spans="1:57">
      <c r="A257" s="2166">
        <v>45946</v>
      </c>
      <c r="B257" s="2167" t="s">
        <v>1097</v>
      </c>
      <c r="C257" s="2168" t="s">
        <v>91</v>
      </c>
      <c r="D257" s="2169">
        <v>4500182100</v>
      </c>
      <c r="E257" s="2170" t="s">
        <v>1201</v>
      </c>
      <c r="F257" s="2169" t="s">
        <v>1202</v>
      </c>
      <c r="G257" s="2217" t="s">
        <v>1100</v>
      </c>
      <c r="H257" s="2172" t="s">
        <v>94</v>
      </c>
      <c r="I257" s="2196" t="s">
        <v>55</v>
      </c>
      <c r="J257" s="2172">
        <v>1800</v>
      </c>
      <c r="K257" s="2184">
        <v>0</v>
      </c>
      <c r="L257" s="2185">
        <v>2</v>
      </c>
      <c r="M257" s="2186">
        <f t="shared" si="76"/>
        <v>900</v>
      </c>
      <c r="N257" s="2187">
        <v>46009</v>
      </c>
      <c r="O257" s="2187">
        <v>46009</v>
      </c>
      <c r="P257" s="1467"/>
      <c r="Q257" s="2197" t="s">
        <v>215</v>
      </c>
      <c r="R257" s="2197" t="s">
        <v>1171</v>
      </c>
      <c r="S257" s="1472" t="s">
        <v>1102</v>
      </c>
      <c r="T257" s="1467"/>
      <c r="U257" s="1467" t="s">
        <v>58</v>
      </c>
      <c r="V257" s="2198" t="s">
        <v>1103</v>
      </c>
      <c r="W257" s="2199" t="s">
        <v>1104</v>
      </c>
      <c r="X257" s="2111" t="s">
        <v>1105</v>
      </c>
      <c r="Y257" s="2200">
        <v>2.1826</v>
      </c>
      <c r="Z257" s="2201">
        <f t="shared" si="77"/>
        <v>3928.68</v>
      </c>
      <c r="AA257" s="2202"/>
      <c r="AB257" s="2203">
        <v>1800</v>
      </c>
      <c r="AC257" s="2202">
        <f t="shared" si="80"/>
        <v>0</v>
      </c>
      <c r="AD257" s="1878" t="s">
        <v>58</v>
      </c>
      <c r="AE257" s="1468" t="s">
        <v>63</v>
      </c>
      <c r="AF257" s="1468" t="s">
        <v>38</v>
      </c>
      <c r="AG257" s="2197"/>
      <c r="AH257" s="2208">
        <f t="shared" si="83"/>
        <v>1800</v>
      </c>
      <c r="AI257" s="2208"/>
      <c r="AJ257" s="2209"/>
      <c r="AK257" s="2206"/>
      <c r="AL257" s="2110">
        <f t="shared" si="82"/>
        <v>1800</v>
      </c>
      <c r="AM257" s="2110"/>
      <c r="AN257" s="2206"/>
      <c r="AO257" s="2206"/>
      <c r="AP257" s="2206"/>
      <c r="AQ257" s="2206"/>
      <c r="AR257" s="2206"/>
      <c r="AS257" s="2213"/>
      <c r="AT257" s="2213"/>
      <c r="AU257" s="2213"/>
      <c r="AV257" s="2213"/>
      <c r="AW257" s="2110">
        <f>J257</f>
        <v>1800</v>
      </c>
      <c r="AX257" s="2110"/>
      <c r="AY257" s="2110"/>
      <c r="AZ257" s="2213"/>
      <c r="BA257" s="2209"/>
      <c r="BB257" s="2209"/>
      <c r="BC257" s="2209"/>
      <c r="BD257" s="2160">
        <f t="shared" si="78"/>
        <v>1800</v>
      </c>
      <c r="BE257" s="2160">
        <f t="shared" si="79"/>
        <v>0</v>
      </c>
    </row>
    <row r="258" s="1990" customFormat="1" ht="36" customHeight="1" spans="1:57">
      <c r="A258" s="2166">
        <v>45946</v>
      </c>
      <c r="B258" s="2167" t="s">
        <v>1097</v>
      </c>
      <c r="C258" s="2168" t="s">
        <v>91</v>
      </c>
      <c r="D258" s="2169">
        <v>4500182100</v>
      </c>
      <c r="E258" s="2170" t="s">
        <v>1203</v>
      </c>
      <c r="F258" s="2169" t="s">
        <v>1204</v>
      </c>
      <c r="G258" s="2217" t="s">
        <v>1100</v>
      </c>
      <c r="H258" s="2172" t="s">
        <v>94</v>
      </c>
      <c r="I258" s="2196" t="s">
        <v>55</v>
      </c>
      <c r="J258" s="2172">
        <v>1500</v>
      </c>
      <c r="K258" s="2184">
        <v>0</v>
      </c>
      <c r="L258" s="2185">
        <v>2</v>
      </c>
      <c r="M258" s="2186">
        <f t="shared" si="76"/>
        <v>750</v>
      </c>
      <c r="N258" s="2187">
        <v>46009</v>
      </c>
      <c r="O258" s="2187">
        <v>46009</v>
      </c>
      <c r="P258" s="1467"/>
      <c r="Q258" s="2197" t="s">
        <v>215</v>
      </c>
      <c r="R258" s="2197" t="s">
        <v>1171</v>
      </c>
      <c r="S258" s="1472" t="s">
        <v>1102</v>
      </c>
      <c r="T258" s="1467"/>
      <c r="U258" s="1467" t="s">
        <v>58</v>
      </c>
      <c r="V258" s="2198" t="s">
        <v>1103</v>
      </c>
      <c r="W258" s="2199" t="s">
        <v>1104</v>
      </c>
      <c r="X258" s="2111" t="s">
        <v>1105</v>
      </c>
      <c r="Y258" s="2200">
        <v>2.1826</v>
      </c>
      <c r="Z258" s="2201">
        <f t="shared" si="77"/>
        <v>3273.9</v>
      </c>
      <c r="AA258" s="2202"/>
      <c r="AB258" s="2203">
        <f>900+600</f>
        <v>1500</v>
      </c>
      <c r="AC258" s="2202">
        <f t="shared" si="80"/>
        <v>0</v>
      </c>
      <c r="AD258" s="1878" t="s">
        <v>58</v>
      </c>
      <c r="AE258" s="1468" t="s">
        <v>63</v>
      </c>
      <c r="AF258" s="1468" t="s">
        <v>38</v>
      </c>
      <c r="AG258" s="2197"/>
      <c r="AH258" s="2208">
        <f t="shared" si="83"/>
        <v>1500</v>
      </c>
      <c r="AI258" s="2208"/>
      <c r="AJ258" s="2209"/>
      <c r="AK258" s="2206"/>
      <c r="AL258" s="2110">
        <f t="shared" si="82"/>
        <v>1500</v>
      </c>
      <c r="AM258" s="2110"/>
      <c r="AN258" s="2206"/>
      <c r="AO258" s="2206"/>
      <c r="AP258" s="2206"/>
      <c r="AQ258" s="2206"/>
      <c r="AR258" s="2206"/>
      <c r="AS258" s="2213"/>
      <c r="AT258" s="2213"/>
      <c r="AU258" s="2213"/>
      <c r="AV258" s="2213"/>
      <c r="AW258" s="2110">
        <f>J258</f>
        <v>1500</v>
      </c>
      <c r="AX258" s="2110"/>
      <c r="AY258" s="2110"/>
      <c r="AZ258" s="2213"/>
      <c r="BA258" s="2209"/>
      <c r="BB258" s="2209"/>
      <c r="BC258" s="2209"/>
      <c r="BD258" s="2160">
        <f t="shared" si="78"/>
        <v>1500</v>
      </c>
      <c r="BE258" s="2160">
        <f t="shared" si="79"/>
        <v>0</v>
      </c>
    </row>
    <row r="259" s="1990" customFormat="1" ht="36" customHeight="1" spans="1:57">
      <c r="A259" s="2166">
        <v>45946</v>
      </c>
      <c r="B259" s="2167" t="s">
        <v>1097</v>
      </c>
      <c r="C259" s="2168" t="s">
        <v>91</v>
      </c>
      <c r="D259" s="2169">
        <v>4500182100</v>
      </c>
      <c r="E259" s="2170" t="s">
        <v>1205</v>
      </c>
      <c r="F259" s="2169" t="s">
        <v>1206</v>
      </c>
      <c r="G259" s="2217" t="s">
        <v>1100</v>
      </c>
      <c r="H259" s="2172" t="s">
        <v>94</v>
      </c>
      <c r="I259" s="2196" t="s">
        <v>55</v>
      </c>
      <c r="J259" s="2172">
        <v>1500</v>
      </c>
      <c r="K259" s="2184">
        <v>0</v>
      </c>
      <c r="L259" s="2185">
        <v>2</v>
      </c>
      <c r="M259" s="2186">
        <f t="shared" ref="M257:M284" si="84">J259/L259</f>
        <v>750</v>
      </c>
      <c r="N259" s="2187">
        <v>46009</v>
      </c>
      <c r="O259" s="2187">
        <v>46009</v>
      </c>
      <c r="P259" s="1467"/>
      <c r="Q259" s="2197" t="s">
        <v>215</v>
      </c>
      <c r="R259" s="2197" t="s">
        <v>1171</v>
      </c>
      <c r="S259" s="1472" t="s">
        <v>1102</v>
      </c>
      <c r="T259" s="1467"/>
      <c r="U259" s="1467" t="s">
        <v>58</v>
      </c>
      <c r="V259" s="2198" t="s">
        <v>1103</v>
      </c>
      <c r="W259" s="2199" t="s">
        <v>1104</v>
      </c>
      <c r="X259" s="2111" t="s">
        <v>1105</v>
      </c>
      <c r="Y259" s="2200">
        <v>2.1826</v>
      </c>
      <c r="Z259" s="2201">
        <f t="shared" ref="Z257:Z284" si="85">Y259*J259</f>
        <v>3273.9</v>
      </c>
      <c r="AA259" s="2202"/>
      <c r="AB259" s="2203">
        <v>1500</v>
      </c>
      <c r="AC259" s="2202">
        <f t="shared" ref="AC259:AC276" si="86">AB259-J259</f>
        <v>0</v>
      </c>
      <c r="AD259" s="1878" t="s">
        <v>58</v>
      </c>
      <c r="AE259" s="1468" t="s">
        <v>63</v>
      </c>
      <c r="AF259" s="1468" t="s">
        <v>38</v>
      </c>
      <c r="AG259" s="2197"/>
      <c r="AH259" s="2208">
        <f t="shared" ref="AH259:AH273" si="87">J259</f>
        <v>1500</v>
      </c>
      <c r="AI259" s="2208"/>
      <c r="AJ259" s="2209"/>
      <c r="AK259" s="2206"/>
      <c r="AL259" s="2110">
        <f t="shared" ref="AL259:AL275" si="88">J259</f>
        <v>1500</v>
      </c>
      <c r="AM259" s="2110"/>
      <c r="AN259" s="2206"/>
      <c r="AO259" s="2206"/>
      <c r="AP259" s="2206"/>
      <c r="AQ259" s="2206"/>
      <c r="AR259" s="2206"/>
      <c r="AS259" s="2213"/>
      <c r="AT259" s="2213"/>
      <c r="AU259" s="2213"/>
      <c r="AV259" s="2213"/>
      <c r="AW259" s="2110">
        <f t="shared" ref="AW259:AW273" si="89">J259</f>
        <v>1500</v>
      </c>
      <c r="AX259" s="2110"/>
      <c r="AY259" s="2110"/>
      <c r="AZ259" s="2213"/>
      <c r="BA259" s="2209"/>
      <c r="BB259" s="2209"/>
      <c r="BC259" s="2209"/>
      <c r="BD259" s="2160">
        <f t="shared" si="78"/>
        <v>1500</v>
      </c>
      <c r="BE259" s="2160">
        <f t="shared" si="79"/>
        <v>0</v>
      </c>
    </row>
    <row r="260" s="1990" customFormat="1" ht="36" customHeight="1" spans="1:57">
      <c r="A260" s="2166">
        <v>45946</v>
      </c>
      <c r="B260" s="2167" t="s">
        <v>1097</v>
      </c>
      <c r="C260" s="2168" t="s">
        <v>91</v>
      </c>
      <c r="D260" s="2169">
        <v>4500182100</v>
      </c>
      <c r="E260" s="2170" t="s">
        <v>1207</v>
      </c>
      <c r="F260" s="2169" t="s">
        <v>1208</v>
      </c>
      <c r="G260" s="2217" t="s">
        <v>1100</v>
      </c>
      <c r="H260" s="2172" t="s">
        <v>94</v>
      </c>
      <c r="I260" s="2196" t="s">
        <v>55</v>
      </c>
      <c r="J260" s="2172">
        <v>2000</v>
      </c>
      <c r="K260" s="2184">
        <v>0</v>
      </c>
      <c r="L260" s="2185">
        <v>2</v>
      </c>
      <c r="M260" s="2186">
        <f t="shared" si="84"/>
        <v>1000</v>
      </c>
      <c r="N260" s="2187">
        <v>46009</v>
      </c>
      <c r="O260" s="2187">
        <v>46009</v>
      </c>
      <c r="P260" s="1467"/>
      <c r="Q260" s="2197" t="s">
        <v>215</v>
      </c>
      <c r="R260" s="2197" t="s">
        <v>1171</v>
      </c>
      <c r="S260" s="1472" t="s">
        <v>1102</v>
      </c>
      <c r="T260" s="1467"/>
      <c r="U260" s="1467" t="s">
        <v>58</v>
      </c>
      <c r="V260" s="2198" t="s">
        <v>1103</v>
      </c>
      <c r="W260" s="2199" t="s">
        <v>1104</v>
      </c>
      <c r="X260" s="2111" t="s">
        <v>1105</v>
      </c>
      <c r="Y260" s="2200">
        <v>2.1826</v>
      </c>
      <c r="Z260" s="2201">
        <f t="shared" si="85"/>
        <v>4365.2</v>
      </c>
      <c r="AA260" s="2202"/>
      <c r="AB260" s="2203">
        <v>2000</v>
      </c>
      <c r="AC260" s="2202">
        <f t="shared" si="86"/>
        <v>0</v>
      </c>
      <c r="AD260" s="1878" t="s">
        <v>58</v>
      </c>
      <c r="AE260" s="1468" t="s">
        <v>63</v>
      </c>
      <c r="AF260" s="1468" t="s">
        <v>38</v>
      </c>
      <c r="AG260" s="2197"/>
      <c r="AH260" s="2208">
        <f t="shared" si="87"/>
        <v>2000</v>
      </c>
      <c r="AI260" s="2208"/>
      <c r="AJ260" s="2209"/>
      <c r="AK260" s="2206"/>
      <c r="AL260" s="2110">
        <f t="shared" si="88"/>
        <v>2000</v>
      </c>
      <c r="AM260" s="2110"/>
      <c r="AN260" s="2206"/>
      <c r="AO260" s="2206"/>
      <c r="AP260" s="2206"/>
      <c r="AQ260" s="2206"/>
      <c r="AR260" s="2206"/>
      <c r="AS260" s="2213"/>
      <c r="AT260" s="2213"/>
      <c r="AU260" s="2213"/>
      <c r="AV260" s="2213"/>
      <c r="AW260" s="2110">
        <f t="shared" si="89"/>
        <v>2000</v>
      </c>
      <c r="AX260" s="2110"/>
      <c r="AY260" s="2110"/>
      <c r="AZ260" s="2213"/>
      <c r="BA260" s="2209"/>
      <c r="BB260" s="2209"/>
      <c r="BC260" s="2209"/>
      <c r="BD260" s="2160">
        <f t="shared" si="78"/>
        <v>2000</v>
      </c>
      <c r="BE260" s="2160">
        <f t="shared" si="79"/>
        <v>0</v>
      </c>
    </row>
    <row r="261" s="1990" customFormat="1" ht="36" customHeight="1" spans="1:57">
      <c r="A261" s="2166">
        <v>45946</v>
      </c>
      <c r="B261" s="2167" t="s">
        <v>1097</v>
      </c>
      <c r="C261" s="2168" t="s">
        <v>91</v>
      </c>
      <c r="D261" s="2169">
        <v>4500182100</v>
      </c>
      <c r="E261" s="2170" t="s">
        <v>1209</v>
      </c>
      <c r="F261" s="2169" t="s">
        <v>1210</v>
      </c>
      <c r="G261" s="2217" t="s">
        <v>1100</v>
      </c>
      <c r="H261" s="2172" t="s">
        <v>94</v>
      </c>
      <c r="I261" s="2196" t="s">
        <v>55</v>
      </c>
      <c r="J261" s="2172">
        <v>1200</v>
      </c>
      <c r="K261" s="2184">
        <v>0</v>
      </c>
      <c r="L261" s="2185">
        <v>2</v>
      </c>
      <c r="M261" s="2186">
        <f t="shared" si="84"/>
        <v>600</v>
      </c>
      <c r="N261" s="2187">
        <v>46009</v>
      </c>
      <c r="O261" s="2187">
        <v>46009</v>
      </c>
      <c r="P261" s="1467"/>
      <c r="Q261" s="2197" t="s">
        <v>215</v>
      </c>
      <c r="R261" s="2197" t="s">
        <v>1171</v>
      </c>
      <c r="S261" s="1472" t="s">
        <v>1102</v>
      </c>
      <c r="T261" s="1467"/>
      <c r="U261" s="1467" t="s">
        <v>58</v>
      </c>
      <c r="V261" s="2198" t="s">
        <v>1103</v>
      </c>
      <c r="W261" s="2199" t="s">
        <v>1104</v>
      </c>
      <c r="X261" s="2111" t="s">
        <v>1105</v>
      </c>
      <c r="Y261" s="2200">
        <v>2.1826</v>
      </c>
      <c r="Z261" s="2201">
        <f t="shared" si="85"/>
        <v>2619.12</v>
      </c>
      <c r="AA261" s="2202"/>
      <c r="AB261" s="2203">
        <v>1200</v>
      </c>
      <c r="AC261" s="2202">
        <f t="shared" si="86"/>
        <v>0</v>
      </c>
      <c r="AD261" s="1878" t="s">
        <v>58</v>
      </c>
      <c r="AE261" s="1468" t="s">
        <v>63</v>
      </c>
      <c r="AF261" s="1468" t="s">
        <v>38</v>
      </c>
      <c r="AG261" s="2197"/>
      <c r="AH261" s="2208">
        <f t="shared" si="87"/>
        <v>1200</v>
      </c>
      <c r="AI261" s="2208"/>
      <c r="AJ261" s="2209"/>
      <c r="AK261" s="2206"/>
      <c r="AL261" s="2110">
        <f t="shared" si="88"/>
        <v>1200</v>
      </c>
      <c r="AM261" s="2110"/>
      <c r="AN261" s="2206"/>
      <c r="AO261" s="2206"/>
      <c r="AP261" s="2206"/>
      <c r="AQ261" s="2206"/>
      <c r="AR261" s="2206"/>
      <c r="AS261" s="2213"/>
      <c r="AT261" s="2213"/>
      <c r="AU261" s="2213"/>
      <c r="AV261" s="2213"/>
      <c r="AW261" s="2110">
        <f t="shared" si="89"/>
        <v>1200</v>
      </c>
      <c r="AX261" s="2110"/>
      <c r="AY261" s="2110"/>
      <c r="AZ261" s="2213"/>
      <c r="BA261" s="2209"/>
      <c r="BB261" s="2209"/>
      <c r="BC261" s="2209"/>
      <c r="BD261" s="2160">
        <f t="shared" si="78"/>
        <v>1200</v>
      </c>
      <c r="BE261" s="2160">
        <f t="shared" si="79"/>
        <v>0</v>
      </c>
    </row>
    <row r="262" s="1990" customFormat="1" ht="36" customHeight="1" spans="1:57">
      <c r="A262" s="2166">
        <v>45946</v>
      </c>
      <c r="B262" s="2167" t="s">
        <v>1097</v>
      </c>
      <c r="C262" s="2168" t="s">
        <v>91</v>
      </c>
      <c r="D262" s="2169">
        <v>4500182100</v>
      </c>
      <c r="E262" s="2170" t="s">
        <v>1211</v>
      </c>
      <c r="F262" s="2169" t="s">
        <v>1212</v>
      </c>
      <c r="G262" s="2217" t="s">
        <v>1100</v>
      </c>
      <c r="H262" s="2172" t="s">
        <v>94</v>
      </c>
      <c r="I262" s="2196" t="s">
        <v>55</v>
      </c>
      <c r="J262" s="2172">
        <v>1000</v>
      </c>
      <c r="K262" s="2184">
        <v>0</v>
      </c>
      <c r="L262" s="2185">
        <v>2</v>
      </c>
      <c r="M262" s="2186">
        <f t="shared" si="84"/>
        <v>500</v>
      </c>
      <c r="N262" s="2187">
        <v>46009</v>
      </c>
      <c r="O262" s="2187">
        <v>46009</v>
      </c>
      <c r="P262" s="1467"/>
      <c r="Q262" s="2197" t="s">
        <v>215</v>
      </c>
      <c r="R262" s="2197" t="s">
        <v>1171</v>
      </c>
      <c r="S262" s="1472" t="s">
        <v>1102</v>
      </c>
      <c r="T262" s="1467"/>
      <c r="U262" s="1467" t="s">
        <v>58</v>
      </c>
      <c r="V262" s="2198" t="s">
        <v>1103</v>
      </c>
      <c r="W262" s="2199" t="s">
        <v>1104</v>
      </c>
      <c r="X262" s="2111" t="s">
        <v>1105</v>
      </c>
      <c r="Y262" s="2200">
        <v>2.3957</v>
      </c>
      <c r="Z262" s="2201">
        <f t="shared" si="85"/>
        <v>2395.7</v>
      </c>
      <c r="AA262" s="2202"/>
      <c r="AB262" s="2203">
        <v>1000</v>
      </c>
      <c r="AC262" s="2202">
        <f t="shared" si="86"/>
        <v>0</v>
      </c>
      <c r="AD262" s="1878" t="s">
        <v>58</v>
      </c>
      <c r="AE262" s="1468" t="s">
        <v>63</v>
      </c>
      <c r="AF262" s="1468" t="s">
        <v>38</v>
      </c>
      <c r="AG262" s="2197"/>
      <c r="AH262" s="2208">
        <f t="shared" si="87"/>
        <v>1000</v>
      </c>
      <c r="AI262" s="2208"/>
      <c r="AJ262" s="2209"/>
      <c r="AK262" s="2206"/>
      <c r="AL262" s="2110">
        <f t="shared" si="88"/>
        <v>1000</v>
      </c>
      <c r="AM262" s="2110"/>
      <c r="AN262" s="2206"/>
      <c r="AO262" s="2206"/>
      <c r="AP262" s="2206"/>
      <c r="AQ262" s="2206"/>
      <c r="AR262" s="2206"/>
      <c r="AS262" s="2213"/>
      <c r="AT262" s="2213"/>
      <c r="AU262" s="2213"/>
      <c r="AV262" s="2213"/>
      <c r="AW262" s="2110">
        <f t="shared" si="89"/>
        <v>1000</v>
      </c>
      <c r="AX262" s="2110"/>
      <c r="AY262" s="2110"/>
      <c r="AZ262" s="2213"/>
      <c r="BA262" s="2209"/>
      <c r="BB262" s="2209"/>
      <c r="BC262" s="2209"/>
      <c r="BD262" s="2160">
        <f t="shared" si="78"/>
        <v>1000</v>
      </c>
      <c r="BE262" s="2160">
        <f t="shared" si="79"/>
        <v>0</v>
      </c>
    </row>
    <row r="263" s="1990" customFormat="1" ht="36" customHeight="1" spans="1:57">
      <c r="A263" s="2166">
        <v>45946</v>
      </c>
      <c r="B263" s="2167" t="s">
        <v>1097</v>
      </c>
      <c r="C263" s="2168" t="s">
        <v>91</v>
      </c>
      <c r="D263" s="2169">
        <v>4500182100</v>
      </c>
      <c r="E263" s="2170" t="s">
        <v>1213</v>
      </c>
      <c r="F263" s="2169" t="s">
        <v>1214</v>
      </c>
      <c r="G263" s="2217" t="s">
        <v>1100</v>
      </c>
      <c r="H263" s="2172" t="s">
        <v>94</v>
      </c>
      <c r="I263" s="2196" t="s">
        <v>55</v>
      </c>
      <c r="J263" s="2172">
        <v>1500</v>
      </c>
      <c r="K263" s="2184">
        <v>0</v>
      </c>
      <c r="L263" s="2185">
        <v>2</v>
      </c>
      <c r="M263" s="2186">
        <f t="shared" si="84"/>
        <v>750</v>
      </c>
      <c r="N263" s="2187">
        <v>46009</v>
      </c>
      <c r="O263" s="2187">
        <v>46009</v>
      </c>
      <c r="P263" s="1467"/>
      <c r="Q263" s="2197" t="s">
        <v>215</v>
      </c>
      <c r="R263" s="2197" t="s">
        <v>1171</v>
      </c>
      <c r="S263" s="1472" t="s">
        <v>1102</v>
      </c>
      <c r="T263" s="1467"/>
      <c r="U263" s="1467" t="s">
        <v>58</v>
      </c>
      <c r="V263" s="2198" t="s">
        <v>1103</v>
      </c>
      <c r="W263" s="2199" t="s">
        <v>1104</v>
      </c>
      <c r="X263" s="2111" t="s">
        <v>1105</v>
      </c>
      <c r="Y263" s="2200">
        <v>2.1826</v>
      </c>
      <c r="Z263" s="2201">
        <f t="shared" si="85"/>
        <v>3273.9</v>
      </c>
      <c r="AA263" s="2202"/>
      <c r="AB263" s="2203">
        <v>1500</v>
      </c>
      <c r="AC263" s="2202">
        <f t="shared" si="86"/>
        <v>0</v>
      </c>
      <c r="AD263" s="1878" t="s">
        <v>58</v>
      </c>
      <c r="AE263" s="1468" t="s">
        <v>63</v>
      </c>
      <c r="AF263" s="1468" t="s">
        <v>38</v>
      </c>
      <c r="AG263" s="2197"/>
      <c r="AH263" s="2208">
        <f t="shared" si="87"/>
        <v>1500</v>
      </c>
      <c r="AI263" s="2208"/>
      <c r="AJ263" s="2209"/>
      <c r="AK263" s="2206"/>
      <c r="AL263" s="2110">
        <f t="shared" si="88"/>
        <v>1500</v>
      </c>
      <c r="AM263" s="2110"/>
      <c r="AN263" s="2206"/>
      <c r="AO263" s="2206"/>
      <c r="AP263" s="2206"/>
      <c r="AQ263" s="2206"/>
      <c r="AR263" s="2206"/>
      <c r="AS263" s="2213"/>
      <c r="AT263" s="2213"/>
      <c r="AU263" s="2213"/>
      <c r="AV263" s="2213"/>
      <c r="AW263" s="2110">
        <f t="shared" si="89"/>
        <v>1500</v>
      </c>
      <c r="AX263" s="2110"/>
      <c r="AY263" s="2110"/>
      <c r="AZ263" s="2213"/>
      <c r="BA263" s="2209"/>
      <c r="BB263" s="2209"/>
      <c r="BC263" s="2209"/>
      <c r="BD263" s="2160">
        <f t="shared" si="78"/>
        <v>1500</v>
      </c>
      <c r="BE263" s="2160">
        <f t="shared" si="79"/>
        <v>0</v>
      </c>
    </row>
    <row r="264" s="1990" customFormat="1" ht="36" customHeight="1" spans="1:57">
      <c r="A264" s="2166">
        <v>45946</v>
      </c>
      <c r="B264" s="2167" t="s">
        <v>1097</v>
      </c>
      <c r="C264" s="2168" t="s">
        <v>91</v>
      </c>
      <c r="D264" s="2169">
        <v>4500182100</v>
      </c>
      <c r="E264" s="2170" t="s">
        <v>1215</v>
      </c>
      <c r="F264" s="2169" t="s">
        <v>1216</v>
      </c>
      <c r="G264" s="2217" t="s">
        <v>1100</v>
      </c>
      <c r="H264" s="2172" t="s">
        <v>94</v>
      </c>
      <c r="I264" s="2196" t="s">
        <v>55</v>
      </c>
      <c r="J264" s="2172">
        <v>2400</v>
      </c>
      <c r="K264" s="2184">
        <v>0</v>
      </c>
      <c r="L264" s="2185">
        <v>2</v>
      </c>
      <c r="M264" s="2186">
        <f t="shared" si="84"/>
        <v>1200</v>
      </c>
      <c r="N264" s="2187">
        <v>46009</v>
      </c>
      <c r="O264" s="2187">
        <v>46009</v>
      </c>
      <c r="P264" s="1467"/>
      <c r="Q264" s="2197" t="s">
        <v>215</v>
      </c>
      <c r="R264" s="2197" t="s">
        <v>1171</v>
      </c>
      <c r="S264" s="1472" t="s">
        <v>1102</v>
      </c>
      <c r="T264" s="1467"/>
      <c r="U264" s="1467" t="s">
        <v>58</v>
      </c>
      <c r="V264" s="2198" t="s">
        <v>1103</v>
      </c>
      <c r="W264" s="2199" t="s">
        <v>1104</v>
      </c>
      <c r="X264" s="2111" t="s">
        <v>1105</v>
      </c>
      <c r="Y264" s="2200">
        <v>2.1305</v>
      </c>
      <c r="Z264" s="2201">
        <f t="shared" si="85"/>
        <v>5113.2</v>
      </c>
      <c r="AA264" s="2202"/>
      <c r="AB264" s="2203">
        <v>2400</v>
      </c>
      <c r="AC264" s="2202">
        <f t="shared" si="86"/>
        <v>0</v>
      </c>
      <c r="AD264" s="1878" t="s">
        <v>58</v>
      </c>
      <c r="AE264" s="1468" t="s">
        <v>63</v>
      </c>
      <c r="AF264" s="1468" t="s">
        <v>38</v>
      </c>
      <c r="AG264" s="2197"/>
      <c r="AH264" s="2208">
        <f t="shared" si="87"/>
        <v>2400</v>
      </c>
      <c r="AI264" s="2208"/>
      <c r="AJ264" s="2209"/>
      <c r="AK264" s="2206"/>
      <c r="AL264" s="2110">
        <f t="shared" si="88"/>
        <v>2400</v>
      </c>
      <c r="AM264" s="2110"/>
      <c r="AN264" s="2206"/>
      <c r="AO264" s="2206"/>
      <c r="AP264" s="2206"/>
      <c r="AQ264" s="2206"/>
      <c r="AR264" s="2206"/>
      <c r="AS264" s="2213"/>
      <c r="AT264" s="2213"/>
      <c r="AU264" s="2213"/>
      <c r="AV264" s="2213"/>
      <c r="AW264" s="2110">
        <f t="shared" si="89"/>
        <v>2400</v>
      </c>
      <c r="AX264" s="2110"/>
      <c r="AY264" s="2110"/>
      <c r="AZ264" s="2213"/>
      <c r="BA264" s="2209"/>
      <c r="BB264" s="2209"/>
      <c r="BC264" s="2209"/>
      <c r="BD264" s="2160">
        <f t="shared" si="78"/>
        <v>2400</v>
      </c>
      <c r="BE264" s="2160">
        <f t="shared" si="79"/>
        <v>0</v>
      </c>
    </row>
    <row r="265" s="1990" customFormat="1" ht="36" customHeight="1" spans="1:57">
      <c r="A265" s="2166">
        <v>45946</v>
      </c>
      <c r="B265" s="2167" t="s">
        <v>1097</v>
      </c>
      <c r="C265" s="2168" t="s">
        <v>91</v>
      </c>
      <c r="D265" s="2169">
        <v>4500182100</v>
      </c>
      <c r="E265" s="2170" t="s">
        <v>1217</v>
      </c>
      <c r="F265" s="2169" t="s">
        <v>1218</v>
      </c>
      <c r="G265" s="2217" t="s">
        <v>1100</v>
      </c>
      <c r="H265" s="2172" t="s">
        <v>94</v>
      </c>
      <c r="I265" s="2196" t="s">
        <v>55</v>
      </c>
      <c r="J265" s="2172">
        <v>1300</v>
      </c>
      <c r="K265" s="2184">
        <v>0</v>
      </c>
      <c r="L265" s="2185">
        <v>2</v>
      </c>
      <c r="M265" s="2186">
        <f t="shared" si="84"/>
        <v>650</v>
      </c>
      <c r="N265" s="2187">
        <v>46009</v>
      </c>
      <c r="O265" s="2187">
        <v>46009</v>
      </c>
      <c r="P265" s="1467"/>
      <c r="Q265" s="2197" t="s">
        <v>215</v>
      </c>
      <c r="R265" s="2197" t="s">
        <v>1171</v>
      </c>
      <c r="S265" s="1472" t="s">
        <v>1102</v>
      </c>
      <c r="T265" s="1467"/>
      <c r="U265" s="1467" t="s">
        <v>58</v>
      </c>
      <c r="V265" s="2198" t="s">
        <v>1103</v>
      </c>
      <c r="W265" s="2199" t="s">
        <v>1104</v>
      </c>
      <c r="X265" s="2111" t="s">
        <v>1105</v>
      </c>
      <c r="Y265" s="2200">
        <v>2.1826</v>
      </c>
      <c r="Z265" s="2201">
        <f t="shared" si="85"/>
        <v>2837.38</v>
      </c>
      <c r="AA265" s="2202"/>
      <c r="AB265" s="2203">
        <v>1300</v>
      </c>
      <c r="AC265" s="2202">
        <f t="shared" si="86"/>
        <v>0</v>
      </c>
      <c r="AD265" s="1878" t="s">
        <v>58</v>
      </c>
      <c r="AE265" s="1468" t="s">
        <v>63</v>
      </c>
      <c r="AF265" s="1468" t="s">
        <v>38</v>
      </c>
      <c r="AG265" s="2197"/>
      <c r="AH265" s="2208">
        <f t="shared" si="87"/>
        <v>1300</v>
      </c>
      <c r="AI265" s="2208"/>
      <c r="AJ265" s="2209"/>
      <c r="AK265" s="2206"/>
      <c r="AL265" s="2110">
        <f t="shared" si="88"/>
        <v>1300</v>
      </c>
      <c r="AM265" s="2110"/>
      <c r="AN265" s="2206"/>
      <c r="AO265" s="2206"/>
      <c r="AP265" s="2206"/>
      <c r="AQ265" s="2206"/>
      <c r="AR265" s="2206"/>
      <c r="AS265" s="2213"/>
      <c r="AT265" s="2213"/>
      <c r="AU265" s="2213"/>
      <c r="AV265" s="2213"/>
      <c r="AW265" s="2110">
        <f t="shared" si="89"/>
        <v>1300</v>
      </c>
      <c r="AX265" s="2110"/>
      <c r="AY265" s="2110"/>
      <c r="AZ265" s="2213"/>
      <c r="BA265" s="2209"/>
      <c r="BB265" s="2209"/>
      <c r="BC265" s="2209"/>
      <c r="BD265" s="2160">
        <f t="shared" si="78"/>
        <v>1300</v>
      </c>
      <c r="BE265" s="2160">
        <f t="shared" si="79"/>
        <v>0</v>
      </c>
    </row>
    <row r="266" s="1990" customFormat="1" ht="36" customHeight="1" spans="1:57">
      <c r="A266" s="2166">
        <v>45946</v>
      </c>
      <c r="B266" s="2167" t="s">
        <v>1097</v>
      </c>
      <c r="C266" s="2168" t="s">
        <v>91</v>
      </c>
      <c r="D266" s="2169">
        <v>4500182100</v>
      </c>
      <c r="E266" s="2170" t="s">
        <v>1219</v>
      </c>
      <c r="F266" s="2169" t="s">
        <v>1220</v>
      </c>
      <c r="G266" s="2217" t="s">
        <v>1100</v>
      </c>
      <c r="H266" s="2172" t="s">
        <v>94</v>
      </c>
      <c r="I266" s="2196" t="s">
        <v>55</v>
      </c>
      <c r="J266" s="2172">
        <v>1800</v>
      </c>
      <c r="K266" s="2184">
        <v>0</v>
      </c>
      <c r="L266" s="2185">
        <v>2</v>
      </c>
      <c r="M266" s="2186">
        <f t="shared" si="84"/>
        <v>900</v>
      </c>
      <c r="N266" s="2187">
        <v>46009</v>
      </c>
      <c r="O266" s="2187">
        <v>46009</v>
      </c>
      <c r="P266" s="1467"/>
      <c r="Q266" s="2197" t="s">
        <v>215</v>
      </c>
      <c r="R266" s="2197" t="s">
        <v>1171</v>
      </c>
      <c r="S266" s="1472" t="s">
        <v>1102</v>
      </c>
      <c r="T266" s="1467"/>
      <c r="U266" s="1467" t="s">
        <v>58</v>
      </c>
      <c r="V266" s="2198" t="s">
        <v>1103</v>
      </c>
      <c r="W266" s="2199" t="s">
        <v>1104</v>
      </c>
      <c r="X266" s="2111" t="s">
        <v>1105</v>
      </c>
      <c r="Y266" s="2200">
        <v>2.1826</v>
      </c>
      <c r="Z266" s="2201">
        <f t="shared" si="85"/>
        <v>3928.68</v>
      </c>
      <c r="AA266" s="2202"/>
      <c r="AB266" s="2203">
        <f>450+1350</f>
        <v>1800</v>
      </c>
      <c r="AC266" s="2202">
        <f t="shared" si="86"/>
        <v>0</v>
      </c>
      <c r="AD266" s="1878" t="s">
        <v>58</v>
      </c>
      <c r="AE266" s="1468" t="s">
        <v>63</v>
      </c>
      <c r="AF266" s="1468" t="s">
        <v>38</v>
      </c>
      <c r="AG266" s="2197"/>
      <c r="AH266" s="2208">
        <f t="shared" si="87"/>
        <v>1800</v>
      </c>
      <c r="AI266" s="2208"/>
      <c r="AJ266" s="2209"/>
      <c r="AK266" s="2206"/>
      <c r="AL266" s="2110">
        <f t="shared" si="88"/>
        <v>1800</v>
      </c>
      <c r="AM266" s="2110"/>
      <c r="AN266" s="2206"/>
      <c r="AO266" s="2206"/>
      <c r="AP266" s="2206"/>
      <c r="AQ266" s="2206"/>
      <c r="AR266" s="2206"/>
      <c r="AS266" s="2213"/>
      <c r="AT266" s="2213"/>
      <c r="AU266" s="2213"/>
      <c r="AV266" s="2213"/>
      <c r="AW266" s="2110">
        <f t="shared" si="89"/>
        <v>1800</v>
      </c>
      <c r="AX266" s="2110"/>
      <c r="AY266" s="2110"/>
      <c r="AZ266" s="2213"/>
      <c r="BA266" s="2209"/>
      <c r="BB266" s="2209"/>
      <c r="BC266" s="2209"/>
      <c r="BD266" s="2160">
        <f t="shared" si="78"/>
        <v>1800</v>
      </c>
      <c r="BE266" s="2160">
        <f t="shared" si="79"/>
        <v>0</v>
      </c>
    </row>
    <row r="267" s="1990" customFormat="1" ht="36" customHeight="1" spans="1:57">
      <c r="A267" s="2166">
        <v>45946</v>
      </c>
      <c r="B267" s="2167" t="s">
        <v>1097</v>
      </c>
      <c r="C267" s="2168" t="s">
        <v>91</v>
      </c>
      <c r="D267" s="2169">
        <v>4500182100</v>
      </c>
      <c r="E267" s="2170" t="s">
        <v>1221</v>
      </c>
      <c r="F267" s="2169" t="s">
        <v>1222</v>
      </c>
      <c r="G267" s="2217" t="s">
        <v>1100</v>
      </c>
      <c r="H267" s="2172" t="s">
        <v>94</v>
      </c>
      <c r="I267" s="2196" t="s">
        <v>55</v>
      </c>
      <c r="J267" s="2172">
        <v>3000</v>
      </c>
      <c r="K267" s="2184">
        <v>0</v>
      </c>
      <c r="L267" s="2185">
        <v>2</v>
      </c>
      <c r="M267" s="2186">
        <f t="shared" si="84"/>
        <v>1500</v>
      </c>
      <c r="N267" s="2187">
        <v>46009</v>
      </c>
      <c r="O267" s="2187">
        <v>46009</v>
      </c>
      <c r="P267" s="1467"/>
      <c r="Q267" s="2197" t="s">
        <v>215</v>
      </c>
      <c r="R267" s="2197" t="s">
        <v>1171</v>
      </c>
      <c r="S267" s="1472" t="s">
        <v>1102</v>
      </c>
      <c r="T267" s="1467"/>
      <c r="U267" s="1467" t="s">
        <v>58</v>
      </c>
      <c r="V267" s="2198" t="s">
        <v>1103</v>
      </c>
      <c r="W267" s="2199" t="s">
        <v>1104</v>
      </c>
      <c r="X267" s="2111" t="s">
        <v>1105</v>
      </c>
      <c r="Y267" s="2200">
        <v>2.1305</v>
      </c>
      <c r="Z267" s="2201">
        <f t="shared" si="85"/>
        <v>6391.5</v>
      </c>
      <c r="AA267" s="2202"/>
      <c r="AB267" s="2203">
        <v>3000</v>
      </c>
      <c r="AC267" s="2202">
        <f t="shared" si="86"/>
        <v>0</v>
      </c>
      <c r="AD267" s="1878" t="s">
        <v>58</v>
      </c>
      <c r="AE267" s="1468" t="s">
        <v>63</v>
      </c>
      <c r="AF267" s="1468" t="s">
        <v>38</v>
      </c>
      <c r="AG267" s="2197"/>
      <c r="AH267" s="2208">
        <f t="shared" si="87"/>
        <v>3000</v>
      </c>
      <c r="AI267" s="2208"/>
      <c r="AJ267" s="2209"/>
      <c r="AK267" s="2206"/>
      <c r="AL267" s="2110">
        <f t="shared" si="88"/>
        <v>3000</v>
      </c>
      <c r="AM267" s="2110"/>
      <c r="AN267" s="2206"/>
      <c r="AO267" s="2206"/>
      <c r="AP267" s="2206"/>
      <c r="AQ267" s="2206"/>
      <c r="AR267" s="2206"/>
      <c r="AS267" s="2213"/>
      <c r="AT267" s="2213"/>
      <c r="AU267" s="2213"/>
      <c r="AV267" s="2213"/>
      <c r="AW267" s="2110">
        <f t="shared" si="89"/>
        <v>3000</v>
      </c>
      <c r="AX267" s="2110"/>
      <c r="AY267" s="2110"/>
      <c r="AZ267" s="2213"/>
      <c r="BA267" s="2209"/>
      <c r="BB267" s="2209"/>
      <c r="BC267" s="2209"/>
      <c r="BD267" s="2160">
        <f t="shared" si="78"/>
        <v>3000</v>
      </c>
      <c r="BE267" s="2160">
        <f t="shared" si="79"/>
        <v>0</v>
      </c>
    </row>
    <row r="268" s="1990" customFormat="1" ht="36" customHeight="1" spans="1:57">
      <c r="A268" s="2166">
        <v>45946</v>
      </c>
      <c r="B268" s="2167" t="s">
        <v>1097</v>
      </c>
      <c r="C268" s="2168" t="s">
        <v>91</v>
      </c>
      <c r="D268" s="2169">
        <v>4500182100</v>
      </c>
      <c r="E268" s="2170" t="s">
        <v>1223</v>
      </c>
      <c r="F268" s="2169" t="s">
        <v>1224</v>
      </c>
      <c r="G268" s="2217" t="s">
        <v>1100</v>
      </c>
      <c r="H268" s="2172" t="s">
        <v>94</v>
      </c>
      <c r="I268" s="2196" t="s">
        <v>55</v>
      </c>
      <c r="J268" s="2172">
        <v>1600</v>
      </c>
      <c r="K268" s="2184">
        <v>0</v>
      </c>
      <c r="L268" s="2185">
        <v>2</v>
      </c>
      <c r="M268" s="2186">
        <f t="shared" si="84"/>
        <v>800</v>
      </c>
      <c r="N268" s="2187">
        <v>46009</v>
      </c>
      <c r="O268" s="2187">
        <v>46009</v>
      </c>
      <c r="P268" s="1467"/>
      <c r="Q268" s="2197" t="s">
        <v>215</v>
      </c>
      <c r="R268" s="2197" t="s">
        <v>1171</v>
      </c>
      <c r="S268" s="1472" t="s">
        <v>1102</v>
      </c>
      <c r="T268" s="1467"/>
      <c r="U268" s="1467" t="s">
        <v>58</v>
      </c>
      <c r="V268" s="2198" t="s">
        <v>1103</v>
      </c>
      <c r="W268" s="2199" t="s">
        <v>1104</v>
      </c>
      <c r="X268" s="2111" t="s">
        <v>1105</v>
      </c>
      <c r="Y268" s="2200">
        <v>2.1826</v>
      </c>
      <c r="Z268" s="2201">
        <f t="shared" si="85"/>
        <v>3492.16</v>
      </c>
      <c r="AA268" s="2202"/>
      <c r="AB268" s="2203">
        <f>1452+148</f>
        <v>1600</v>
      </c>
      <c r="AC268" s="2202">
        <f t="shared" si="86"/>
        <v>0</v>
      </c>
      <c r="AD268" s="1878" t="s">
        <v>58</v>
      </c>
      <c r="AE268" s="1468" t="s">
        <v>63</v>
      </c>
      <c r="AF268" s="1468" t="s">
        <v>38</v>
      </c>
      <c r="AG268" s="2197"/>
      <c r="AH268" s="2208">
        <f t="shared" si="87"/>
        <v>1600</v>
      </c>
      <c r="AI268" s="2208"/>
      <c r="AJ268" s="2209"/>
      <c r="AK268" s="2206"/>
      <c r="AL268" s="2110">
        <f t="shared" si="88"/>
        <v>1600</v>
      </c>
      <c r="AM268" s="2110"/>
      <c r="AN268" s="2206"/>
      <c r="AO268" s="2206"/>
      <c r="AP268" s="2206"/>
      <c r="AQ268" s="2206"/>
      <c r="AR268" s="2206"/>
      <c r="AS268" s="2213"/>
      <c r="AT268" s="2213"/>
      <c r="AU268" s="2213"/>
      <c r="AV268" s="2213"/>
      <c r="AW268" s="2110">
        <f t="shared" si="89"/>
        <v>1600</v>
      </c>
      <c r="AX268" s="2110"/>
      <c r="AY268" s="2110"/>
      <c r="AZ268" s="2213"/>
      <c r="BA268" s="2209"/>
      <c r="BB268" s="2209"/>
      <c r="BC268" s="2209"/>
      <c r="BD268" s="2160">
        <f t="shared" si="78"/>
        <v>1600</v>
      </c>
      <c r="BE268" s="2160">
        <f t="shared" si="79"/>
        <v>0</v>
      </c>
    </row>
    <row r="269" s="1990" customFormat="1" ht="36" customHeight="1" spans="1:57">
      <c r="A269" s="2166">
        <v>45946</v>
      </c>
      <c r="B269" s="2167" t="s">
        <v>1097</v>
      </c>
      <c r="C269" s="2168" t="s">
        <v>91</v>
      </c>
      <c r="D269" s="2169">
        <v>4500182100</v>
      </c>
      <c r="E269" s="2170" t="s">
        <v>1225</v>
      </c>
      <c r="F269" s="2169" t="s">
        <v>1226</v>
      </c>
      <c r="G269" s="2217" t="s">
        <v>1100</v>
      </c>
      <c r="H269" s="2172" t="s">
        <v>94</v>
      </c>
      <c r="I269" s="2196" t="s">
        <v>55</v>
      </c>
      <c r="J269" s="2172">
        <v>1500</v>
      </c>
      <c r="K269" s="2184">
        <v>0</v>
      </c>
      <c r="L269" s="2185">
        <v>2</v>
      </c>
      <c r="M269" s="2186">
        <f t="shared" si="84"/>
        <v>750</v>
      </c>
      <c r="N269" s="2187">
        <v>46009</v>
      </c>
      <c r="O269" s="2187">
        <v>46009</v>
      </c>
      <c r="P269" s="1467"/>
      <c r="Q269" s="2197" t="s">
        <v>215</v>
      </c>
      <c r="R269" s="2197" t="s">
        <v>1171</v>
      </c>
      <c r="S269" s="1472" t="s">
        <v>1102</v>
      </c>
      <c r="T269" s="1467"/>
      <c r="U269" s="1467" t="s">
        <v>58</v>
      </c>
      <c r="V269" s="2198" t="s">
        <v>1103</v>
      </c>
      <c r="W269" s="2199" t="s">
        <v>1104</v>
      </c>
      <c r="X269" s="2111" t="s">
        <v>1105</v>
      </c>
      <c r="Y269" s="2200">
        <v>2.1826</v>
      </c>
      <c r="Z269" s="2201">
        <f t="shared" si="85"/>
        <v>3273.9</v>
      </c>
      <c r="AA269" s="2202"/>
      <c r="AB269" s="2203">
        <v>1500</v>
      </c>
      <c r="AC269" s="2202">
        <f t="shared" si="86"/>
        <v>0</v>
      </c>
      <c r="AD269" s="1878" t="s">
        <v>58</v>
      </c>
      <c r="AE269" s="1468" t="s">
        <v>63</v>
      </c>
      <c r="AF269" s="1468" t="s">
        <v>38</v>
      </c>
      <c r="AG269" s="2197"/>
      <c r="AH269" s="2208">
        <f t="shared" si="87"/>
        <v>1500</v>
      </c>
      <c r="AI269" s="2208"/>
      <c r="AJ269" s="2209"/>
      <c r="AK269" s="2206"/>
      <c r="AL269" s="2110">
        <f t="shared" si="88"/>
        <v>1500</v>
      </c>
      <c r="AM269" s="2110"/>
      <c r="AN269" s="2206"/>
      <c r="AO269" s="2206"/>
      <c r="AP269" s="2206"/>
      <c r="AQ269" s="2206"/>
      <c r="AR269" s="2206"/>
      <c r="AS269" s="2213"/>
      <c r="AT269" s="2213"/>
      <c r="AU269" s="2213"/>
      <c r="AV269" s="2213"/>
      <c r="AW269" s="2110">
        <f t="shared" si="89"/>
        <v>1500</v>
      </c>
      <c r="AX269" s="2110"/>
      <c r="AY269" s="2110"/>
      <c r="AZ269" s="2213"/>
      <c r="BA269" s="2209"/>
      <c r="BB269" s="2209"/>
      <c r="BC269" s="2209"/>
      <c r="BD269" s="2160">
        <f t="shared" si="78"/>
        <v>1500</v>
      </c>
      <c r="BE269" s="2160">
        <f t="shared" si="79"/>
        <v>0</v>
      </c>
    </row>
    <row r="270" s="1990" customFormat="1" ht="36" customHeight="1" spans="1:57">
      <c r="A270" s="2166">
        <v>45946</v>
      </c>
      <c r="B270" s="2167" t="s">
        <v>1097</v>
      </c>
      <c r="C270" s="2168" t="s">
        <v>91</v>
      </c>
      <c r="D270" s="2169">
        <v>4500182100</v>
      </c>
      <c r="E270" s="2170" t="s">
        <v>1227</v>
      </c>
      <c r="F270" s="2169" t="s">
        <v>1228</v>
      </c>
      <c r="G270" s="2217" t="s">
        <v>1100</v>
      </c>
      <c r="H270" s="2172" t="s">
        <v>94</v>
      </c>
      <c r="I270" s="2196" t="s">
        <v>55</v>
      </c>
      <c r="J270" s="2172">
        <v>2200</v>
      </c>
      <c r="K270" s="2184">
        <v>0</v>
      </c>
      <c r="L270" s="2185">
        <v>2</v>
      </c>
      <c r="M270" s="2186">
        <f t="shared" si="84"/>
        <v>1100</v>
      </c>
      <c r="N270" s="2187">
        <v>46009</v>
      </c>
      <c r="O270" s="2187">
        <v>46009</v>
      </c>
      <c r="P270" s="1467"/>
      <c r="Q270" s="2197" t="s">
        <v>215</v>
      </c>
      <c r="R270" s="2197" t="s">
        <v>1171</v>
      </c>
      <c r="S270" s="1472" t="s">
        <v>1102</v>
      </c>
      <c r="T270" s="1467"/>
      <c r="U270" s="1467" t="s">
        <v>58</v>
      </c>
      <c r="V270" s="2198" t="s">
        <v>1103</v>
      </c>
      <c r="W270" s="2199" t="s">
        <v>1104</v>
      </c>
      <c r="X270" s="2111" t="s">
        <v>1105</v>
      </c>
      <c r="Y270" s="2200">
        <v>2.1305</v>
      </c>
      <c r="Z270" s="2201">
        <f t="shared" si="85"/>
        <v>4687.1</v>
      </c>
      <c r="AA270" s="2202"/>
      <c r="AB270" s="2203">
        <f>152+2048</f>
        <v>2200</v>
      </c>
      <c r="AC270" s="2202">
        <f t="shared" si="86"/>
        <v>0</v>
      </c>
      <c r="AD270" s="1878" t="s">
        <v>58</v>
      </c>
      <c r="AE270" s="1468" t="s">
        <v>63</v>
      </c>
      <c r="AF270" s="1468" t="s">
        <v>38</v>
      </c>
      <c r="AG270" s="2197"/>
      <c r="AH270" s="2208">
        <f t="shared" si="87"/>
        <v>2200</v>
      </c>
      <c r="AI270" s="2208"/>
      <c r="AJ270" s="2209"/>
      <c r="AK270" s="2206"/>
      <c r="AL270" s="2110">
        <f t="shared" si="88"/>
        <v>2200</v>
      </c>
      <c r="AM270" s="2110"/>
      <c r="AN270" s="2206"/>
      <c r="AO270" s="2206"/>
      <c r="AP270" s="2206"/>
      <c r="AQ270" s="2206"/>
      <c r="AR270" s="2206"/>
      <c r="AS270" s="2213"/>
      <c r="AT270" s="2213"/>
      <c r="AU270" s="2213"/>
      <c r="AV270" s="2213"/>
      <c r="AW270" s="2110">
        <f t="shared" si="89"/>
        <v>2200</v>
      </c>
      <c r="AX270" s="2110"/>
      <c r="AY270" s="2110"/>
      <c r="AZ270" s="2213"/>
      <c r="BA270" s="2209"/>
      <c r="BB270" s="2209"/>
      <c r="BC270" s="2209"/>
      <c r="BD270" s="2160">
        <f t="shared" si="78"/>
        <v>2200</v>
      </c>
      <c r="BE270" s="2160">
        <f t="shared" si="79"/>
        <v>0</v>
      </c>
    </row>
    <row r="271" s="1990" customFormat="1" ht="36" customHeight="1" spans="1:57">
      <c r="A271" s="2166">
        <v>45946</v>
      </c>
      <c r="B271" s="2167" t="s">
        <v>1097</v>
      </c>
      <c r="C271" s="2168" t="s">
        <v>91</v>
      </c>
      <c r="D271" s="2169">
        <v>4500182100</v>
      </c>
      <c r="E271" s="2170" t="s">
        <v>1229</v>
      </c>
      <c r="F271" s="2169" t="s">
        <v>1230</v>
      </c>
      <c r="G271" s="2217" t="s">
        <v>1100</v>
      </c>
      <c r="H271" s="2172" t="s">
        <v>94</v>
      </c>
      <c r="I271" s="2196" t="s">
        <v>55</v>
      </c>
      <c r="J271" s="2172">
        <v>2000</v>
      </c>
      <c r="K271" s="2184">
        <v>0</v>
      </c>
      <c r="L271" s="2185">
        <v>2</v>
      </c>
      <c r="M271" s="2186">
        <f t="shared" si="84"/>
        <v>1000</v>
      </c>
      <c r="N271" s="2187">
        <v>46009</v>
      </c>
      <c r="O271" s="2187">
        <v>46009</v>
      </c>
      <c r="P271" s="1467"/>
      <c r="Q271" s="2197" t="s">
        <v>215</v>
      </c>
      <c r="R271" s="2197" t="s">
        <v>1171</v>
      </c>
      <c r="S271" s="1472" t="s">
        <v>1102</v>
      </c>
      <c r="T271" s="1467"/>
      <c r="U271" s="1467" t="s">
        <v>58</v>
      </c>
      <c r="V271" s="2198" t="s">
        <v>1103</v>
      </c>
      <c r="W271" s="2199" t="s">
        <v>1104</v>
      </c>
      <c r="X271" s="2111" t="s">
        <v>1105</v>
      </c>
      <c r="Y271" s="2200">
        <v>2.1826</v>
      </c>
      <c r="Z271" s="2201">
        <f t="shared" si="85"/>
        <v>4365.2</v>
      </c>
      <c r="AA271" s="2202"/>
      <c r="AB271" s="2203">
        <v>2000</v>
      </c>
      <c r="AC271" s="2202">
        <f t="shared" si="86"/>
        <v>0</v>
      </c>
      <c r="AD271" s="1878" t="s">
        <v>58</v>
      </c>
      <c r="AE271" s="1468" t="s">
        <v>63</v>
      </c>
      <c r="AF271" s="1468" t="s">
        <v>38</v>
      </c>
      <c r="AG271" s="2197"/>
      <c r="AH271" s="2208">
        <f t="shared" si="87"/>
        <v>2000</v>
      </c>
      <c r="AI271" s="2208"/>
      <c r="AJ271" s="2209"/>
      <c r="AK271" s="2206"/>
      <c r="AL271" s="2110">
        <f t="shared" si="88"/>
        <v>2000</v>
      </c>
      <c r="AM271" s="2110"/>
      <c r="AN271" s="2206"/>
      <c r="AO271" s="2206"/>
      <c r="AP271" s="2206"/>
      <c r="AQ271" s="2206"/>
      <c r="AR271" s="2206"/>
      <c r="AS271" s="2213"/>
      <c r="AT271" s="2213"/>
      <c r="AU271" s="2213"/>
      <c r="AV271" s="2213"/>
      <c r="AW271" s="2110">
        <f t="shared" si="89"/>
        <v>2000</v>
      </c>
      <c r="AX271" s="2110"/>
      <c r="AY271" s="2110"/>
      <c r="AZ271" s="2213"/>
      <c r="BA271" s="2209"/>
      <c r="BB271" s="2209"/>
      <c r="BC271" s="2209"/>
      <c r="BD271" s="2160">
        <f t="shared" si="78"/>
        <v>2000</v>
      </c>
      <c r="BE271" s="2160">
        <f t="shared" si="79"/>
        <v>0</v>
      </c>
    </row>
    <row r="272" s="1990" customFormat="1" ht="36" customHeight="1" spans="1:57">
      <c r="A272" s="2166">
        <v>45968</v>
      </c>
      <c r="B272" s="2167" t="s">
        <v>1231</v>
      </c>
      <c r="C272" s="2168" t="s">
        <v>91</v>
      </c>
      <c r="D272" s="2169">
        <v>4500184953</v>
      </c>
      <c r="E272" s="2170">
        <v>384192803</v>
      </c>
      <c r="F272" s="2169" t="s">
        <v>1232</v>
      </c>
      <c r="G272" s="2172" t="s">
        <v>54</v>
      </c>
      <c r="H272" s="2172" t="s">
        <v>54</v>
      </c>
      <c r="I272" s="2182" t="s">
        <v>55</v>
      </c>
      <c r="J272" s="2172">
        <v>1800</v>
      </c>
      <c r="K272" s="2184">
        <v>0</v>
      </c>
      <c r="L272" s="2185">
        <v>12</v>
      </c>
      <c r="M272" s="2186">
        <f t="shared" si="84"/>
        <v>150</v>
      </c>
      <c r="N272" s="2187">
        <v>46013</v>
      </c>
      <c r="O272" s="2187">
        <v>46009</v>
      </c>
      <c r="P272" s="1467"/>
      <c r="Q272" s="2197" t="s">
        <v>215</v>
      </c>
      <c r="R272" s="2197" t="s">
        <v>1233</v>
      </c>
      <c r="S272" s="1472" t="s">
        <v>1234</v>
      </c>
      <c r="T272" s="1467"/>
      <c r="U272" s="1467" t="s">
        <v>1235</v>
      </c>
      <c r="V272" s="2198" t="s">
        <v>348</v>
      </c>
      <c r="W272" s="2199" t="s">
        <v>1236</v>
      </c>
      <c r="X272" s="2111" t="s">
        <v>350</v>
      </c>
      <c r="Y272" s="2200">
        <v>2.034</v>
      </c>
      <c r="Z272" s="2201">
        <f t="shared" si="85"/>
        <v>3661.2</v>
      </c>
      <c r="AA272" s="2202"/>
      <c r="AB272" s="2203">
        <f>1788+12</f>
        <v>1800</v>
      </c>
      <c r="AC272" s="2202">
        <f t="shared" si="86"/>
        <v>0</v>
      </c>
      <c r="AD272" s="1878" t="s">
        <v>327</v>
      </c>
      <c r="AE272" s="1468" t="s">
        <v>63</v>
      </c>
      <c r="AF272" s="1468" t="s">
        <v>38</v>
      </c>
      <c r="AG272" s="2197"/>
      <c r="AH272" s="2208">
        <f t="shared" si="87"/>
        <v>1800</v>
      </c>
      <c r="AI272" s="2208"/>
      <c r="AJ272" s="2209"/>
      <c r="AK272" s="2086"/>
      <c r="AL272" s="2110">
        <f t="shared" si="88"/>
        <v>1800</v>
      </c>
      <c r="AM272" s="2110"/>
      <c r="AN272" s="2086"/>
      <c r="AO272" s="2086"/>
      <c r="AP272" s="2086"/>
      <c r="AQ272" s="2086"/>
      <c r="AR272" s="2086"/>
      <c r="AS272" s="2162"/>
      <c r="AT272" s="2162"/>
      <c r="AU272" s="2162"/>
      <c r="AV272" s="2162"/>
      <c r="AW272" s="2208">
        <f t="shared" si="89"/>
        <v>1800</v>
      </c>
      <c r="AX272" s="2110"/>
      <c r="AY272" s="2110"/>
      <c r="AZ272" s="2162"/>
      <c r="BA272" s="2209"/>
      <c r="BB272" s="2209"/>
      <c r="BC272" s="2209"/>
      <c r="BD272" s="2160">
        <f t="shared" si="78"/>
        <v>1800</v>
      </c>
      <c r="BE272" s="2160">
        <f t="shared" si="79"/>
        <v>0</v>
      </c>
    </row>
    <row r="273" s="1990" customFormat="1" ht="36" customHeight="1" spans="1:57">
      <c r="A273" s="2166">
        <v>45968</v>
      </c>
      <c r="B273" s="2167" t="s">
        <v>1231</v>
      </c>
      <c r="C273" s="2168" t="s">
        <v>91</v>
      </c>
      <c r="D273" s="2169">
        <v>4500184953</v>
      </c>
      <c r="E273" s="2170">
        <v>384192804</v>
      </c>
      <c r="F273" s="2169" t="s">
        <v>1237</v>
      </c>
      <c r="G273" s="2180" t="s">
        <v>66</v>
      </c>
      <c r="H273" s="2172" t="s">
        <v>66</v>
      </c>
      <c r="I273" s="2188" t="s">
        <v>67</v>
      </c>
      <c r="J273" s="2172">
        <v>1800</v>
      </c>
      <c r="K273" s="2184">
        <v>0</v>
      </c>
      <c r="L273" s="2185">
        <v>12</v>
      </c>
      <c r="M273" s="2186">
        <f t="shared" si="84"/>
        <v>150</v>
      </c>
      <c r="N273" s="2187">
        <v>46013</v>
      </c>
      <c r="O273" s="2187">
        <v>46009</v>
      </c>
      <c r="P273" s="1467"/>
      <c r="Q273" s="2197" t="s">
        <v>215</v>
      </c>
      <c r="R273" s="2197" t="s">
        <v>1233</v>
      </c>
      <c r="S273" s="1472" t="s">
        <v>1234</v>
      </c>
      <c r="T273" s="1467"/>
      <c r="U273" s="1467" t="s">
        <v>1235</v>
      </c>
      <c r="V273" s="2198" t="s">
        <v>348</v>
      </c>
      <c r="W273" s="1849" t="s">
        <v>1238</v>
      </c>
      <c r="X273" s="2111" t="s">
        <v>350</v>
      </c>
      <c r="Y273" s="2200">
        <v>1.8887</v>
      </c>
      <c r="Z273" s="2201">
        <f t="shared" si="85"/>
        <v>3399.66</v>
      </c>
      <c r="AA273" s="2202"/>
      <c r="AB273" s="2203">
        <v>1800</v>
      </c>
      <c r="AC273" s="2202">
        <f t="shared" si="86"/>
        <v>0</v>
      </c>
      <c r="AD273" s="1878" t="s">
        <v>327</v>
      </c>
      <c r="AE273" s="1468" t="s">
        <v>63</v>
      </c>
      <c r="AF273" s="1468" t="s">
        <v>38</v>
      </c>
      <c r="AG273" s="2197"/>
      <c r="AH273" s="2208"/>
      <c r="AI273" s="2208"/>
      <c r="AJ273" s="2209">
        <f>J273</f>
        <v>1800</v>
      </c>
      <c r="AK273" s="2086"/>
      <c r="AL273" s="2110">
        <f t="shared" si="88"/>
        <v>1800</v>
      </c>
      <c r="AM273" s="2110"/>
      <c r="AN273" s="2086"/>
      <c r="AO273" s="2086"/>
      <c r="AP273" s="2086"/>
      <c r="AQ273" s="2086"/>
      <c r="AR273" s="2086"/>
      <c r="AS273" s="2162"/>
      <c r="AT273" s="2162"/>
      <c r="AU273" s="2162"/>
      <c r="AV273" s="2162"/>
      <c r="AW273" s="2208"/>
      <c r="AX273" s="2110"/>
      <c r="AY273" s="2110">
        <f>J273</f>
        <v>1800</v>
      </c>
      <c r="AZ273" s="2162"/>
      <c r="BA273" s="2209"/>
      <c r="BB273" s="2209"/>
      <c r="BC273" s="2209"/>
      <c r="BD273" s="2160">
        <f t="shared" si="78"/>
        <v>1800</v>
      </c>
      <c r="BE273" s="2160">
        <f t="shared" si="79"/>
        <v>0</v>
      </c>
    </row>
    <row r="274" s="1990" customFormat="1" ht="36" customHeight="1" spans="1:57">
      <c r="A274" s="2166">
        <v>45968</v>
      </c>
      <c r="B274" s="2167" t="s">
        <v>1231</v>
      </c>
      <c r="C274" s="2168" t="s">
        <v>91</v>
      </c>
      <c r="D274" s="2169">
        <v>4500184950</v>
      </c>
      <c r="E274" s="2170">
        <v>384174104</v>
      </c>
      <c r="F274" s="2169" t="s">
        <v>1239</v>
      </c>
      <c r="G274" s="2180" t="s">
        <v>66</v>
      </c>
      <c r="H274" s="2172" t="s">
        <v>66</v>
      </c>
      <c r="I274" s="2188" t="s">
        <v>67</v>
      </c>
      <c r="J274" s="2172">
        <v>1800</v>
      </c>
      <c r="K274" s="2184">
        <v>0</v>
      </c>
      <c r="L274" s="2185">
        <v>12</v>
      </c>
      <c r="M274" s="2186">
        <f t="shared" si="84"/>
        <v>150</v>
      </c>
      <c r="N274" s="2187">
        <v>46013</v>
      </c>
      <c r="O274" s="2187">
        <v>46009</v>
      </c>
      <c r="P274" s="1467"/>
      <c r="Q274" s="2197" t="s">
        <v>215</v>
      </c>
      <c r="R274" s="2197" t="s">
        <v>1233</v>
      </c>
      <c r="S274" s="1472" t="s">
        <v>1234</v>
      </c>
      <c r="T274" s="1467"/>
      <c r="U274" s="1467" t="s">
        <v>1235</v>
      </c>
      <c r="V274" s="2198" t="s">
        <v>348</v>
      </c>
      <c r="W274" s="2199" t="s">
        <v>1238</v>
      </c>
      <c r="X274" s="2111" t="s">
        <v>350</v>
      </c>
      <c r="Y274" s="2200">
        <v>1.9402</v>
      </c>
      <c r="Z274" s="2201">
        <f t="shared" si="85"/>
        <v>3492.36</v>
      </c>
      <c r="AA274" s="2202"/>
      <c r="AB274" s="2203">
        <f>1080+720</f>
        <v>1800</v>
      </c>
      <c r="AC274" s="2202">
        <f t="shared" si="86"/>
        <v>0</v>
      </c>
      <c r="AD274" s="1878" t="s">
        <v>327</v>
      </c>
      <c r="AE274" s="1468" t="s">
        <v>63</v>
      </c>
      <c r="AF274" s="1468" t="s">
        <v>38</v>
      </c>
      <c r="AG274" s="2197"/>
      <c r="AH274" s="2208"/>
      <c r="AI274" s="2208"/>
      <c r="AJ274" s="2209">
        <f>J274</f>
        <v>1800</v>
      </c>
      <c r="AK274" s="2086"/>
      <c r="AL274" s="2110">
        <f t="shared" si="88"/>
        <v>1800</v>
      </c>
      <c r="AM274" s="2110"/>
      <c r="AN274" s="2086"/>
      <c r="AO274" s="2086"/>
      <c r="AP274" s="2086"/>
      <c r="AQ274" s="2086"/>
      <c r="AR274" s="2086"/>
      <c r="AS274" s="2162"/>
      <c r="AT274" s="2162"/>
      <c r="AU274" s="2162"/>
      <c r="AV274" s="2162"/>
      <c r="AW274" s="2110"/>
      <c r="AX274" s="2110"/>
      <c r="AY274" s="2110">
        <f>J274</f>
        <v>1800</v>
      </c>
      <c r="AZ274" s="2162"/>
      <c r="BA274" s="2209"/>
      <c r="BB274" s="2209"/>
      <c r="BC274" s="2209"/>
      <c r="BD274" s="2160">
        <f t="shared" si="78"/>
        <v>1800</v>
      </c>
      <c r="BE274" s="2160">
        <f t="shared" si="79"/>
        <v>0</v>
      </c>
    </row>
    <row r="275" s="1990" customFormat="1" ht="36" customHeight="1" spans="1:57">
      <c r="A275" s="2166">
        <v>45968</v>
      </c>
      <c r="B275" s="2167" t="s">
        <v>1231</v>
      </c>
      <c r="C275" s="2168" t="s">
        <v>91</v>
      </c>
      <c r="D275" s="2169">
        <v>4500184950</v>
      </c>
      <c r="E275" s="2170">
        <v>384174103</v>
      </c>
      <c r="F275" s="2169" t="s">
        <v>1240</v>
      </c>
      <c r="G275" s="2172" t="s">
        <v>54</v>
      </c>
      <c r="H275" s="2172" t="s">
        <v>54</v>
      </c>
      <c r="I275" s="2182" t="s">
        <v>55</v>
      </c>
      <c r="J275" s="2172">
        <v>1800</v>
      </c>
      <c r="K275" s="2184">
        <v>0</v>
      </c>
      <c r="L275" s="2185">
        <v>12</v>
      </c>
      <c r="M275" s="2186">
        <f t="shared" si="84"/>
        <v>150</v>
      </c>
      <c r="N275" s="2187">
        <v>46013</v>
      </c>
      <c r="O275" s="2187">
        <v>46009</v>
      </c>
      <c r="P275" s="1467"/>
      <c r="Q275" s="2197" t="s">
        <v>215</v>
      </c>
      <c r="R275" s="2197" t="s">
        <v>1233</v>
      </c>
      <c r="S275" s="1472" t="s">
        <v>1234</v>
      </c>
      <c r="T275" s="1467"/>
      <c r="U275" s="1467" t="s">
        <v>1235</v>
      </c>
      <c r="V275" s="2198" t="s">
        <v>348</v>
      </c>
      <c r="W275" s="2199" t="s">
        <v>1236</v>
      </c>
      <c r="X275" s="2111" t="s">
        <v>350</v>
      </c>
      <c r="Y275" s="2200">
        <v>2.0855</v>
      </c>
      <c r="Z275" s="2201">
        <f t="shared" si="85"/>
        <v>3753.9</v>
      </c>
      <c r="AA275" s="2202"/>
      <c r="AB275" s="2203">
        <v>1800</v>
      </c>
      <c r="AC275" s="2202">
        <f t="shared" si="86"/>
        <v>0</v>
      </c>
      <c r="AD275" s="1878" t="s">
        <v>327</v>
      </c>
      <c r="AE275" s="1468" t="s">
        <v>63</v>
      </c>
      <c r="AF275" s="1468" t="s">
        <v>38</v>
      </c>
      <c r="AG275" s="2197"/>
      <c r="AH275" s="2208">
        <f>J275</f>
        <v>1800</v>
      </c>
      <c r="AI275" s="2208"/>
      <c r="AJ275" s="2209"/>
      <c r="AK275" s="2086"/>
      <c r="AL275" s="2110">
        <f t="shared" si="88"/>
        <v>1800</v>
      </c>
      <c r="AM275" s="2110"/>
      <c r="AN275" s="2086"/>
      <c r="AO275" s="2086"/>
      <c r="AP275" s="2086"/>
      <c r="AQ275" s="2086"/>
      <c r="AR275" s="2086"/>
      <c r="AS275" s="2162"/>
      <c r="AT275" s="2162"/>
      <c r="AU275" s="2162"/>
      <c r="AV275" s="2162"/>
      <c r="AW275" s="2208">
        <f>J275</f>
        <v>1800</v>
      </c>
      <c r="AX275" s="2110"/>
      <c r="AY275" s="2110"/>
      <c r="AZ275" s="2162"/>
      <c r="BA275" s="2209"/>
      <c r="BB275" s="2209"/>
      <c r="BC275" s="2209"/>
      <c r="BD275" s="2160">
        <f t="shared" si="78"/>
        <v>1800</v>
      </c>
      <c r="BE275" s="2160">
        <f t="shared" si="79"/>
        <v>0</v>
      </c>
    </row>
    <row r="276" s="1990" customFormat="1" ht="36" customHeight="1" spans="1:57">
      <c r="A276" s="2166">
        <v>45978</v>
      </c>
      <c r="B276" s="2167" t="s">
        <v>766</v>
      </c>
      <c r="C276" s="2168" t="s">
        <v>69</v>
      </c>
      <c r="D276" s="2169">
        <v>4500185879</v>
      </c>
      <c r="E276" s="2170">
        <v>4400522224</v>
      </c>
      <c r="F276" s="2169" t="s">
        <v>1241</v>
      </c>
      <c r="G276" s="2168" t="s">
        <v>125</v>
      </c>
      <c r="H276" s="2172" t="s">
        <v>54</v>
      </c>
      <c r="I276" s="2182" t="s">
        <v>55</v>
      </c>
      <c r="J276" s="2172">
        <v>2508</v>
      </c>
      <c r="K276" s="2184">
        <v>0</v>
      </c>
      <c r="L276" s="2185">
        <v>12</v>
      </c>
      <c r="M276" s="2186">
        <f t="shared" si="84"/>
        <v>209</v>
      </c>
      <c r="N276" s="2187">
        <v>46008</v>
      </c>
      <c r="O276" s="2187">
        <v>46004</v>
      </c>
      <c r="P276" s="1467" t="s">
        <v>1024</v>
      </c>
      <c r="Q276" s="2197" t="s">
        <v>56</v>
      </c>
      <c r="R276" s="2197" t="s">
        <v>1242</v>
      </c>
      <c r="S276" s="1472" t="s">
        <v>1243</v>
      </c>
      <c r="T276" s="1467"/>
      <c r="U276" s="1467" t="s">
        <v>1123</v>
      </c>
      <c r="V276" s="2198" t="s">
        <v>1028</v>
      </c>
      <c r="W276" s="2199" t="s">
        <v>1244</v>
      </c>
      <c r="X276" s="2111" t="s">
        <v>953</v>
      </c>
      <c r="Y276" s="2200">
        <v>3.389</v>
      </c>
      <c r="Z276" s="2201">
        <f t="shared" si="85"/>
        <v>8499.612</v>
      </c>
      <c r="AA276" s="2202"/>
      <c r="AB276" s="2203">
        <v>2508</v>
      </c>
      <c r="AC276" s="2202">
        <f t="shared" si="86"/>
        <v>0</v>
      </c>
      <c r="AD276" s="1878" t="s">
        <v>81</v>
      </c>
      <c r="AE276" s="1468" t="s">
        <v>63</v>
      </c>
      <c r="AF276" s="1468" t="s">
        <v>38</v>
      </c>
      <c r="AG276" s="2197"/>
      <c r="AH276" s="2208">
        <f>J276</f>
        <v>2508</v>
      </c>
      <c r="AI276" s="2208"/>
      <c r="AJ276" s="2209"/>
      <c r="AK276" s="2206"/>
      <c r="AL276" s="2110"/>
      <c r="AM276" s="2110">
        <f>J276</f>
        <v>2508</v>
      </c>
      <c r="AN276" s="2206"/>
      <c r="AO276" s="2206"/>
      <c r="AP276" s="2206"/>
      <c r="AQ276" s="2206"/>
      <c r="AR276" s="2206"/>
      <c r="AS276" s="2213"/>
      <c r="AT276" s="2213"/>
      <c r="AU276" s="2213"/>
      <c r="AV276" s="2213"/>
      <c r="AW276" s="2110">
        <f>J276</f>
        <v>2508</v>
      </c>
      <c r="AX276" s="2110"/>
      <c r="AY276" s="2110"/>
      <c r="AZ276" s="2213"/>
      <c r="BA276" s="2209"/>
      <c r="BB276" s="2209"/>
      <c r="BC276" s="2209"/>
      <c r="BD276" s="2160">
        <f t="shared" si="78"/>
        <v>2508</v>
      </c>
      <c r="BE276" s="2160">
        <f t="shared" si="79"/>
        <v>0</v>
      </c>
    </row>
    <row r="277" s="1990" customFormat="1" ht="36" customHeight="1" spans="1:57">
      <c r="A277" s="2166">
        <v>45967</v>
      </c>
      <c r="B277" s="2167" t="s">
        <v>111</v>
      </c>
      <c r="C277" s="2168" t="s">
        <v>112</v>
      </c>
      <c r="D277" s="2169">
        <v>4500184619</v>
      </c>
      <c r="E277" s="2170" t="s">
        <v>1245</v>
      </c>
      <c r="F277" s="2169" t="s">
        <v>1246</v>
      </c>
      <c r="G277" s="2180" t="s">
        <v>66</v>
      </c>
      <c r="H277" s="2172" t="s">
        <v>66</v>
      </c>
      <c r="I277" s="2188" t="s">
        <v>67</v>
      </c>
      <c r="J277" s="2172">
        <v>7260</v>
      </c>
      <c r="K277" s="2184">
        <v>0</v>
      </c>
      <c r="L277" s="2185">
        <v>12</v>
      </c>
      <c r="M277" s="2186">
        <f t="shared" si="84"/>
        <v>605</v>
      </c>
      <c r="N277" s="2187">
        <v>46020</v>
      </c>
      <c r="O277" s="2187">
        <v>46018</v>
      </c>
      <c r="P277" s="1467"/>
      <c r="Q277" s="2197" t="s">
        <v>56</v>
      </c>
      <c r="R277" s="2197" t="s">
        <v>346</v>
      </c>
      <c r="S277" s="1472" t="s">
        <v>1247</v>
      </c>
      <c r="T277" s="1467"/>
      <c r="U277" s="2223" t="s">
        <v>1248</v>
      </c>
      <c r="V277" s="2198" t="s">
        <v>1249</v>
      </c>
      <c r="W277" s="2199" t="s">
        <v>1250</v>
      </c>
      <c r="X277" s="2111" t="s">
        <v>508</v>
      </c>
      <c r="Y277" s="2200">
        <v>2.8273</v>
      </c>
      <c r="Z277" s="2201">
        <f t="shared" si="85"/>
        <v>20526.198</v>
      </c>
      <c r="AA277" s="2202"/>
      <c r="AB277" s="2203">
        <v>7260</v>
      </c>
      <c r="AC277" s="2202">
        <f t="shared" ref="AC274:AC284" si="90">AB277-J277</f>
        <v>0</v>
      </c>
      <c r="AD277" s="1878" t="s">
        <v>81</v>
      </c>
      <c r="AE277" s="1468" t="s">
        <v>63</v>
      </c>
      <c r="AF277" s="1468" t="s">
        <v>38</v>
      </c>
      <c r="AG277" s="2197"/>
      <c r="AH277" s="2208"/>
      <c r="AI277" s="2208"/>
      <c r="AJ277" s="2209">
        <f>J277</f>
        <v>7260</v>
      </c>
      <c r="AK277" s="2086"/>
      <c r="AL277" s="2110">
        <f t="shared" ref="AL273:AL284" si="91">J277</f>
        <v>7260</v>
      </c>
      <c r="AM277" s="2110"/>
      <c r="AN277" s="2086"/>
      <c r="AO277" s="2086"/>
      <c r="AP277" s="2086"/>
      <c r="AQ277" s="2086"/>
      <c r="AR277" s="2086"/>
      <c r="AS277" s="2162"/>
      <c r="AT277" s="2162"/>
      <c r="AU277" s="2162"/>
      <c r="AV277" s="2162"/>
      <c r="AW277" s="2110"/>
      <c r="AX277" s="2110"/>
      <c r="AY277" s="2110">
        <f>J277</f>
        <v>7260</v>
      </c>
      <c r="AZ277" s="2162"/>
      <c r="BA277" s="2209"/>
      <c r="BB277" s="2209"/>
      <c r="BC277" s="2209"/>
      <c r="BD277" s="2160">
        <f t="shared" ref="BD263:BD297" si="92">SUM(AH277:AJ277)</f>
        <v>7260</v>
      </c>
      <c r="BE277" s="2160">
        <f t="shared" ref="BE263:BE297" si="93">BD277-J277</f>
        <v>0</v>
      </c>
    </row>
    <row r="278" s="1990" customFormat="1" ht="36" customHeight="1" spans="1:57">
      <c r="A278" s="2166">
        <v>45967</v>
      </c>
      <c r="B278" s="2167" t="s">
        <v>111</v>
      </c>
      <c r="C278" s="2168" t="s">
        <v>112</v>
      </c>
      <c r="D278" s="2169">
        <v>4500184619</v>
      </c>
      <c r="E278" s="2170" t="s">
        <v>1245</v>
      </c>
      <c r="F278" s="2169" t="s">
        <v>1251</v>
      </c>
      <c r="G278" s="2172" t="s">
        <v>54</v>
      </c>
      <c r="H278" s="2172" t="s">
        <v>54</v>
      </c>
      <c r="I278" s="2182" t="s">
        <v>55</v>
      </c>
      <c r="J278" s="2172">
        <v>7260</v>
      </c>
      <c r="K278" s="2184">
        <v>0</v>
      </c>
      <c r="L278" s="2185">
        <v>12</v>
      </c>
      <c r="M278" s="2186">
        <f t="shared" si="84"/>
        <v>605</v>
      </c>
      <c r="N278" s="2187">
        <v>46020</v>
      </c>
      <c r="O278" s="2187">
        <v>46018</v>
      </c>
      <c r="P278" s="1467"/>
      <c r="Q278" s="2197" t="s">
        <v>56</v>
      </c>
      <c r="R278" s="2197" t="s">
        <v>346</v>
      </c>
      <c r="S278" s="1472" t="s">
        <v>1247</v>
      </c>
      <c r="T278" s="1467"/>
      <c r="U278" s="2223" t="s">
        <v>1248</v>
      </c>
      <c r="V278" s="2198" t="s">
        <v>1249</v>
      </c>
      <c r="W278" s="2199" t="s">
        <v>1252</v>
      </c>
      <c r="X278" s="2111" t="s">
        <v>508</v>
      </c>
      <c r="Y278" s="2200">
        <v>3.0782</v>
      </c>
      <c r="Z278" s="2201">
        <f t="shared" si="85"/>
        <v>22347.732</v>
      </c>
      <c r="AA278" s="2202"/>
      <c r="AB278" s="2203">
        <f>4860+2400</f>
        <v>7260</v>
      </c>
      <c r="AC278" s="2202">
        <f t="shared" si="90"/>
        <v>0</v>
      </c>
      <c r="AD278" s="1878" t="s">
        <v>81</v>
      </c>
      <c r="AE278" s="1468" t="s">
        <v>63</v>
      </c>
      <c r="AF278" s="1468" t="s">
        <v>38</v>
      </c>
      <c r="AG278" s="2197"/>
      <c r="AH278" s="2208">
        <f>J278</f>
        <v>7260</v>
      </c>
      <c r="AI278" s="2208"/>
      <c r="AJ278" s="2209"/>
      <c r="AK278" s="2086"/>
      <c r="AL278" s="2110">
        <f t="shared" si="91"/>
        <v>7260</v>
      </c>
      <c r="AM278" s="2110"/>
      <c r="AN278" s="2086"/>
      <c r="AO278" s="2086"/>
      <c r="AP278" s="2086"/>
      <c r="AQ278" s="2086"/>
      <c r="AR278" s="2086"/>
      <c r="AS278" s="2162"/>
      <c r="AT278" s="2162"/>
      <c r="AU278" s="2162"/>
      <c r="AV278" s="2162"/>
      <c r="AW278" s="2208">
        <f>J278</f>
        <v>7260</v>
      </c>
      <c r="AX278" s="2110"/>
      <c r="AY278" s="2110"/>
      <c r="AZ278" s="2162"/>
      <c r="BA278" s="2209"/>
      <c r="BB278" s="2209"/>
      <c r="BC278" s="2209"/>
      <c r="BD278" s="2160">
        <f t="shared" si="92"/>
        <v>7260</v>
      </c>
      <c r="BE278" s="2160">
        <f t="shared" si="93"/>
        <v>0</v>
      </c>
    </row>
    <row r="279" s="1990" customFormat="1" ht="36" customHeight="1" spans="1:57">
      <c r="A279" s="2166">
        <v>45967</v>
      </c>
      <c r="B279" s="2167" t="s">
        <v>111</v>
      </c>
      <c r="C279" s="2168" t="s">
        <v>112</v>
      </c>
      <c r="D279" s="2169">
        <v>4500184619</v>
      </c>
      <c r="E279" s="2170" t="s">
        <v>1253</v>
      </c>
      <c r="F279" s="2169" t="s">
        <v>1254</v>
      </c>
      <c r="G279" s="2180" t="s">
        <v>66</v>
      </c>
      <c r="H279" s="2172" t="s">
        <v>66</v>
      </c>
      <c r="I279" s="2188" t="s">
        <v>67</v>
      </c>
      <c r="J279" s="2172">
        <v>2748</v>
      </c>
      <c r="K279" s="2184">
        <v>0</v>
      </c>
      <c r="L279" s="2185">
        <v>12</v>
      </c>
      <c r="M279" s="2186">
        <f t="shared" si="84"/>
        <v>229</v>
      </c>
      <c r="N279" s="2187">
        <v>46020</v>
      </c>
      <c r="O279" s="2187">
        <v>46018</v>
      </c>
      <c r="P279" s="1467"/>
      <c r="Q279" s="2197" t="s">
        <v>56</v>
      </c>
      <c r="R279" s="2197" t="s">
        <v>346</v>
      </c>
      <c r="S279" s="1472" t="s">
        <v>1247</v>
      </c>
      <c r="T279" s="1467"/>
      <c r="U279" s="2223" t="s">
        <v>1248</v>
      </c>
      <c r="V279" s="2198" t="s">
        <v>1249</v>
      </c>
      <c r="W279" s="2199" t="s">
        <v>1255</v>
      </c>
      <c r="X279" s="2111" t="s">
        <v>508</v>
      </c>
      <c r="Y279" s="2200">
        <v>2.8273</v>
      </c>
      <c r="Z279" s="2201">
        <f t="shared" si="85"/>
        <v>7769.4204</v>
      </c>
      <c r="AA279" s="2202"/>
      <c r="AB279" s="2203">
        <v>2748</v>
      </c>
      <c r="AC279" s="2202">
        <f t="shared" si="90"/>
        <v>0</v>
      </c>
      <c r="AD279" s="1878" t="s">
        <v>81</v>
      </c>
      <c r="AE279" s="1468" t="s">
        <v>63</v>
      </c>
      <c r="AF279" s="1468" t="s">
        <v>38</v>
      </c>
      <c r="AG279" s="2197"/>
      <c r="AH279" s="2208"/>
      <c r="AI279" s="2208"/>
      <c r="AJ279" s="2209">
        <f>J279</f>
        <v>2748</v>
      </c>
      <c r="AK279" s="2086"/>
      <c r="AL279" s="2110">
        <f t="shared" si="91"/>
        <v>2748</v>
      </c>
      <c r="AM279" s="2110"/>
      <c r="AN279" s="2086"/>
      <c r="AO279" s="2086"/>
      <c r="AP279" s="2086"/>
      <c r="AQ279" s="2086"/>
      <c r="AR279" s="2086"/>
      <c r="AS279" s="2162"/>
      <c r="AT279" s="2162"/>
      <c r="AU279" s="2162"/>
      <c r="AV279" s="2162"/>
      <c r="AW279" s="2110"/>
      <c r="AX279" s="2110"/>
      <c r="AY279" s="2110">
        <f>J279</f>
        <v>2748</v>
      </c>
      <c r="AZ279" s="2162"/>
      <c r="BA279" s="2209"/>
      <c r="BB279" s="2209"/>
      <c r="BC279" s="2209"/>
      <c r="BD279" s="2160">
        <f t="shared" si="92"/>
        <v>2748</v>
      </c>
      <c r="BE279" s="2160">
        <f t="shared" si="93"/>
        <v>0</v>
      </c>
    </row>
    <row r="280" s="1990" customFormat="1" ht="36" customHeight="1" spans="1:57">
      <c r="A280" s="2166">
        <v>45967</v>
      </c>
      <c r="B280" s="2167" t="s">
        <v>111</v>
      </c>
      <c r="C280" s="2168" t="s">
        <v>112</v>
      </c>
      <c r="D280" s="2169">
        <v>4500184619</v>
      </c>
      <c r="E280" s="2170" t="s">
        <v>1253</v>
      </c>
      <c r="F280" s="2169" t="s">
        <v>1256</v>
      </c>
      <c r="G280" s="2172" t="s">
        <v>54</v>
      </c>
      <c r="H280" s="2172" t="s">
        <v>54</v>
      </c>
      <c r="I280" s="2182" t="s">
        <v>55</v>
      </c>
      <c r="J280" s="2172">
        <v>2748</v>
      </c>
      <c r="K280" s="2184">
        <v>0</v>
      </c>
      <c r="L280" s="2185">
        <v>12</v>
      </c>
      <c r="M280" s="2186">
        <f t="shared" si="84"/>
        <v>229</v>
      </c>
      <c r="N280" s="2187">
        <v>46020</v>
      </c>
      <c r="O280" s="2187">
        <v>46018</v>
      </c>
      <c r="P280" s="1467"/>
      <c r="Q280" s="2197" t="s">
        <v>56</v>
      </c>
      <c r="R280" s="2197" t="s">
        <v>346</v>
      </c>
      <c r="S280" s="1472" t="s">
        <v>1247</v>
      </c>
      <c r="T280" s="1467"/>
      <c r="U280" s="2223" t="s">
        <v>1248</v>
      </c>
      <c r="V280" s="2198" t="s">
        <v>1249</v>
      </c>
      <c r="W280" s="2199" t="s">
        <v>1252</v>
      </c>
      <c r="X280" s="2111" t="s">
        <v>508</v>
      </c>
      <c r="Y280" s="2200">
        <v>3.0782</v>
      </c>
      <c r="Z280" s="2201">
        <f t="shared" si="85"/>
        <v>8458.8936</v>
      </c>
      <c r="AA280" s="2202"/>
      <c r="AB280" s="2203">
        <v>2748</v>
      </c>
      <c r="AC280" s="2202">
        <f t="shared" si="90"/>
        <v>0</v>
      </c>
      <c r="AD280" s="1878" t="s">
        <v>81</v>
      </c>
      <c r="AE280" s="1468" t="s">
        <v>63</v>
      </c>
      <c r="AF280" s="1468" t="s">
        <v>38</v>
      </c>
      <c r="AG280" s="2197"/>
      <c r="AH280" s="2208">
        <f>J280</f>
        <v>2748</v>
      </c>
      <c r="AI280" s="2208"/>
      <c r="AJ280" s="2209"/>
      <c r="AK280" s="2086"/>
      <c r="AL280" s="2110">
        <f t="shared" si="91"/>
        <v>2748</v>
      </c>
      <c r="AM280" s="2110"/>
      <c r="AN280" s="2086"/>
      <c r="AO280" s="2086"/>
      <c r="AP280" s="2086"/>
      <c r="AQ280" s="2086"/>
      <c r="AR280" s="2086"/>
      <c r="AS280" s="2162"/>
      <c r="AT280" s="2162"/>
      <c r="AU280" s="2162"/>
      <c r="AV280" s="2162"/>
      <c r="AW280" s="2208">
        <f>J280</f>
        <v>2748</v>
      </c>
      <c r="AX280" s="2110"/>
      <c r="AY280" s="2110"/>
      <c r="AZ280" s="2162"/>
      <c r="BA280" s="2209"/>
      <c r="BB280" s="2209"/>
      <c r="BC280" s="2209"/>
      <c r="BD280" s="2160">
        <f t="shared" si="92"/>
        <v>2748</v>
      </c>
      <c r="BE280" s="2160">
        <f t="shared" si="93"/>
        <v>0</v>
      </c>
    </row>
    <row r="281" s="1990" customFormat="1" ht="36" customHeight="1" spans="1:57">
      <c r="A281" s="2166">
        <v>45943</v>
      </c>
      <c r="B281" s="2167" t="s">
        <v>1016</v>
      </c>
      <c r="C281" s="2168" t="s">
        <v>91</v>
      </c>
      <c r="D281" s="2169">
        <v>4500181737</v>
      </c>
      <c r="E281" s="2170" t="s">
        <v>1257</v>
      </c>
      <c r="F281" s="2169" t="s">
        <v>1258</v>
      </c>
      <c r="G281" s="2172" t="s">
        <v>94</v>
      </c>
      <c r="H281" s="2172" t="s">
        <v>94</v>
      </c>
      <c r="I281" s="2196" t="s">
        <v>55</v>
      </c>
      <c r="J281" s="2172">
        <v>512</v>
      </c>
      <c r="K281" s="2184">
        <v>0</v>
      </c>
      <c r="L281" s="2185">
        <v>2</v>
      </c>
      <c r="M281" s="2186">
        <f t="shared" si="84"/>
        <v>256</v>
      </c>
      <c r="N281" s="2187">
        <v>46021</v>
      </c>
      <c r="O281" s="2187">
        <v>46017</v>
      </c>
      <c r="P281" s="1467" t="s">
        <v>1259</v>
      </c>
      <c r="Q281" s="2197" t="s">
        <v>56</v>
      </c>
      <c r="R281" s="2197" t="s">
        <v>126</v>
      </c>
      <c r="S281" s="1472" t="s">
        <v>1080</v>
      </c>
      <c r="T281" s="1467"/>
      <c r="U281" s="1467" t="s">
        <v>1081</v>
      </c>
      <c r="V281" s="2198" t="s">
        <v>1082</v>
      </c>
      <c r="W281" s="2199" t="s">
        <v>1092</v>
      </c>
      <c r="X281" s="2111" t="s">
        <v>101</v>
      </c>
      <c r="Y281" s="2200">
        <v>3.3957</v>
      </c>
      <c r="Z281" s="2201">
        <f t="shared" si="85"/>
        <v>1738.5984</v>
      </c>
      <c r="AA281" s="2202"/>
      <c r="AB281" s="2203">
        <v>512</v>
      </c>
      <c r="AC281" s="2202">
        <f t="shared" si="90"/>
        <v>0</v>
      </c>
      <c r="AD281" s="1878" t="s">
        <v>81</v>
      </c>
      <c r="AE281" s="1468" t="s">
        <v>63</v>
      </c>
      <c r="AF281" s="1468" t="s">
        <v>38</v>
      </c>
      <c r="AG281" s="2197"/>
      <c r="AH281" s="2208">
        <f>J281</f>
        <v>512</v>
      </c>
      <c r="AI281" s="2208"/>
      <c r="AJ281" s="2209"/>
      <c r="AK281" s="2086"/>
      <c r="AL281" s="2110">
        <f t="shared" si="91"/>
        <v>512</v>
      </c>
      <c r="AM281" s="2110"/>
      <c r="AN281" s="2086"/>
      <c r="AO281" s="2086"/>
      <c r="AP281" s="2086"/>
      <c r="AQ281" s="2086"/>
      <c r="AR281" s="2086"/>
      <c r="AS281" s="2162"/>
      <c r="AT281" s="2162"/>
      <c r="AU281" s="2162"/>
      <c r="AV281" s="2162"/>
      <c r="AW281" s="2110"/>
      <c r="AX281" s="2110"/>
      <c r="AY281" s="2110"/>
      <c r="AZ281" s="2162"/>
      <c r="BA281" s="2209">
        <f>J281</f>
        <v>512</v>
      </c>
      <c r="BB281" s="2209"/>
      <c r="BC281" s="2209"/>
      <c r="BD281" s="2160">
        <f t="shared" si="92"/>
        <v>512</v>
      </c>
      <c r="BE281" s="2160">
        <f t="shared" si="93"/>
        <v>0</v>
      </c>
    </row>
    <row r="282" s="1990" customFormat="1" ht="36" customHeight="1" spans="1:57">
      <c r="A282" s="2166">
        <v>45943</v>
      </c>
      <c r="B282" s="2167" t="s">
        <v>1016</v>
      </c>
      <c r="C282" s="2168" t="s">
        <v>91</v>
      </c>
      <c r="D282" s="2169">
        <v>4500181737</v>
      </c>
      <c r="E282" s="2170" t="s">
        <v>1260</v>
      </c>
      <c r="F282" s="2169" t="s">
        <v>1261</v>
      </c>
      <c r="G282" s="2172" t="s">
        <v>94</v>
      </c>
      <c r="H282" s="2172" t="s">
        <v>94</v>
      </c>
      <c r="I282" s="2196" t="s">
        <v>55</v>
      </c>
      <c r="J282" s="2172">
        <v>3298</v>
      </c>
      <c r="K282" s="2184">
        <v>0</v>
      </c>
      <c r="L282" s="2185">
        <v>2</v>
      </c>
      <c r="M282" s="2186">
        <f t="shared" si="84"/>
        <v>1649</v>
      </c>
      <c r="N282" s="2187">
        <v>46021</v>
      </c>
      <c r="O282" s="2187">
        <v>46017</v>
      </c>
      <c r="P282" s="1467" t="s">
        <v>1259</v>
      </c>
      <c r="Q282" s="2197" t="s">
        <v>56</v>
      </c>
      <c r="R282" s="2197" t="s">
        <v>1262</v>
      </c>
      <c r="S282" s="1472" t="s">
        <v>1080</v>
      </c>
      <c r="T282" s="1467"/>
      <c r="U282" s="1467" t="s">
        <v>1081</v>
      </c>
      <c r="V282" s="2198" t="s">
        <v>1082</v>
      </c>
      <c r="W282" s="2199" t="s">
        <v>1092</v>
      </c>
      <c r="X282" s="2111" t="s">
        <v>101</v>
      </c>
      <c r="Y282" s="2200">
        <v>2.0648</v>
      </c>
      <c r="Z282" s="2201">
        <f t="shared" si="85"/>
        <v>6809.7104</v>
      </c>
      <c r="AA282" s="2202"/>
      <c r="AB282" s="2203">
        <f>2710+588</f>
        <v>3298</v>
      </c>
      <c r="AC282" s="2202">
        <f t="shared" si="90"/>
        <v>0</v>
      </c>
      <c r="AD282" s="1878" t="s">
        <v>81</v>
      </c>
      <c r="AE282" s="1468" t="s">
        <v>63</v>
      </c>
      <c r="AF282" s="1468" t="s">
        <v>38</v>
      </c>
      <c r="AG282" s="2197"/>
      <c r="AH282" s="2208">
        <f>J282</f>
        <v>3298</v>
      </c>
      <c r="AI282" s="2208"/>
      <c r="AJ282" s="2209"/>
      <c r="AK282" s="2086"/>
      <c r="AL282" s="2110">
        <f t="shared" si="91"/>
        <v>3298</v>
      </c>
      <c r="AM282" s="2110"/>
      <c r="AN282" s="2086"/>
      <c r="AO282" s="2086"/>
      <c r="AP282" s="2086"/>
      <c r="AQ282" s="2086"/>
      <c r="AR282" s="2086"/>
      <c r="AS282" s="2162"/>
      <c r="AT282" s="2162"/>
      <c r="AU282" s="2162"/>
      <c r="AV282" s="2162"/>
      <c r="AW282" s="2110"/>
      <c r="AX282" s="2110"/>
      <c r="AY282" s="2110"/>
      <c r="AZ282" s="2162"/>
      <c r="BA282" s="2209">
        <f>J282</f>
        <v>3298</v>
      </c>
      <c r="BB282" s="2209"/>
      <c r="BC282" s="2209"/>
      <c r="BD282" s="2160">
        <f t="shared" si="92"/>
        <v>3298</v>
      </c>
      <c r="BE282" s="2160">
        <f t="shared" si="93"/>
        <v>0</v>
      </c>
    </row>
    <row r="283" s="1990" customFormat="1" ht="36" customHeight="1" spans="1:57">
      <c r="A283" s="2166">
        <v>45972</v>
      </c>
      <c r="B283" s="2167" t="s">
        <v>818</v>
      </c>
      <c r="C283" s="2168" t="s">
        <v>819</v>
      </c>
      <c r="D283" s="2169">
        <v>4500185070</v>
      </c>
      <c r="E283" s="2170"/>
      <c r="F283" s="2169" t="s">
        <v>1263</v>
      </c>
      <c r="G283" s="2172" t="s">
        <v>54</v>
      </c>
      <c r="H283" s="2172" t="s">
        <v>54</v>
      </c>
      <c r="I283" s="2182" t="s">
        <v>55</v>
      </c>
      <c r="J283" s="2172">
        <v>504</v>
      </c>
      <c r="K283" s="2184">
        <v>0</v>
      </c>
      <c r="L283" s="2185">
        <v>12</v>
      </c>
      <c r="M283" s="2186">
        <f t="shared" si="84"/>
        <v>42</v>
      </c>
      <c r="N283" s="2187">
        <v>46021</v>
      </c>
      <c r="O283" s="2187">
        <v>46017</v>
      </c>
      <c r="P283" s="1467" t="s">
        <v>1264</v>
      </c>
      <c r="Q283" s="2197" t="s">
        <v>56</v>
      </c>
      <c r="R283" s="2197" t="s">
        <v>207</v>
      </c>
      <c r="S283" s="1472" t="s">
        <v>1265</v>
      </c>
      <c r="T283" s="1467"/>
      <c r="U283" s="1467" t="s">
        <v>1266</v>
      </c>
      <c r="V283" s="2198" t="s">
        <v>1267</v>
      </c>
      <c r="W283" s="2199" t="s">
        <v>1268</v>
      </c>
      <c r="X283" s="2111" t="s">
        <v>1269</v>
      </c>
      <c r="Y283" s="2200">
        <v>3.8309</v>
      </c>
      <c r="Z283" s="2201">
        <f t="shared" si="85"/>
        <v>1930.7736</v>
      </c>
      <c r="AA283" s="2202"/>
      <c r="AB283" s="2203">
        <v>504</v>
      </c>
      <c r="AC283" s="2202">
        <f t="shared" si="90"/>
        <v>0</v>
      </c>
      <c r="AD283" s="1878" t="s">
        <v>81</v>
      </c>
      <c r="AE283" s="1468" t="s">
        <v>63</v>
      </c>
      <c r="AF283" s="1468" t="s">
        <v>38</v>
      </c>
      <c r="AG283" s="2197"/>
      <c r="AH283" s="2208">
        <f>J283</f>
        <v>504</v>
      </c>
      <c r="AI283" s="2208"/>
      <c r="AJ283" s="2209"/>
      <c r="AK283" s="2086"/>
      <c r="AL283" s="2110">
        <f t="shared" si="91"/>
        <v>504</v>
      </c>
      <c r="AM283" s="2110"/>
      <c r="AN283" s="2086"/>
      <c r="AO283" s="2086"/>
      <c r="AP283" s="2086"/>
      <c r="AQ283" s="2086"/>
      <c r="AR283" s="2086"/>
      <c r="AS283" s="2162"/>
      <c r="AT283" s="2162"/>
      <c r="AU283" s="2162"/>
      <c r="AV283" s="2162"/>
      <c r="AW283" s="2208">
        <f>J283</f>
        <v>504</v>
      </c>
      <c r="AX283" s="2110"/>
      <c r="AY283" s="2110"/>
      <c r="AZ283" s="2162"/>
      <c r="BA283" s="2209"/>
      <c r="BB283" s="2209"/>
      <c r="BC283" s="2209"/>
      <c r="BD283" s="2160">
        <f t="shared" si="92"/>
        <v>504</v>
      </c>
      <c r="BE283" s="2160">
        <f t="shared" si="93"/>
        <v>0</v>
      </c>
    </row>
    <row r="284" s="1990" customFormat="1" ht="36" customHeight="1" spans="1:57">
      <c r="A284" s="2166">
        <v>45972</v>
      </c>
      <c r="B284" s="2167" t="s">
        <v>818</v>
      </c>
      <c r="C284" s="2168" t="s">
        <v>819</v>
      </c>
      <c r="D284" s="2169">
        <v>4500185070</v>
      </c>
      <c r="E284" s="2170"/>
      <c r="F284" s="2169" t="s">
        <v>1270</v>
      </c>
      <c r="G284" s="2180" t="s">
        <v>66</v>
      </c>
      <c r="H284" s="2172" t="s">
        <v>66</v>
      </c>
      <c r="I284" s="2188" t="s">
        <v>67</v>
      </c>
      <c r="J284" s="2172">
        <v>504</v>
      </c>
      <c r="K284" s="2184">
        <v>0</v>
      </c>
      <c r="L284" s="2185">
        <v>12</v>
      </c>
      <c r="M284" s="2186">
        <f t="shared" si="84"/>
        <v>42</v>
      </c>
      <c r="N284" s="2187">
        <v>46021</v>
      </c>
      <c r="O284" s="2187">
        <v>46017</v>
      </c>
      <c r="P284" s="1467" t="s">
        <v>1264</v>
      </c>
      <c r="Q284" s="2197" t="s">
        <v>56</v>
      </c>
      <c r="R284" s="2197" t="s">
        <v>207</v>
      </c>
      <c r="S284" s="1472" t="s">
        <v>1265</v>
      </c>
      <c r="T284" s="1467"/>
      <c r="U284" s="1467" t="s">
        <v>1266</v>
      </c>
      <c r="V284" s="2198" t="s">
        <v>1271</v>
      </c>
      <c r="W284" s="2199" t="s">
        <v>1272</v>
      </c>
      <c r="X284" s="2111" t="s">
        <v>1269</v>
      </c>
      <c r="Y284" s="2200">
        <v>3.6399</v>
      </c>
      <c r="Z284" s="2201">
        <f t="shared" si="85"/>
        <v>1834.5096</v>
      </c>
      <c r="AA284" s="2202"/>
      <c r="AB284" s="2203">
        <v>504</v>
      </c>
      <c r="AC284" s="2202">
        <f t="shared" si="90"/>
        <v>0</v>
      </c>
      <c r="AD284" s="1878" t="s">
        <v>81</v>
      </c>
      <c r="AE284" s="1468" t="s">
        <v>63</v>
      </c>
      <c r="AF284" s="1468" t="s">
        <v>38</v>
      </c>
      <c r="AG284" s="2197"/>
      <c r="AH284" s="2208"/>
      <c r="AI284" s="2208"/>
      <c r="AJ284" s="2209">
        <f>J284</f>
        <v>504</v>
      </c>
      <c r="AK284" s="2086"/>
      <c r="AL284" s="2110">
        <f t="shared" si="91"/>
        <v>504</v>
      </c>
      <c r="AM284" s="2110"/>
      <c r="AN284" s="2086"/>
      <c r="AO284" s="2086"/>
      <c r="AP284" s="2086"/>
      <c r="AQ284" s="2086"/>
      <c r="AR284" s="2086"/>
      <c r="AS284" s="2162"/>
      <c r="AT284" s="2162"/>
      <c r="AU284" s="2162"/>
      <c r="AV284" s="2162"/>
      <c r="AW284" s="2110"/>
      <c r="AX284" s="2110"/>
      <c r="AY284" s="2110">
        <f>J284</f>
        <v>504</v>
      </c>
      <c r="AZ284" s="2162"/>
      <c r="BA284" s="2209"/>
      <c r="BB284" s="2209"/>
      <c r="BC284" s="2209"/>
      <c r="BD284" s="2160">
        <f t="shared" si="92"/>
        <v>504</v>
      </c>
      <c r="BE284" s="2160">
        <f t="shared" si="93"/>
        <v>0</v>
      </c>
    </row>
    <row r="285" s="1988" customFormat="1" ht="36" customHeight="1" spans="1:57">
      <c r="A285" s="2018">
        <v>45957</v>
      </c>
      <c r="B285" s="2098" t="s">
        <v>1125</v>
      </c>
      <c r="C285" s="1723" t="s">
        <v>398</v>
      </c>
      <c r="D285" s="2114">
        <v>4500183043</v>
      </c>
      <c r="E285" s="2164" t="s">
        <v>1126</v>
      </c>
      <c r="F285" s="2218" t="s">
        <v>1273</v>
      </c>
      <c r="G285" s="2219" t="s">
        <v>180</v>
      </c>
      <c r="H285" s="2044" t="s">
        <v>66</v>
      </c>
      <c r="I285" s="2221" t="s">
        <v>67</v>
      </c>
      <c r="J285" s="2181">
        <v>804</v>
      </c>
      <c r="K285" s="2037">
        <v>0</v>
      </c>
      <c r="L285" s="2038">
        <v>12</v>
      </c>
      <c r="M285" s="2039">
        <f t="shared" ref="M285:M339" si="94">J285/L285</f>
        <v>67</v>
      </c>
      <c r="N285" s="2040">
        <v>46031</v>
      </c>
      <c r="O285" s="2040">
        <v>46027</v>
      </c>
      <c r="P285" s="1364" t="s">
        <v>1136</v>
      </c>
      <c r="Q285" s="1363" t="s">
        <v>56</v>
      </c>
      <c r="R285" s="1363"/>
      <c r="S285" s="1406" t="s">
        <v>1129</v>
      </c>
      <c r="T285" s="1364"/>
      <c r="U285" s="1364" t="s">
        <v>1274</v>
      </c>
      <c r="V285" s="1365" t="s">
        <v>1137</v>
      </c>
      <c r="W285" s="2055" t="s">
        <v>1138</v>
      </c>
      <c r="X285" s="2087" t="s">
        <v>517</v>
      </c>
      <c r="Y285" s="2065">
        <v>3.2336</v>
      </c>
      <c r="Z285" s="2066">
        <f t="shared" ref="Z285:Z339" si="95">Y285*J285</f>
        <v>2599.8144</v>
      </c>
      <c r="AA285" s="2068"/>
      <c r="AB285" s="2107">
        <v>804</v>
      </c>
      <c r="AC285" s="2068">
        <f t="shared" ref="AC285:AC303" si="96">AB285-J285</f>
        <v>0</v>
      </c>
      <c r="AD285" s="2108" t="s">
        <v>327</v>
      </c>
      <c r="AE285" s="1402" t="s">
        <v>63</v>
      </c>
      <c r="AF285" s="1402" t="s">
        <v>38</v>
      </c>
      <c r="AG285" s="1363"/>
      <c r="AH285" s="2073"/>
      <c r="AI285" s="2073"/>
      <c r="AJ285" s="2085">
        <f>J285</f>
        <v>804</v>
      </c>
      <c r="AK285" s="2204"/>
      <c r="AL285" s="2042"/>
      <c r="AM285" s="2042">
        <f t="shared" ref="AM285:AM296" si="97">J286</f>
        <v>804</v>
      </c>
      <c r="AN285" s="2204"/>
      <c r="AO285" s="2204"/>
      <c r="AP285" s="2204"/>
      <c r="AQ285" s="2204"/>
      <c r="AR285" s="2204"/>
      <c r="AS285" s="2210"/>
      <c r="AT285" s="2210"/>
      <c r="AU285" s="2210"/>
      <c r="AV285" s="2210"/>
      <c r="AW285" s="2042"/>
      <c r="AX285" s="2042"/>
      <c r="AY285" s="2042"/>
      <c r="AZ285" s="2210"/>
      <c r="BA285" s="2085"/>
      <c r="BB285" s="2085"/>
      <c r="BC285" s="2085">
        <f>J285</f>
        <v>804</v>
      </c>
      <c r="BD285" s="2094">
        <f t="shared" si="92"/>
        <v>804</v>
      </c>
      <c r="BE285" s="2094">
        <f t="shared" si="93"/>
        <v>0</v>
      </c>
    </row>
    <row r="286" s="1988" customFormat="1" ht="36" customHeight="1" spans="1:57">
      <c r="A286" s="2018">
        <v>45957</v>
      </c>
      <c r="B286" s="2098" t="s">
        <v>1125</v>
      </c>
      <c r="C286" s="1723" t="s">
        <v>398</v>
      </c>
      <c r="D286" s="2114">
        <v>4500183043</v>
      </c>
      <c r="E286" s="2164" t="s">
        <v>1126</v>
      </c>
      <c r="F286" s="2218" t="s">
        <v>1275</v>
      </c>
      <c r="G286" s="2220" t="s">
        <v>125</v>
      </c>
      <c r="H286" s="2044" t="s">
        <v>54</v>
      </c>
      <c r="I286" s="2222" t="s">
        <v>55</v>
      </c>
      <c r="J286" s="2181">
        <v>804</v>
      </c>
      <c r="K286" s="2037">
        <v>0</v>
      </c>
      <c r="L286" s="2038">
        <v>12</v>
      </c>
      <c r="M286" s="2039">
        <f t="shared" si="94"/>
        <v>67</v>
      </c>
      <c r="N286" s="2040">
        <v>46031</v>
      </c>
      <c r="O286" s="2040">
        <v>46027</v>
      </c>
      <c r="P286" s="1364" t="s">
        <v>1136</v>
      </c>
      <c r="Q286" s="1363" t="s">
        <v>56</v>
      </c>
      <c r="R286" s="1363"/>
      <c r="S286" s="1406" t="s">
        <v>1129</v>
      </c>
      <c r="T286" s="1364"/>
      <c r="U286" s="1364" t="s">
        <v>1274</v>
      </c>
      <c r="V286" s="1365" t="s">
        <v>1131</v>
      </c>
      <c r="W286" s="2055" t="s">
        <v>1132</v>
      </c>
      <c r="X286" s="2087" t="s">
        <v>517</v>
      </c>
      <c r="Y286" s="2065">
        <v>3.4758</v>
      </c>
      <c r="Z286" s="2066">
        <f t="shared" si="95"/>
        <v>2794.5432</v>
      </c>
      <c r="AA286" s="2068"/>
      <c r="AB286" s="2107">
        <v>804</v>
      </c>
      <c r="AC286" s="2068">
        <f t="shared" si="96"/>
        <v>0</v>
      </c>
      <c r="AD286" s="2108" t="s">
        <v>327</v>
      </c>
      <c r="AE286" s="1402" t="s">
        <v>63</v>
      </c>
      <c r="AF286" s="1402" t="s">
        <v>38</v>
      </c>
      <c r="AG286" s="1363"/>
      <c r="AH286" s="2073">
        <f>J286</f>
        <v>804</v>
      </c>
      <c r="AI286" s="2073"/>
      <c r="AJ286" s="2085"/>
      <c r="AK286" s="2204"/>
      <c r="AL286" s="2042"/>
      <c r="AM286" s="2042">
        <f t="shared" si="97"/>
        <v>144</v>
      </c>
      <c r="AN286" s="2204"/>
      <c r="AO286" s="2204"/>
      <c r="AP286" s="2204"/>
      <c r="AQ286" s="2204"/>
      <c r="AR286" s="2204"/>
      <c r="AS286" s="2210"/>
      <c r="AT286" s="2210"/>
      <c r="AU286" s="2210"/>
      <c r="AV286" s="2210"/>
      <c r="AW286" s="2042"/>
      <c r="AX286" s="2042"/>
      <c r="AY286" s="2042"/>
      <c r="AZ286" s="2210"/>
      <c r="BA286" s="2085">
        <f>J286</f>
        <v>804</v>
      </c>
      <c r="BB286" s="2085"/>
      <c r="BC286" s="2085"/>
      <c r="BD286" s="2094">
        <f t="shared" si="92"/>
        <v>804</v>
      </c>
      <c r="BE286" s="2094">
        <f t="shared" si="93"/>
        <v>0</v>
      </c>
    </row>
    <row r="287" s="1988" customFormat="1" ht="36" customHeight="1" spans="1:57">
      <c r="A287" s="2018">
        <v>45957</v>
      </c>
      <c r="B287" s="2098" t="s">
        <v>510</v>
      </c>
      <c r="C287" s="1723" t="s">
        <v>398</v>
      </c>
      <c r="D287" s="2114">
        <v>4500183001</v>
      </c>
      <c r="E287" s="2164" t="s">
        <v>1141</v>
      </c>
      <c r="F287" s="2218" t="s">
        <v>1276</v>
      </c>
      <c r="G287" s="2220" t="s">
        <v>125</v>
      </c>
      <c r="H287" s="2044" t="s">
        <v>54</v>
      </c>
      <c r="I287" s="2222" t="s">
        <v>55</v>
      </c>
      <c r="J287" s="2181">
        <v>144</v>
      </c>
      <c r="K287" s="2037">
        <v>0</v>
      </c>
      <c r="L287" s="2038">
        <v>12</v>
      </c>
      <c r="M287" s="2039">
        <f t="shared" si="94"/>
        <v>12</v>
      </c>
      <c r="N287" s="2040">
        <v>46031</v>
      </c>
      <c r="O287" s="2040">
        <v>46027</v>
      </c>
      <c r="P287" s="1364" t="s">
        <v>1136</v>
      </c>
      <c r="Q287" s="1363" t="s">
        <v>56</v>
      </c>
      <c r="R287" s="1363" t="s">
        <v>1277</v>
      </c>
      <c r="S287" s="1406" t="s">
        <v>1129</v>
      </c>
      <c r="T287" s="1364"/>
      <c r="U287" s="1364" t="s">
        <v>1274</v>
      </c>
      <c r="V287" s="1365" t="s">
        <v>1131</v>
      </c>
      <c r="W287" s="2055" t="s">
        <v>1144</v>
      </c>
      <c r="X287" s="2087" t="s">
        <v>517</v>
      </c>
      <c r="Y287" s="2065">
        <v>3.8309</v>
      </c>
      <c r="Z287" s="2066">
        <f t="shared" si="95"/>
        <v>551.6496</v>
      </c>
      <c r="AA287" s="2068"/>
      <c r="AB287" s="2107">
        <v>144</v>
      </c>
      <c r="AC287" s="2068">
        <f t="shared" si="96"/>
        <v>0</v>
      </c>
      <c r="AD287" s="2108" t="s">
        <v>327</v>
      </c>
      <c r="AE287" s="1402" t="s">
        <v>63</v>
      </c>
      <c r="AF287" s="1402" t="s">
        <v>38</v>
      </c>
      <c r="AG287" s="1363"/>
      <c r="AH287" s="2073">
        <f>J287</f>
        <v>144</v>
      </c>
      <c r="AI287" s="2073"/>
      <c r="AJ287" s="2085"/>
      <c r="AK287" s="2204"/>
      <c r="AL287" s="2042"/>
      <c r="AM287" s="2042">
        <f t="shared" si="97"/>
        <v>144</v>
      </c>
      <c r="AN287" s="2204"/>
      <c r="AO287" s="2204"/>
      <c r="AP287" s="2204"/>
      <c r="AQ287" s="2204"/>
      <c r="AR287" s="2204"/>
      <c r="AS287" s="2210"/>
      <c r="AT287" s="2210"/>
      <c r="AU287" s="2210"/>
      <c r="AV287" s="2210"/>
      <c r="AW287" s="2042"/>
      <c r="AX287" s="2042"/>
      <c r="AY287" s="2042"/>
      <c r="AZ287" s="2210"/>
      <c r="BA287" s="2085">
        <f>J287</f>
        <v>144</v>
      </c>
      <c r="BB287" s="2085"/>
      <c r="BC287" s="2085"/>
      <c r="BD287" s="2094">
        <f t="shared" si="92"/>
        <v>144</v>
      </c>
      <c r="BE287" s="2094">
        <f t="shared" si="93"/>
        <v>0</v>
      </c>
    </row>
    <row r="288" s="1988" customFormat="1" ht="36" customHeight="1" spans="1:57">
      <c r="A288" s="2018">
        <v>45957</v>
      </c>
      <c r="B288" s="2098" t="s">
        <v>510</v>
      </c>
      <c r="C288" s="1723" t="s">
        <v>398</v>
      </c>
      <c r="D288" s="2114">
        <v>4500183001</v>
      </c>
      <c r="E288" s="2164" t="s">
        <v>1141</v>
      </c>
      <c r="F288" s="2218" t="s">
        <v>1278</v>
      </c>
      <c r="G288" s="2219" t="s">
        <v>180</v>
      </c>
      <c r="H288" s="2044" t="s">
        <v>66</v>
      </c>
      <c r="I288" s="2221" t="s">
        <v>67</v>
      </c>
      <c r="J288" s="2181">
        <v>144</v>
      </c>
      <c r="K288" s="2037">
        <v>0</v>
      </c>
      <c r="L288" s="2038">
        <v>12</v>
      </c>
      <c r="M288" s="2039">
        <f t="shared" si="94"/>
        <v>12</v>
      </c>
      <c r="N288" s="2040">
        <v>46031</v>
      </c>
      <c r="O288" s="2040">
        <v>46027</v>
      </c>
      <c r="P288" s="1364" t="s">
        <v>1136</v>
      </c>
      <c r="Q288" s="1363" t="s">
        <v>56</v>
      </c>
      <c r="R288" s="1363"/>
      <c r="S288" s="1406" t="s">
        <v>1129</v>
      </c>
      <c r="T288" s="1364"/>
      <c r="U288" s="1364" t="s">
        <v>1274</v>
      </c>
      <c r="V288" s="1365" t="s">
        <v>1137</v>
      </c>
      <c r="W288" s="2055" t="s">
        <v>1148</v>
      </c>
      <c r="X288" s="2087" t="s">
        <v>517</v>
      </c>
      <c r="Y288" s="2065">
        <v>3.6399</v>
      </c>
      <c r="Z288" s="2066">
        <f t="shared" si="95"/>
        <v>524.1456</v>
      </c>
      <c r="AA288" s="2068"/>
      <c r="AB288" s="2107">
        <v>144</v>
      </c>
      <c r="AC288" s="2068">
        <f t="shared" si="96"/>
        <v>0</v>
      </c>
      <c r="AD288" s="2108" t="s">
        <v>327</v>
      </c>
      <c r="AE288" s="1402" t="s">
        <v>63</v>
      </c>
      <c r="AF288" s="1402" t="s">
        <v>38</v>
      </c>
      <c r="AG288" s="1363"/>
      <c r="AH288" s="2073"/>
      <c r="AI288" s="2073"/>
      <c r="AJ288" s="2085">
        <f>J288</f>
        <v>144</v>
      </c>
      <c r="AK288" s="2204"/>
      <c r="AL288" s="2042"/>
      <c r="AM288" s="2042">
        <f t="shared" si="97"/>
        <v>144</v>
      </c>
      <c r="AN288" s="2204"/>
      <c r="AO288" s="2204"/>
      <c r="AP288" s="2204"/>
      <c r="AQ288" s="2204"/>
      <c r="AR288" s="2204"/>
      <c r="AS288" s="2210"/>
      <c r="AT288" s="2210"/>
      <c r="AU288" s="2210"/>
      <c r="AV288" s="2210"/>
      <c r="AW288" s="2042"/>
      <c r="AX288" s="2042"/>
      <c r="AY288" s="2042"/>
      <c r="AZ288" s="2210"/>
      <c r="BA288" s="2085"/>
      <c r="BB288" s="2085"/>
      <c r="BC288" s="2085">
        <f>J288</f>
        <v>144</v>
      </c>
      <c r="BD288" s="2094">
        <f t="shared" si="92"/>
        <v>144</v>
      </c>
      <c r="BE288" s="2094">
        <f t="shared" si="93"/>
        <v>0</v>
      </c>
    </row>
    <row r="289" s="1988" customFormat="1" ht="36" customHeight="1" spans="1:57">
      <c r="A289" s="2018">
        <v>45957</v>
      </c>
      <c r="B289" s="2098" t="s">
        <v>510</v>
      </c>
      <c r="C289" s="1723" t="s">
        <v>398</v>
      </c>
      <c r="D289" s="2114">
        <v>4500183001</v>
      </c>
      <c r="E289" s="2164" t="s">
        <v>1141</v>
      </c>
      <c r="F289" s="2218" t="s">
        <v>1279</v>
      </c>
      <c r="G289" s="2219" t="s">
        <v>180</v>
      </c>
      <c r="H289" s="2044" t="s">
        <v>66</v>
      </c>
      <c r="I289" s="2221" t="s">
        <v>67</v>
      </c>
      <c r="J289" s="2181">
        <v>144</v>
      </c>
      <c r="K289" s="2037">
        <v>0</v>
      </c>
      <c r="L289" s="2038">
        <v>12</v>
      </c>
      <c r="M289" s="2039">
        <f t="shared" si="94"/>
        <v>12</v>
      </c>
      <c r="N289" s="2040">
        <v>46031</v>
      </c>
      <c r="O289" s="2040">
        <v>46027</v>
      </c>
      <c r="P289" s="1364" t="s">
        <v>1136</v>
      </c>
      <c r="Q289" s="1363" t="s">
        <v>56</v>
      </c>
      <c r="R289" s="1363"/>
      <c r="S289" s="1406" t="s">
        <v>1129</v>
      </c>
      <c r="T289" s="1364"/>
      <c r="U289" s="1364" t="s">
        <v>1274</v>
      </c>
      <c r="V289" s="1365" t="s">
        <v>1137</v>
      </c>
      <c r="W289" s="2055" t="s">
        <v>1148</v>
      </c>
      <c r="X289" s="2087" t="s">
        <v>517</v>
      </c>
      <c r="Y289" s="2065">
        <v>3.6399</v>
      </c>
      <c r="Z289" s="2066">
        <f t="shared" si="95"/>
        <v>524.1456</v>
      </c>
      <c r="AA289" s="2068"/>
      <c r="AB289" s="2107">
        <v>144</v>
      </c>
      <c r="AC289" s="2068">
        <f t="shared" si="96"/>
        <v>0</v>
      </c>
      <c r="AD289" s="2108" t="s">
        <v>327</v>
      </c>
      <c r="AE289" s="1402" t="s">
        <v>63</v>
      </c>
      <c r="AF289" s="1402" t="s">
        <v>38</v>
      </c>
      <c r="AG289" s="1363"/>
      <c r="AH289" s="2073"/>
      <c r="AI289" s="2073"/>
      <c r="AJ289" s="2085">
        <f>J289</f>
        <v>144</v>
      </c>
      <c r="AK289" s="2204"/>
      <c r="AL289" s="2042"/>
      <c r="AM289" s="2042">
        <f t="shared" si="97"/>
        <v>144</v>
      </c>
      <c r="AN289" s="2204"/>
      <c r="AO289" s="2204"/>
      <c r="AP289" s="2204"/>
      <c r="AQ289" s="2204"/>
      <c r="AR289" s="2204"/>
      <c r="AS289" s="2210"/>
      <c r="AT289" s="2210"/>
      <c r="AU289" s="2210"/>
      <c r="AV289" s="2210"/>
      <c r="AW289" s="2042"/>
      <c r="AX289" s="2042"/>
      <c r="AY289" s="2042"/>
      <c r="AZ289" s="2210"/>
      <c r="BA289" s="2085"/>
      <c r="BB289" s="2085"/>
      <c r="BC289" s="2085">
        <f>J289</f>
        <v>144</v>
      </c>
      <c r="BD289" s="2094">
        <f t="shared" si="92"/>
        <v>144</v>
      </c>
      <c r="BE289" s="2094">
        <f t="shared" si="93"/>
        <v>0</v>
      </c>
    </row>
    <row r="290" s="1988" customFormat="1" ht="36" customHeight="1" spans="1:57">
      <c r="A290" s="2018">
        <v>45957</v>
      </c>
      <c r="B290" s="2098" t="s">
        <v>510</v>
      </c>
      <c r="C290" s="1723" t="s">
        <v>398</v>
      </c>
      <c r="D290" s="2114">
        <v>4500183001</v>
      </c>
      <c r="E290" s="2164" t="s">
        <v>1141</v>
      </c>
      <c r="F290" s="2218" t="s">
        <v>1280</v>
      </c>
      <c r="G290" s="2220" t="s">
        <v>125</v>
      </c>
      <c r="H290" s="2044" t="s">
        <v>54</v>
      </c>
      <c r="I290" s="2222" t="s">
        <v>55</v>
      </c>
      <c r="J290" s="2181">
        <v>144</v>
      </c>
      <c r="K290" s="2037">
        <v>0</v>
      </c>
      <c r="L290" s="2038">
        <v>12</v>
      </c>
      <c r="M290" s="2039">
        <f t="shared" si="94"/>
        <v>12</v>
      </c>
      <c r="N290" s="2040">
        <v>46031</v>
      </c>
      <c r="O290" s="2040">
        <v>46027</v>
      </c>
      <c r="P290" s="1364" t="s">
        <v>1136</v>
      </c>
      <c r="Q290" s="1363" t="s">
        <v>56</v>
      </c>
      <c r="R290" s="1363" t="s">
        <v>1277</v>
      </c>
      <c r="S290" s="1406" t="s">
        <v>1129</v>
      </c>
      <c r="T290" s="1364"/>
      <c r="U290" s="1364" t="s">
        <v>1274</v>
      </c>
      <c r="V290" s="1365" t="s">
        <v>1131</v>
      </c>
      <c r="W290" s="2055" t="s">
        <v>1144</v>
      </c>
      <c r="X290" s="2087" t="s">
        <v>517</v>
      </c>
      <c r="Y290" s="2065">
        <v>3.8309</v>
      </c>
      <c r="Z290" s="2066">
        <f t="shared" si="95"/>
        <v>551.6496</v>
      </c>
      <c r="AA290" s="2068"/>
      <c r="AB290" s="2107">
        <v>144</v>
      </c>
      <c r="AC290" s="2068">
        <f t="shared" si="96"/>
        <v>0</v>
      </c>
      <c r="AD290" s="2108" t="s">
        <v>327</v>
      </c>
      <c r="AE290" s="1402" t="s">
        <v>63</v>
      </c>
      <c r="AF290" s="1402" t="s">
        <v>38</v>
      </c>
      <c r="AG290" s="1363"/>
      <c r="AH290" s="2073">
        <f>J290</f>
        <v>144</v>
      </c>
      <c r="AI290" s="2073"/>
      <c r="AJ290" s="2085"/>
      <c r="AK290" s="2204"/>
      <c r="AL290" s="2042"/>
      <c r="AM290" s="2042">
        <f t="shared" si="97"/>
        <v>204</v>
      </c>
      <c r="AN290" s="2204"/>
      <c r="AO290" s="2204"/>
      <c r="AP290" s="2204"/>
      <c r="AQ290" s="2204"/>
      <c r="AR290" s="2204"/>
      <c r="AS290" s="2210"/>
      <c r="AT290" s="2210"/>
      <c r="AU290" s="2210"/>
      <c r="AV290" s="2210"/>
      <c r="AW290" s="2042"/>
      <c r="AX290" s="2042"/>
      <c r="AY290" s="2042"/>
      <c r="AZ290" s="2210"/>
      <c r="BA290" s="2085">
        <f>J290</f>
        <v>144</v>
      </c>
      <c r="BB290" s="2085"/>
      <c r="BC290" s="2085"/>
      <c r="BD290" s="2094">
        <f t="shared" si="92"/>
        <v>144</v>
      </c>
      <c r="BE290" s="2094">
        <f t="shared" si="93"/>
        <v>0</v>
      </c>
    </row>
    <row r="291" s="1988" customFormat="1" ht="36" customHeight="1" spans="1:57">
      <c r="A291" s="2018">
        <v>45957</v>
      </c>
      <c r="B291" s="2098" t="s">
        <v>1125</v>
      </c>
      <c r="C291" s="1723" t="s">
        <v>398</v>
      </c>
      <c r="D291" s="2114">
        <v>4500183051</v>
      </c>
      <c r="E291" s="2164" t="s">
        <v>1281</v>
      </c>
      <c r="F291" s="2218" t="s">
        <v>1282</v>
      </c>
      <c r="G291" s="2219" t="s">
        <v>180</v>
      </c>
      <c r="H291" s="2044" t="s">
        <v>66</v>
      </c>
      <c r="I291" s="2221" t="s">
        <v>67</v>
      </c>
      <c r="J291" s="2181">
        <v>204</v>
      </c>
      <c r="K291" s="2037">
        <v>0</v>
      </c>
      <c r="L291" s="2038">
        <v>12</v>
      </c>
      <c r="M291" s="2039">
        <f t="shared" si="94"/>
        <v>17</v>
      </c>
      <c r="N291" s="2040">
        <v>46031</v>
      </c>
      <c r="O291" s="2040">
        <v>46027</v>
      </c>
      <c r="P291" s="1364" t="s">
        <v>1136</v>
      </c>
      <c r="Q291" s="1363" t="s">
        <v>56</v>
      </c>
      <c r="R291" s="1363"/>
      <c r="S291" s="1406" t="s">
        <v>1129</v>
      </c>
      <c r="T291" s="1364"/>
      <c r="U291" s="1364" t="s">
        <v>1274</v>
      </c>
      <c r="V291" s="1365" t="s">
        <v>1137</v>
      </c>
      <c r="W291" s="2055" t="s">
        <v>1283</v>
      </c>
      <c r="X291" s="2087" t="s">
        <v>517</v>
      </c>
      <c r="Y291" s="2065">
        <v>3.2336</v>
      </c>
      <c r="Z291" s="2066">
        <f t="shared" si="95"/>
        <v>659.6544</v>
      </c>
      <c r="AA291" s="2068"/>
      <c r="AB291" s="2107">
        <v>204</v>
      </c>
      <c r="AC291" s="2068">
        <f t="shared" si="96"/>
        <v>0</v>
      </c>
      <c r="AD291" s="2108" t="s">
        <v>327</v>
      </c>
      <c r="AE291" s="1402" t="s">
        <v>63</v>
      </c>
      <c r="AF291" s="1402" t="s">
        <v>38</v>
      </c>
      <c r="AG291" s="1363"/>
      <c r="AH291" s="2073"/>
      <c r="AI291" s="2073"/>
      <c r="AJ291" s="2085">
        <f>J291</f>
        <v>204</v>
      </c>
      <c r="AK291" s="2204"/>
      <c r="AL291" s="2042"/>
      <c r="AM291" s="2042">
        <f t="shared" si="97"/>
        <v>204</v>
      </c>
      <c r="AN291" s="2204"/>
      <c r="AO291" s="2204"/>
      <c r="AP291" s="2204"/>
      <c r="AQ291" s="2204"/>
      <c r="AR291" s="2204"/>
      <c r="AS291" s="2210"/>
      <c r="AT291" s="2210"/>
      <c r="AU291" s="2210"/>
      <c r="AV291" s="2210"/>
      <c r="AW291" s="2042"/>
      <c r="AX291" s="2042"/>
      <c r="AY291" s="2042"/>
      <c r="AZ291" s="2210"/>
      <c r="BA291" s="2085"/>
      <c r="BB291" s="2085"/>
      <c r="BC291" s="2085">
        <f>J291</f>
        <v>204</v>
      </c>
      <c r="BD291" s="2094">
        <f t="shared" si="92"/>
        <v>204</v>
      </c>
      <c r="BE291" s="2094">
        <f t="shared" si="93"/>
        <v>0</v>
      </c>
    </row>
    <row r="292" s="1988" customFormat="1" ht="36" customHeight="1" spans="1:57">
      <c r="A292" s="2018">
        <v>45957</v>
      </c>
      <c r="B292" s="2098" t="s">
        <v>1125</v>
      </c>
      <c r="C292" s="1723" t="s">
        <v>398</v>
      </c>
      <c r="D292" s="2114">
        <v>4500183051</v>
      </c>
      <c r="E292" s="2164" t="s">
        <v>1281</v>
      </c>
      <c r="F292" s="2218" t="s">
        <v>1284</v>
      </c>
      <c r="G292" s="2220" t="s">
        <v>125</v>
      </c>
      <c r="H292" s="2044" t="s">
        <v>54</v>
      </c>
      <c r="I292" s="2222" t="s">
        <v>55</v>
      </c>
      <c r="J292" s="2181">
        <v>204</v>
      </c>
      <c r="K292" s="2037">
        <v>0</v>
      </c>
      <c r="L292" s="2038">
        <v>12</v>
      </c>
      <c r="M292" s="2039">
        <f t="shared" si="94"/>
        <v>17</v>
      </c>
      <c r="N292" s="2040">
        <v>46031</v>
      </c>
      <c r="O292" s="2040">
        <v>46027</v>
      </c>
      <c r="P292" s="1364" t="s">
        <v>1136</v>
      </c>
      <c r="Q292" s="1363" t="s">
        <v>56</v>
      </c>
      <c r="R292" s="1363"/>
      <c r="S292" s="1406" t="s">
        <v>1129</v>
      </c>
      <c r="T292" s="1364"/>
      <c r="U292" s="1364" t="s">
        <v>1274</v>
      </c>
      <c r="V292" s="1365" t="s">
        <v>1131</v>
      </c>
      <c r="W292" s="2055" t="s">
        <v>1144</v>
      </c>
      <c r="X292" s="2087" t="s">
        <v>517</v>
      </c>
      <c r="Y292" s="2065">
        <v>3.4758</v>
      </c>
      <c r="Z292" s="2066">
        <f t="shared" si="95"/>
        <v>709.0632</v>
      </c>
      <c r="AA292" s="2068"/>
      <c r="AB292" s="2107">
        <v>204</v>
      </c>
      <c r="AC292" s="2068">
        <f t="shared" si="96"/>
        <v>0</v>
      </c>
      <c r="AD292" s="2108" t="s">
        <v>327</v>
      </c>
      <c r="AE292" s="1402" t="s">
        <v>63</v>
      </c>
      <c r="AF292" s="1402" t="s">
        <v>38</v>
      </c>
      <c r="AG292" s="1363"/>
      <c r="AH292" s="2073">
        <f>J292</f>
        <v>204</v>
      </c>
      <c r="AI292" s="2073"/>
      <c r="AJ292" s="2085"/>
      <c r="AK292" s="2204"/>
      <c r="AL292" s="2042"/>
      <c r="AM292" s="2042">
        <f t="shared" si="97"/>
        <v>804</v>
      </c>
      <c r="AN292" s="2204"/>
      <c r="AO292" s="2204"/>
      <c r="AP292" s="2204"/>
      <c r="AQ292" s="2204"/>
      <c r="AR292" s="2204"/>
      <c r="AS292" s="2210"/>
      <c r="AT292" s="2210"/>
      <c r="AU292" s="2210"/>
      <c r="AV292" s="2210"/>
      <c r="AW292" s="2042"/>
      <c r="AX292" s="2042"/>
      <c r="AY292" s="2042"/>
      <c r="AZ292" s="2210"/>
      <c r="BA292" s="2085">
        <f>J292</f>
        <v>204</v>
      </c>
      <c r="BB292" s="2085"/>
      <c r="BC292" s="2085"/>
      <c r="BD292" s="2094">
        <f t="shared" si="92"/>
        <v>204</v>
      </c>
      <c r="BE292" s="2094">
        <f t="shared" si="93"/>
        <v>0</v>
      </c>
    </row>
    <row r="293" s="1988" customFormat="1" ht="36" customHeight="1" spans="1:57">
      <c r="A293" s="2018">
        <v>45957</v>
      </c>
      <c r="B293" s="2098" t="s">
        <v>1125</v>
      </c>
      <c r="C293" s="1723" t="s">
        <v>398</v>
      </c>
      <c r="D293" s="2114">
        <v>4500183051</v>
      </c>
      <c r="E293" s="2164" t="s">
        <v>1281</v>
      </c>
      <c r="F293" s="2218" t="s">
        <v>1285</v>
      </c>
      <c r="G293" s="2219" t="s">
        <v>180</v>
      </c>
      <c r="H293" s="2044" t="s">
        <v>66</v>
      </c>
      <c r="I293" s="2221" t="s">
        <v>67</v>
      </c>
      <c r="J293" s="2181">
        <v>804</v>
      </c>
      <c r="K293" s="2037">
        <v>0</v>
      </c>
      <c r="L293" s="2038">
        <v>12</v>
      </c>
      <c r="M293" s="2039">
        <f t="shared" si="94"/>
        <v>67</v>
      </c>
      <c r="N293" s="2040">
        <v>46031</v>
      </c>
      <c r="O293" s="2040">
        <v>46027</v>
      </c>
      <c r="P293" s="1364" t="s">
        <v>1136</v>
      </c>
      <c r="Q293" s="1363" t="s">
        <v>56</v>
      </c>
      <c r="R293" s="1363"/>
      <c r="S293" s="1406" t="s">
        <v>1129</v>
      </c>
      <c r="T293" s="1364"/>
      <c r="U293" s="1364" t="s">
        <v>1274</v>
      </c>
      <c r="V293" s="1365" t="s">
        <v>1137</v>
      </c>
      <c r="W293" s="2055" t="s">
        <v>1283</v>
      </c>
      <c r="X293" s="2087" t="s">
        <v>517</v>
      </c>
      <c r="Y293" s="2065">
        <v>3.2336</v>
      </c>
      <c r="Z293" s="2066">
        <f t="shared" si="95"/>
        <v>2599.8144</v>
      </c>
      <c r="AA293" s="2068"/>
      <c r="AB293" s="2107">
        <v>804</v>
      </c>
      <c r="AC293" s="2068">
        <f t="shared" si="96"/>
        <v>0</v>
      </c>
      <c r="AD293" s="2108" t="s">
        <v>327</v>
      </c>
      <c r="AE293" s="1402" t="s">
        <v>63</v>
      </c>
      <c r="AF293" s="1402" t="s">
        <v>38</v>
      </c>
      <c r="AG293" s="1363"/>
      <c r="AH293" s="2073"/>
      <c r="AI293" s="2073"/>
      <c r="AJ293" s="2085">
        <f>J293</f>
        <v>804</v>
      </c>
      <c r="AK293" s="2204"/>
      <c r="AL293" s="2042"/>
      <c r="AM293" s="2042">
        <f t="shared" si="97"/>
        <v>804</v>
      </c>
      <c r="AN293" s="2204"/>
      <c r="AO293" s="2204"/>
      <c r="AP293" s="2204"/>
      <c r="AQ293" s="2204"/>
      <c r="AR293" s="2204"/>
      <c r="AS293" s="2210"/>
      <c r="AT293" s="2210"/>
      <c r="AU293" s="2210"/>
      <c r="AV293" s="2210"/>
      <c r="AW293" s="2042"/>
      <c r="AX293" s="2042"/>
      <c r="AY293" s="2042"/>
      <c r="AZ293" s="2210"/>
      <c r="BA293" s="2085"/>
      <c r="BB293" s="2085"/>
      <c r="BC293" s="2085">
        <f>J293</f>
        <v>804</v>
      </c>
      <c r="BD293" s="2094">
        <f t="shared" si="92"/>
        <v>804</v>
      </c>
      <c r="BE293" s="2094">
        <f t="shared" si="93"/>
        <v>0</v>
      </c>
    </row>
    <row r="294" s="1988" customFormat="1" ht="36" customHeight="1" spans="1:57">
      <c r="A294" s="2018">
        <v>45957</v>
      </c>
      <c r="B294" s="2098" t="s">
        <v>1125</v>
      </c>
      <c r="C294" s="1723" t="s">
        <v>398</v>
      </c>
      <c r="D294" s="2114">
        <v>4500183051</v>
      </c>
      <c r="E294" s="2164" t="s">
        <v>1281</v>
      </c>
      <c r="F294" s="2218" t="s">
        <v>1286</v>
      </c>
      <c r="G294" s="2220" t="s">
        <v>125</v>
      </c>
      <c r="H294" s="2044" t="s">
        <v>54</v>
      </c>
      <c r="I294" s="2222" t="s">
        <v>55</v>
      </c>
      <c r="J294" s="2181">
        <v>804</v>
      </c>
      <c r="K294" s="2037">
        <v>0</v>
      </c>
      <c r="L294" s="2038">
        <v>12</v>
      </c>
      <c r="M294" s="2039">
        <f t="shared" si="94"/>
        <v>67</v>
      </c>
      <c r="N294" s="2040">
        <v>46031</v>
      </c>
      <c r="O294" s="2040">
        <v>46027</v>
      </c>
      <c r="P294" s="1364" t="s">
        <v>1136</v>
      </c>
      <c r="Q294" s="1363" t="s">
        <v>56</v>
      </c>
      <c r="R294" s="1363"/>
      <c r="S294" s="1406" t="s">
        <v>1129</v>
      </c>
      <c r="T294" s="1364"/>
      <c r="U294" s="1364" t="s">
        <v>1274</v>
      </c>
      <c r="V294" s="1365" t="s">
        <v>1131</v>
      </c>
      <c r="W294" s="2055" t="s">
        <v>1144</v>
      </c>
      <c r="X294" s="2087" t="s">
        <v>517</v>
      </c>
      <c r="Y294" s="2065">
        <v>3.4758</v>
      </c>
      <c r="Z294" s="2066">
        <f t="shared" si="95"/>
        <v>2794.5432</v>
      </c>
      <c r="AA294" s="2068"/>
      <c r="AB294" s="2107">
        <v>804</v>
      </c>
      <c r="AC294" s="2068">
        <f t="shared" si="96"/>
        <v>0</v>
      </c>
      <c r="AD294" s="2108" t="s">
        <v>327</v>
      </c>
      <c r="AE294" s="1402" t="s">
        <v>63</v>
      </c>
      <c r="AF294" s="1402" t="s">
        <v>38</v>
      </c>
      <c r="AG294" s="1363"/>
      <c r="AH294" s="2073">
        <f>J294</f>
        <v>804</v>
      </c>
      <c r="AI294" s="2073"/>
      <c r="AJ294" s="2085"/>
      <c r="AK294" s="2204"/>
      <c r="AL294" s="2042"/>
      <c r="AM294" s="2042">
        <f t="shared" si="97"/>
        <v>204</v>
      </c>
      <c r="AN294" s="2204"/>
      <c r="AO294" s="2204"/>
      <c r="AP294" s="2204"/>
      <c r="AQ294" s="2204"/>
      <c r="AR294" s="2204"/>
      <c r="AS294" s="2210"/>
      <c r="AT294" s="2210"/>
      <c r="AU294" s="2210"/>
      <c r="AV294" s="2210"/>
      <c r="AW294" s="2042"/>
      <c r="AX294" s="2042"/>
      <c r="AY294" s="2042"/>
      <c r="AZ294" s="2210"/>
      <c r="BA294" s="2085">
        <f>J294</f>
        <v>804</v>
      </c>
      <c r="BB294" s="2085"/>
      <c r="BC294" s="2085"/>
      <c r="BD294" s="2094">
        <f t="shared" si="92"/>
        <v>804</v>
      </c>
      <c r="BE294" s="2094">
        <f t="shared" si="93"/>
        <v>0</v>
      </c>
    </row>
    <row r="295" s="1988" customFormat="1" ht="36" customHeight="1" spans="1:57">
      <c r="A295" s="2018">
        <v>45957</v>
      </c>
      <c r="B295" s="2098" t="s">
        <v>1125</v>
      </c>
      <c r="C295" s="1723" t="s">
        <v>398</v>
      </c>
      <c r="D295" s="2114">
        <v>4500183051</v>
      </c>
      <c r="E295" s="2164" t="s">
        <v>1281</v>
      </c>
      <c r="F295" s="2218" t="s">
        <v>1287</v>
      </c>
      <c r="G295" s="2219" t="s">
        <v>180</v>
      </c>
      <c r="H295" s="2044" t="s">
        <v>66</v>
      </c>
      <c r="I295" s="2221" t="s">
        <v>67</v>
      </c>
      <c r="J295" s="2181">
        <v>204</v>
      </c>
      <c r="K295" s="2037">
        <v>0</v>
      </c>
      <c r="L295" s="2038">
        <v>12</v>
      </c>
      <c r="M295" s="2039">
        <f t="shared" si="94"/>
        <v>17</v>
      </c>
      <c r="N295" s="2040">
        <v>46031</v>
      </c>
      <c r="O295" s="2040">
        <v>46027</v>
      </c>
      <c r="P295" s="1364" t="s">
        <v>1136</v>
      </c>
      <c r="Q295" s="1363" t="s">
        <v>56</v>
      </c>
      <c r="R295" s="1363"/>
      <c r="S295" s="1406" t="s">
        <v>1129</v>
      </c>
      <c r="T295" s="1364"/>
      <c r="U295" s="1364" t="s">
        <v>1274</v>
      </c>
      <c r="V295" s="1365" t="s">
        <v>1137</v>
      </c>
      <c r="W295" s="2055" t="s">
        <v>1283</v>
      </c>
      <c r="X295" s="2087" t="s">
        <v>517</v>
      </c>
      <c r="Y295" s="2065">
        <v>3.2336</v>
      </c>
      <c r="Z295" s="2066">
        <f t="shared" si="95"/>
        <v>659.6544</v>
      </c>
      <c r="AA295" s="2068"/>
      <c r="AB295" s="2055">
        <v>204</v>
      </c>
      <c r="AC295" s="2068">
        <f t="shared" si="96"/>
        <v>0</v>
      </c>
      <c r="AD295" s="2108" t="s">
        <v>327</v>
      </c>
      <c r="AE295" s="1402" t="s">
        <v>63</v>
      </c>
      <c r="AF295" s="1402" t="s">
        <v>38</v>
      </c>
      <c r="AG295" s="1363"/>
      <c r="AH295" s="2073"/>
      <c r="AI295" s="2073"/>
      <c r="AJ295" s="2085">
        <f>J295</f>
        <v>204</v>
      </c>
      <c r="AK295" s="2204"/>
      <c r="AL295" s="2042"/>
      <c r="AM295" s="2042">
        <f t="shared" si="97"/>
        <v>204</v>
      </c>
      <c r="AN295" s="2204"/>
      <c r="AO295" s="2204"/>
      <c r="AP295" s="2204"/>
      <c r="AQ295" s="2204"/>
      <c r="AR295" s="2204"/>
      <c r="AS295" s="2210"/>
      <c r="AT295" s="2210"/>
      <c r="AU295" s="2210"/>
      <c r="AV295" s="2210"/>
      <c r="AW295" s="2042"/>
      <c r="AX295" s="2042"/>
      <c r="AY295" s="2042"/>
      <c r="AZ295" s="2210"/>
      <c r="BA295" s="2085"/>
      <c r="BB295" s="2085"/>
      <c r="BC295" s="2085">
        <f>J295</f>
        <v>204</v>
      </c>
      <c r="BD295" s="2094">
        <f t="shared" si="92"/>
        <v>204</v>
      </c>
      <c r="BE295" s="2094">
        <f t="shared" si="93"/>
        <v>0</v>
      </c>
    </row>
    <row r="296" s="1988" customFormat="1" ht="36" customHeight="1" spans="1:57">
      <c r="A296" s="2018">
        <v>45957</v>
      </c>
      <c r="B296" s="2098" t="s">
        <v>1125</v>
      </c>
      <c r="C296" s="1723" t="s">
        <v>398</v>
      </c>
      <c r="D296" s="2114">
        <v>4500183051</v>
      </c>
      <c r="E296" s="2164" t="s">
        <v>1281</v>
      </c>
      <c r="F296" s="2218" t="s">
        <v>1288</v>
      </c>
      <c r="G296" s="2220" t="s">
        <v>125</v>
      </c>
      <c r="H296" s="2044" t="s">
        <v>54</v>
      </c>
      <c r="I296" s="2222" t="s">
        <v>55</v>
      </c>
      <c r="J296" s="2181">
        <v>204</v>
      </c>
      <c r="K296" s="2037">
        <v>0</v>
      </c>
      <c r="L296" s="2038">
        <v>12</v>
      </c>
      <c r="M296" s="2039">
        <f t="shared" si="94"/>
        <v>17</v>
      </c>
      <c r="N296" s="2040">
        <v>46031</v>
      </c>
      <c r="O296" s="2040">
        <v>46027</v>
      </c>
      <c r="P296" s="1364" t="s">
        <v>1136</v>
      </c>
      <c r="Q296" s="1363" t="s">
        <v>56</v>
      </c>
      <c r="R296" s="1363"/>
      <c r="S296" s="1406" t="s">
        <v>1129</v>
      </c>
      <c r="T296" s="1364"/>
      <c r="U296" s="1364" t="s">
        <v>1274</v>
      </c>
      <c r="V296" s="1365" t="s">
        <v>1131</v>
      </c>
      <c r="W296" s="2055" t="s">
        <v>1144</v>
      </c>
      <c r="X296" s="2087" t="s">
        <v>517</v>
      </c>
      <c r="Y296" s="2065">
        <v>3.4758</v>
      </c>
      <c r="Z296" s="2066">
        <f t="shared" si="95"/>
        <v>709.0632</v>
      </c>
      <c r="AA296" s="2068"/>
      <c r="AB296" s="2107">
        <v>204</v>
      </c>
      <c r="AC296" s="2068">
        <f t="shared" si="96"/>
        <v>0</v>
      </c>
      <c r="AD296" s="2108" t="s">
        <v>327</v>
      </c>
      <c r="AE296" s="1402" t="s">
        <v>63</v>
      </c>
      <c r="AF296" s="1402" t="s">
        <v>38</v>
      </c>
      <c r="AG296" s="1363"/>
      <c r="AH296" s="2073">
        <f t="shared" ref="AH296:AH315" si="98">J296</f>
        <v>204</v>
      </c>
      <c r="AI296" s="2073"/>
      <c r="AJ296" s="2085"/>
      <c r="AK296" s="2204"/>
      <c r="AL296" s="2042"/>
      <c r="AM296" s="2042">
        <f>J338</f>
        <v>504</v>
      </c>
      <c r="AN296" s="2204"/>
      <c r="AO296" s="2204"/>
      <c r="AP296" s="2204"/>
      <c r="AQ296" s="2204"/>
      <c r="AR296" s="2204"/>
      <c r="AS296" s="2210"/>
      <c r="AT296" s="2210"/>
      <c r="AU296" s="2210"/>
      <c r="AV296" s="2210"/>
      <c r="AW296" s="2042"/>
      <c r="AX296" s="2042"/>
      <c r="AY296" s="2042"/>
      <c r="AZ296" s="2210"/>
      <c r="BA296" s="2085">
        <f>J296</f>
        <v>204</v>
      </c>
      <c r="BB296" s="2085"/>
      <c r="BC296" s="2085"/>
      <c r="BD296" s="2094">
        <f t="shared" si="92"/>
        <v>204</v>
      </c>
      <c r="BE296" s="2094">
        <f t="shared" si="93"/>
        <v>0</v>
      </c>
    </row>
    <row r="297" s="1988" customFormat="1" ht="36" customHeight="1" spans="1:57">
      <c r="A297" s="2018">
        <v>45990</v>
      </c>
      <c r="B297" s="2098" t="s">
        <v>918</v>
      </c>
      <c r="C297" s="1723" t="s">
        <v>123</v>
      </c>
      <c r="D297" s="2114">
        <v>4500187427</v>
      </c>
      <c r="E297" s="2164">
        <v>4400522622</v>
      </c>
      <c r="F297" s="2218" t="s">
        <v>1289</v>
      </c>
      <c r="G297" s="2220" t="s">
        <v>125</v>
      </c>
      <c r="H297" s="2044" t="s">
        <v>54</v>
      </c>
      <c r="I297" s="2222" t="s">
        <v>55</v>
      </c>
      <c r="J297" s="2181">
        <v>4200</v>
      </c>
      <c r="K297" s="2037">
        <v>0</v>
      </c>
      <c r="L297" s="2038">
        <v>12</v>
      </c>
      <c r="M297" s="2039">
        <f t="shared" si="94"/>
        <v>350</v>
      </c>
      <c r="N297" s="2040">
        <v>46031</v>
      </c>
      <c r="O297" s="2040">
        <v>46027</v>
      </c>
      <c r="P297" s="1364" t="s">
        <v>1024</v>
      </c>
      <c r="Q297" s="1363" t="s">
        <v>56</v>
      </c>
      <c r="R297" s="1363"/>
      <c r="S297" s="1406" t="s">
        <v>1290</v>
      </c>
      <c r="T297" s="1364"/>
      <c r="U297" s="1364" t="s">
        <v>1123</v>
      </c>
      <c r="V297" s="1365" t="s">
        <v>1028</v>
      </c>
      <c r="W297" s="2055" t="s">
        <v>1029</v>
      </c>
      <c r="X297" s="2087" t="s">
        <v>953</v>
      </c>
      <c r="Y297" s="2065">
        <v>3.1936</v>
      </c>
      <c r="Z297" s="2066">
        <f t="shared" si="95"/>
        <v>13413.12</v>
      </c>
      <c r="AA297" s="2068"/>
      <c r="AB297" s="2107">
        <f>2160+2040</f>
        <v>4200</v>
      </c>
      <c r="AC297" s="2068">
        <f t="shared" si="96"/>
        <v>0</v>
      </c>
      <c r="AD297" s="2108" t="s">
        <v>81</v>
      </c>
      <c r="AE297" s="1402" t="s">
        <v>63</v>
      </c>
      <c r="AF297" s="1402" t="s">
        <v>38</v>
      </c>
      <c r="AG297" s="1363"/>
      <c r="AH297" s="2073">
        <f t="shared" si="98"/>
        <v>4200</v>
      </c>
      <c r="AI297" s="2073"/>
      <c r="AJ297" s="2085"/>
      <c r="AK297" s="2205"/>
      <c r="AL297" s="2042"/>
      <c r="AM297" s="2042">
        <f>J297</f>
        <v>4200</v>
      </c>
      <c r="AN297" s="2205"/>
      <c r="AO297" s="2205"/>
      <c r="AP297" s="2205"/>
      <c r="AQ297" s="2205"/>
      <c r="AR297" s="2205"/>
      <c r="AS297" s="2212"/>
      <c r="AT297" s="2212"/>
      <c r="AU297" s="2212"/>
      <c r="AV297" s="2212"/>
      <c r="AW297" s="2073">
        <f>J297</f>
        <v>4200</v>
      </c>
      <c r="AX297" s="2042"/>
      <c r="AY297" s="2042"/>
      <c r="AZ297" s="2212"/>
      <c r="BA297" s="2085"/>
      <c r="BB297" s="2085"/>
      <c r="BC297" s="2085"/>
      <c r="BD297" s="2094">
        <f t="shared" ref="BD297:BD319" si="99">SUM(AH297:AJ297)</f>
        <v>4200</v>
      </c>
      <c r="BE297" s="2094">
        <f t="shared" ref="BE297:BE319" si="100">BD297-J297</f>
        <v>0</v>
      </c>
    </row>
    <row r="298" s="1988" customFormat="1" ht="36" customHeight="1" spans="1:57">
      <c r="A298" s="2018">
        <v>45964</v>
      </c>
      <c r="B298" s="2098" t="s">
        <v>811</v>
      </c>
      <c r="C298" s="1723" t="s">
        <v>91</v>
      </c>
      <c r="D298" s="2099">
        <v>4500184183</v>
      </c>
      <c r="E298" s="2100">
        <v>70078363</v>
      </c>
      <c r="F298" s="2113" t="s">
        <v>1291</v>
      </c>
      <c r="G298" s="1989" t="s">
        <v>54</v>
      </c>
      <c r="H298" s="1989" t="s">
        <v>54</v>
      </c>
      <c r="I298" s="2103" t="s">
        <v>55</v>
      </c>
      <c r="J298" s="2104">
        <v>600</v>
      </c>
      <c r="K298" s="2037">
        <v>0</v>
      </c>
      <c r="L298" s="2038">
        <v>12</v>
      </c>
      <c r="M298" s="2039">
        <f t="shared" si="94"/>
        <v>50</v>
      </c>
      <c r="N298" s="2040">
        <v>46038</v>
      </c>
      <c r="O298" s="2040">
        <v>46034</v>
      </c>
      <c r="P298" s="1364"/>
      <c r="Q298" s="1363" t="s">
        <v>56</v>
      </c>
      <c r="R298" s="1363" t="s">
        <v>1292</v>
      </c>
      <c r="S298" s="1406" t="s">
        <v>1129</v>
      </c>
      <c r="T298" s="1364"/>
      <c r="U298" s="1364" t="s">
        <v>1293</v>
      </c>
      <c r="V298" s="1365" t="s">
        <v>235</v>
      </c>
      <c r="W298" s="2055" t="s">
        <v>816</v>
      </c>
      <c r="X298" s="2087" t="s">
        <v>1151</v>
      </c>
      <c r="Y298" s="2065">
        <v>2.2417</v>
      </c>
      <c r="Z298" s="2066">
        <f t="shared" si="95"/>
        <v>1345.02</v>
      </c>
      <c r="AA298" s="2068"/>
      <c r="AB298" s="2107">
        <v>600</v>
      </c>
      <c r="AC298" s="2068">
        <f t="shared" si="96"/>
        <v>0</v>
      </c>
      <c r="AD298" s="2224" t="s">
        <v>81</v>
      </c>
      <c r="AE298" s="1402" t="s">
        <v>63</v>
      </c>
      <c r="AF298" s="1402" t="s">
        <v>38</v>
      </c>
      <c r="AG298" s="1363"/>
      <c r="AH298" s="2073">
        <f t="shared" si="98"/>
        <v>600</v>
      </c>
      <c r="AI298" s="2073"/>
      <c r="AJ298" s="2085"/>
      <c r="AK298" s="2204"/>
      <c r="AL298" s="2042">
        <f>J298</f>
        <v>600</v>
      </c>
      <c r="AM298" s="2042"/>
      <c r="AN298" s="2204"/>
      <c r="AO298" s="2204"/>
      <c r="AP298" s="2204"/>
      <c r="AQ298" s="2204"/>
      <c r="AR298" s="2204"/>
      <c r="AS298" s="2210"/>
      <c r="AT298" s="2210"/>
      <c r="AU298" s="2210"/>
      <c r="AV298" s="2210"/>
      <c r="AW298" s="2073">
        <f>J298</f>
        <v>600</v>
      </c>
      <c r="AX298" s="2042"/>
      <c r="AY298" s="2042"/>
      <c r="AZ298" s="2210"/>
      <c r="BA298" s="2085"/>
      <c r="BB298" s="2085"/>
      <c r="BC298" s="2085"/>
      <c r="BD298" s="2094">
        <f t="shared" si="99"/>
        <v>600</v>
      </c>
      <c r="BE298" s="2094">
        <f t="shared" si="100"/>
        <v>0</v>
      </c>
    </row>
    <row r="299" s="1988" customFormat="1" ht="36" customHeight="1" spans="1:57">
      <c r="A299" s="2018">
        <v>45996</v>
      </c>
      <c r="B299" s="2098" t="s">
        <v>1016</v>
      </c>
      <c r="C299" s="1723" t="s">
        <v>91</v>
      </c>
      <c r="D299" s="2114">
        <v>4500188099</v>
      </c>
      <c r="E299" s="2327" t="s">
        <v>1294</v>
      </c>
      <c r="F299" s="2113" t="s">
        <v>1295</v>
      </c>
      <c r="G299" s="1989" t="s">
        <v>94</v>
      </c>
      <c r="H299" s="1989" t="s">
        <v>94</v>
      </c>
      <c r="I299" s="2036" t="s">
        <v>55</v>
      </c>
      <c r="J299" s="1989">
        <v>878</v>
      </c>
      <c r="K299" s="2037">
        <v>0</v>
      </c>
      <c r="L299" s="2038">
        <v>2</v>
      </c>
      <c r="M299" s="2039">
        <f t="shared" si="94"/>
        <v>439</v>
      </c>
      <c r="N299" s="2040">
        <v>46035</v>
      </c>
      <c r="O299" s="2040">
        <v>46031</v>
      </c>
      <c r="P299" s="1364" t="s">
        <v>1296</v>
      </c>
      <c r="Q299" s="1364" t="s">
        <v>56</v>
      </c>
      <c r="R299" s="1363" t="s">
        <v>232</v>
      </c>
      <c r="S299" s="1406" t="s">
        <v>1297</v>
      </c>
      <c r="T299" s="1364"/>
      <c r="U299" s="1364" t="s">
        <v>1298</v>
      </c>
      <c r="V299" s="1365" t="s">
        <v>1082</v>
      </c>
      <c r="W299" s="2055" t="s">
        <v>1299</v>
      </c>
      <c r="X299" s="2087" t="s">
        <v>101</v>
      </c>
      <c r="Y299" s="2065">
        <v>2.3261</v>
      </c>
      <c r="Z299" s="2066">
        <f t="shared" si="95"/>
        <v>2042.3158</v>
      </c>
      <c r="AA299" s="2068"/>
      <c r="AB299" s="2107">
        <v>878</v>
      </c>
      <c r="AC299" s="2068">
        <f t="shared" si="96"/>
        <v>0</v>
      </c>
      <c r="AD299" s="2108" t="s">
        <v>81</v>
      </c>
      <c r="AE299" s="1402" t="s">
        <v>63</v>
      </c>
      <c r="AF299" s="1402" t="s">
        <v>38</v>
      </c>
      <c r="AG299" s="1363"/>
      <c r="AH299" s="2073">
        <f t="shared" si="98"/>
        <v>878</v>
      </c>
      <c r="AI299" s="2073"/>
      <c r="AJ299" s="2085"/>
      <c r="AK299" s="2206"/>
      <c r="AL299" s="2042">
        <f>J299</f>
        <v>878</v>
      </c>
      <c r="AM299" s="2042"/>
      <c r="AN299" s="2206"/>
      <c r="AO299" s="2206"/>
      <c r="AP299" s="2206"/>
      <c r="AQ299" s="2206"/>
      <c r="AR299" s="2206"/>
      <c r="AS299" s="2213"/>
      <c r="AT299" s="2213"/>
      <c r="AU299" s="2213"/>
      <c r="AV299" s="2213"/>
      <c r="AW299" s="2073"/>
      <c r="AX299" s="2042"/>
      <c r="AY299" s="2042"/>
      <c r="AZ299" s="2213"/>
      <c r="BA299" s="2085">
        <f>J299</f>
        <v>878</v>
      </c>
      <c r="BB299" s="2085"/>
      <c r="BC299" s="2085"/>
      <c r="BD299" s="2094">
        <f t="shared" si="99"/>
        <v>878</v>
      </c>
      <c r="BE299" s="2094">
        <f t="shared" si="100"/>
        <v>0</v>
      </c>
    </row>
    <row r="300" s="1988" customFormat="1" ht="36" customHeight="1" spans="1:57">
      <c r="A300" s="2018">
        <v>45996</v>
      </c>
      <c r="B300" s="2098" t="s">
        <v>1016</v>
      </c>
      <c r="C300" s="1723" t="s">
        <v>91</v>
      </c>
      <c r="D300" s="2114">
        <v>4500188099</v>
      </c>
      <c r="E300" s="2327" t="s">
        <v>1300</v>
      </c>
      <c r="F300" s="2113" t="s">
        <v>1301</v>
      </c>
      <c r="G300" s="1989" t="s">
        <v>94</v>
      </c>
      <c r="H300" s="1989" t="s">
        <v>94</v>
      </c>
      <c r="I300" s="2036" t="s">
        <v>55</v>
      </c>
      <c r="J300" s="1989">
        <v>806</v>
      </c>
      <c r="K300" s="2037">
        <v>0</v>
      </c>
      <c r="L300" s="2038">
        <v>2</v>
      </c>
      <c r="M300" s="2039">
        <f t="shared" si="94"/>
        <v>403</v>
      </c>
      <c r="N300" s="2040">
        <v>46035</v>
      </c>
      <c r="O300" s="2040">
        <v>46031</v>
      </c>
      <c r="P300" s="1364" t="s">
        <v>1296</v>
      </c>
      <c r="Q300" s="1364" t="s">
        <v>56</v>
      </c>
      <c r="R300" s="1363" t="s">
        <v>1262</v>
      </c>
      <c r="S300" s="1406" t="s">
        <v>1297</v>
      </c>
      <c r="T300" s="1364"/>
      <c r="U300" s="1364" t="s">
        <v>1298</v>
      </c>
      <c r="V300" s="1365" t="s">
        <v>1082</v>
      </c>
      <c r="W300" s="2055" t="s">
        <v>1299</v>
      </c>
      <c r="X300" s="2087" t="s">
        <v>101</v>
      </c>
      <c r="Y300" s="2065">
        <v>2.3957</v>
      </c>
      <c r="Z300" s="2066">
        <f t="shared" si="95"/>
        <v>1930.9342</v>
      </c>
      <c r="AA300" s="2068"/>
      <c r="AB300" s="2107">
        <v>806</v>
      </c>
      <c r="AC300" s="2068">
        <f t="shared" si="96"/>
        <v>0</v>
      </c>
      <c r="AD300" s="2108" t="s">
        <v>81</v>
      </c>
      <c r="AE300" s="1402" t="s">
        <v>63</v>
      </c>
      <c r="AF300" s="1402" t="s">
        <v>38</v>
      </c>
      <c r="AG300" s="1363"/>
      <c r="AH300" s="2073">
        <f t="shared" si="98"/>
        <v>806</v>
      </c>
      <c r="AI300" s="2073"/>
      <c r="AJ300" s="2085"/>
      <c r="AK300" s="2206"/>
      <c r="AL300" s="2042">
        <f>J300</f>
        <v>806</v>
      </c>
      <c r="AM300" s="2042"/>
      <c r="AN300" s="2206"/>
      <c r="AO300" s="2206"/>
      <c r="AP300" s="2206"/>
      <c r="AQ300" s="2206"/>
      <c r="AR300" s="2206"/>
      <c r="AS300" s="2213"/>
      <c r="AT300" s="2213"/>
      <c r="AU300" s="2213"/>
      <c r="AV300" s="2213"/>
      <c r="AW300" s="2073"/>
      <c r="AX300" s="2042"/>
      <c r="AY300" s="2042"/>
      <c r="AZ300" s="2213"/>
      <c r="BA300" s="2085">
        <f>J300</f>
        <v>806</v>
      </c>
      <c r="BB300" s="2085"/>
      <c r="BC300" s="2085"/>
      <c r="BD300" s="2094">
        <f t="shared" si="99"/>
        <v>806</v>
      </c>
      <c r="BE300" s="2094">
        <f t="shared" si="100"/>
        <v>0</v>
      </c>
    </row>
    <row r="301" s="1988" customFormat="1" ht="36" customHeight="1" spans="1:57">
      <c r="A301" s="2018">
        <v>45996</v>
      </c>
      <c r="B301" s="2098" t="s">
        <v>1016</v>
      </c>
      <c r="C301" s="1723" t="s">
        <v>91</v>
      </c>
      <c r="D301" s="2114">
        <v>4500188103</v>
      </c>
      <c r="E301" s="2327" t="s">
        <v>1302</v>
      </c>
      <c r="F301" s="2113" t="s">
        <v>1303</v>
      </c>
      <c r="G301" s="1989" t="s">
        <v>94</v>
      </c>
      <c r="H301" s="1989" t="s">
        <v>94</v>
      </c>
      <c r="I301" s="2036" t="s">
        <v>55</v>
      </c>
      <c r="J301" s="1989">
        <v>512</v>
      </c>
      <c r="K301" s="2037">
        <v>0</v>
      </c>
      <c r="L301" s="2038">
        <v>2</v>
      </c>
      <c r="M301" s="2039">
        <f t="shared" si="94"/>
        <v>256</v>
      </c>
      <c r="N301" s="2040">
        <v>46038</v>
      </c>
      <c r="O301" s="2040">
        <v>46034</v>
      </c>
      <c r="P301" s="1364" t="s">
        <v>1304</v>
      </c>
      <c r="Q301" s="1364" t="s">
        <v>56</v>
      </c>
      <c r="R301" s="1363" t="s">
        <v>1262</v>
      </c>
      <c r="S301" s="1406" t="s">
        <v>1297</v>
      </c>
      <c r="T301" s="1364"/>
      <c r="U301" s="1364" t="s">
        <v>1298</v>
      </c>
      <c r="V301" s="1365" t="s">
        <v>1082</v>
      </c>
      <c r="W301" s="2055" t="s">
        <v>1299</v>
      </c>
      <c r="X301" s="2087" t="s">
        <v>101</v>
      </c>
      <c r="Y301" s="2065">
        <v>2.3261</v>
      </c>
      <c r="Z301" s="2066">
        <f t="shared" si="95"/>
        <v>1190.9632</v>
      </c>
      <c r="AA301" s="2068"/>
      <c r="AB301" s="2107">
        <v>512</v>
      </c>
      <c r="AC301" s="2068">
        <f t="shared" ref="AC301:AC316" si="101">AB301-J301</f>
        <v>0</v>
      </c>
      <c r="AD301" s="2108" t="s">
        <v>81</v>
      </c>
      <c r="AE301" s="1402" t="s">
        <v>63</v>
      </c>
      <c r="AF301" s="1402" t="s">
        <v>38</v>
      </c>
      <c r="AG301" s="1363"/>
      <c r="AH301" s="2073">
        <f t="shared" si="98"/>
        <v>512</v>
      </c>
      <c r="AI301" s="2073"/>
      <c r="AJ301" s="2085"/>
      <c r="AK301" s="2204"/>
      <c r="AL301" s="2042">
        <f t="shared" ref="AL298:AL310" si="102">J301</f>
        <v>512</v>
      </c>
      <c r="AM301" s="2042"/>
      <c r="AN301" s="2204"/>
      <c r="AO301" s="2204"/>
      <c r="AP301" s="2204"/>
      <c r="AQ301" s="2204"/>
      <c r="AR301" s="2204"/>
      <c r="AS301" s="2210"/>
      <c r="AT301" s="2210"/>
      <c r="AU301" s="2210"/>
      <c r="AV301" s="2210"/>
      <c r="AW301" s="2073"/>
      <c r="AX301" s="2042"/>
      <c r="AY301" s="2042"/>
      <c r="AZ301" s="2210"/>
      <c r="BA301" s="2085">
        <f t="shared" ref="BA301:BA310" si="103">J301</f>
        <v>512</v>
      </c>
      <c r="BB301" s="2085"/>
      <c r="BC301" s="2085"/>
      <c r="BD301" s="2094">
        <f t="shared" si="99"/>
        <v>512</v>
      </c>
      <c r="BE301" s="2094">
        <f t="shared" si="100"/>
        <v>0</v>
      </c>
    </row>
    <row r="302" s="1988" customFormat="1" ht="36" customHeight="1" spans="1:57">
      <c r="A302" s="2018">
        <v>45996</v>
      </c>
      <c r="B302" s="2098" t="s">
        <v>1016</v>
      </c>
      <c r="C302" s="1723" t="s">
        <v>91</v>
      </c>
      <c r="D302" s="2114">
        <v>4500188103</v>
      </c>
      <c r="E302" s="2327" t="s">
        <v>1305</v>
      </c>
      <c r="F302" s="2113" t="s">
        <v>1306</v>
      </c>
      <c r="G302" s="1989" t="s">
        <v>94</v>
      </c>
      <c r="H302" s="1989" t="s">
        <v>94</v>
      </c>
      <c r="I302" s="2036" t="s">
        <v>55</v>
      </c>
      <c r="J302" s="1989">
        <v>1014</v>
      </c>
      <c r="K302" s="2037">
        <v>0</v>
      </c>
      <c r="L302" s="2038">
        <v>2</v>
      </c>
      <c r="M302" s="2039">
        <f t="shared" si="94"/>
        <v>507</v>
      </c>
      <c r="N302" s="2040">
        <v>46038</v>
      </c>
      <c r="O302" s="2040">
        <v>46034</v>
      </c>
      <c r="P302" s="1364" t="s">
        <v>1304</v>
      </c>
      <c r="Q302" s="1364" t="s">
        <v>56</v>
      </c>
      <c r="R302" s="1363" t="s">
        <v>232</v>
      </c>
      <c r="S302" s="1406" t="s">
        <v>1297</v>
      </c>
      <c r="T302" s="1364"/>
      <c r="U302" s="1364" t="s">
        <v>1298</v>
      </c>
      <c r="V302" s="1365" t="s">
        <v>1082</v>
      </c>
      <c r="W302" s="2055" t="s">
        <v>1299</v>
      </c>
      <c r="X302" s="2087" t="s">
        <v>101</v>
      </c>
      <c r="Y302" s="2065">
        <v>2.113</v>
      </c>
      <c r="Z302" s="2066">
        <f t="shared" si="95"/>
        <v>2142.582</v>
      </c>
      <c r="AA302" s="2068"/>
      <c r="AB302" s="2107">
        <v>1014</v>
      </c>
      <c r="AC302" s="2068">
        <f t="shared" si="101"/>
        <v>0</v>
      </c>
      <c r="AD302" s="2108" t="s">
        <v>81</v>
      </c>
      <c r="AE302" s="1402" t="s">
        <v>63</v>
      </c>
      <c r="AF302" s="1402" t="s">
        <v>38</v>
      </c>
      <c r="AG302" s="1363"/>
      <c r="AH302" s="2073">
        <f t="shared" si="98"/>
        <v>1014</v>
      </c>
      <c r="AI302" s="2073"/>
      <c r="AJ302" s="2085"/>
      <c r="AK302" s="2204"/>
      <c r="AL302" s="2042">
        <f t="shared" si="102"/>
        <v>1014</v>
      </c>
      <c r="AM302" s="2042"/>
      <c r="AN302" s="2204"/>
      <c r="AO302" s="2204"/>
      <c r="AP302" s="2204"/>
      <c r="AQ302" s="2204"/>
      <c r="AR302" s="2204"/>
      <c r="AS302" s="2210"/>
      <c r="AT302" s="2210"/>
      <c r="AU302" s="2210"/>
      <c r="AV302" s="2210"/>
      <c r="AW302" s="2073"/>
      <c r="AX302" s="2042"/>
      <c r="AY302" s="2042"/>
      <c r="AZ302" s="2210"/>
      <c r="BA302" s="2085">
        <f t="shared" si="103"/>
        <v>1014</v>
      </c>
      <c r="BB302" s="2085"/>
      <c r="BC302" s="2085"/>
      <c r="BD302" s="2094">
        <f t="shared" si="99"/>
        <v>1014</v>
      </c>
      <c r="BE302" s="2094">
        <f t="shared" si="100"/>
        <v>0</v>
      </c>
    </row>
    <row r="303" s="1988" customFormat="1" ht="36" customHeight="1" spans="1:57">
      <c r="A303" s="2018">
        <v>45996</v>
      </c>
      <c r="B303" s="2098" t="s">
        <v>1016</v>
      </c>
      <c r="C303" s="1723" t="s">
        <v>91</v>
      </c>
      <c r="D303" s="2114">
        <v>4500188103</v>
      </c>
      <c r="E303" s="2327" t="s">
        <v>1307</v>
      </c>
      <c r="F303" s="2113" t="s">
        <v>1308</v>
      </c>
      <c r="G303" s="1989" t="s">
        <v>94</v>
      </c>
      <c r="H303" s="1989" t="s">
        <v>94</v>
      </c>
      <c r="I303" s="2036" t="s">
        <v>55</v>
      </c>
      <c r="J303" s="1989">
        <v>1262</v>
      </c>
      <c r="K303" s="2037">
        <v>0</v>
      </c>
      <c r="L303" s="2038">
        <v>2</v>
      </c>
      <c r="M303" s="2039">
        <f t="shared" si="94"/>
        <v>631</v>
      </c>
      <c r="N303" s="2040">
        <v>46038</v>
      </c>
      <c r="O303" s="2040">
        <v>46034</v>
      </c>
      <c r="P303" s="1364" t="s">
        <v>1304</v>
      </c>
      <c r="Q303" s="1364" t="s">
        <v>56</v>
      </c>
      <c r="R303" s="1363" t="s">
        <v>1309</v>
      </c>
      <c r="S303" s="1406" t="s">
        <v>1297</v>
      </c>
      <c r="T303" s="1364"/>
      <c r="U303" s="1364" t="s">
        <v>1298</v>
      </c>
      <c r="V303" s="1365" t="s">
        <v>1082</v>
      </c>
      <c r="W303" s="2055" t="s">
        <v>1299</v>
      </c>
      <c r="X303" s="2087" t="s">
        <v>101</v>
      </c>
      <c r="Y303" s="2065">
        <v>2.1826</v>
      </c>
      <c r="Z303" s="2066">
        <f t="shared" si="95"/>
        <v>2754.4412</v>
      </c>
      <c r="AA303" s="2068"/>
      <c r="AB303" s="2107">
        <v>1262</v>
      </c>
      <c r="AC303" s="2068">
        <f t="shared" si="101"/>
        <v>0</v>
      </c>
      <c r="AD303" s="2108" t="s">
        <v>81</v>
      </c>
      <c r="AE303" s="1402" t="s">
        <v>63</v>
      </c>
      <c r="AF303" s="1402" t="s">
        <v>38</v>
      </c>
      <c r="AG303" s="1363"/>
      <c r="AH303" s="2073">
        <f t="shared" si="98"/>
        <v>1262</v>
      </c>
      <c r="AI303" s="2073"/>
      <c r="AJ303" s="2085"/>
      <c r="AK303" s="2204"/>
      <c r="AL303" s="2042">
        <f t="shared" si="102"/>
        <v>1262</v>
      </c>
      <c r="AM303" s="2042"/>
      <c r="AN303" s="2204"/>
      <c r="AO303" s="2204"/>
      <c r="AP303" s="2204"/>
      <c r="AQ303" s="2204"/>
      <c r="AR303" s="2204"/>
      <c r="AS303" s="2210"/>
      <c r="AT303" s="2210"/>
      <c r="AU303" s="2210"/>
      <c r="AV303" s="2210"/>
      <c r="AW303" s="2073"/>
      <c r="AX303" s="2042"/>
      <c r="AY303" s="2042"/>
      <c r="AZ303" s="2210"/>
      <c r="BA303" s="2085">
        <f t="shared" si="103"/>
        <v>1262</v>
      </c>
      <c r="BB303" s="2085"/>
      <c r="BC303" s="2085"/>
      <c r="BD303" s="2094">
        <f t="shared" si="99"/>
        <v>1262</v>
      </c>
      <c r="BE303" s="2094">
        <f t="shared" si="100"/>
        <v>0</v>
      </c>
    </row>
    <row r="304" s="1988" customFormat="1" ht="36" customHeight="1" spans="1:57">
      <c r="A304" s="2018">
        <v>45996</v>
      </c>
      <c r="B304" s="2098" t="s">
        <v>1016</v>
      </c>
      <c r="C304" s="1723" t="s">
        <v>91</v>
      </c>
      <c r="D304" s="2114">
        <v>4500188079</v>
      </c>
      <c r="E304" s="2327" t="s">
        <v>1310</v>
      </c>
      <c r="F304" s="2113" t="s">
        <v>1311</v>
      </c>
      <c r="G304" s="1989" t="s">
        <v>94</v>
      </c>
      <c r="H304" s="1989" t="s">
        <v>94</v>
      </c>
      <c r="I304" s="2036" t="s">
        <v>55</v>
      </c>
      <c r="J304" s="1989">
        <v>2628</v>
      </c>
      <c r="K304" s="2037">
        <v>0</v>
      </c>
      <c r="L304" s="2038">
        <v>2</v>
      </c>
      <c r="M304" s="2039">
        <f t="shared" si="94"/>
        <v>1314</v>
      </c>
      <c r="N304" s="2040">
        <v>46038</v>
      </c>
      <c r="O304" s="2040">
        <v>46034</v>
      </c>
      <c r="P304" s="1364" t="s">
        <v>1304</v>
      </c>
      <c r="Q304" s="1364" t="s">
        <v>56</v>
      </c>
      <c r="R304" s="1363" t="s">
        <v>1312</v>
      </c>
      <c r="S304" s="1406" t="s">
        <v>1297</v>
      </c>
      <c r="T304" s="1364"/>
      <c r="U304" s="1364" t="s">
        <v>1313</v>
      </c>
      <c r="V304" s="1365" t="s">
        <v>1082</v>
      </c>
      <c r="W304" s="2055" t="s">
        <v>1314</v>
      </c>
      <c r="X304" s="2087" t="s">
        <v>101</v>
      </c>
      <c r="Y304" s="2065">
        <v>2.0609</v>
      </c>
      <c r="Z304" s="2066">
        <f t="shared" si="95"/>
        <v>5416.0452</v>
      </c>
      <c r="AA304" s="2068"/>
      <c r="AB304" s="2107">
        <v>2628</v>
      </c>
      <c r="AC304" s="2068">
        <f t="shared" si="101"/>
        <v>0</v>
      </c>
      <c r="AD304" s="2108" t="s">
        <v>327</v>
      </c>
      <c r="AE304" s="1402" t="s">
        <v>63</v>
      </c>
      <c r="AF304" s="1402" t="s">
        <v>38</v>
      </c>
      <c r="AG304" s="1363"/>
      <c r="AH304" s="2073">
        <f t="shared" si="98"/>
        <v>2628</v>
      </c>
      <c r="AI304" s="2073"/>
      <c r="AJ304" s="2085"/>
      <c r="AK304" s="2204"/>
      <c r="AL304" s="2042">
        <f t="shared" si="102"/>
        <v>2628</v>
      </c>
      <c r="AM304" s="2042"/>
      <c r="AN304" s="2204"/>
      <c r="AO304" s="2204"/>
      <c r="AP304" s="2204"/>
      <c r="AQ304" s="2204"/>
      <c r="AR304" s="2204"/>
      <c r="AS304" s="2210"/>
      <c r="AT304" s="2210"/>
      <c r="AU304" s="2210"/>
      <c r="AV304" s="2210"/>
      <c r="AW304" s="2073"/>
      <c r="AX304" s="2042"/>
      <c r="AY304" s="2042"/>
      <c r="AZ304" s="2210"/>
      <c r="BA304" s="2085">
        <f t="shared" si="103"/>
        <v>2628</v>
      </c>
      <c r="BB304" s="2085"/>
      <c r="BC304" s="2085"/>
      <c r="BD304" s="2094">
        <f t="shared" si="99"/>
        <v>2628</v>
      </c>
      <c r="BE304" s="2094">
        <f t="shared" si="100"/>
        <v>0</v>
      </c>
    </row>
    <row r="305" s="1988" customFormat="1" ht="36" customHeight="1" spans="1:57">
      <c r="A305" s="2018">
        <v>45996</v>
      </c>
      <c r="B305" s="2098" t="s">
        <v>1016</v>
      </c>
      <c r="C305" s="1723" t="s">
        <v>91</v>
      </c>
      <c r="D305" s="2114">
        <v>4500188079</v>
      </c>
      <c r="E305" s="2327" t="s">
        <v>1315</v>
      </c>
      <c r="F305" s="2113" t="s">
        <v>1316</v>
      </c>
      <c r="G305" s="1989" t="s">
        <v>94</v>
      </c>
      <c r="H305" s="1989" t="s">
        <v>94</v>
      </c>
      <c r="I305" s="2036" t="s">
        <v>55</v>
      </c>
      <c r="J305" s="1989">
        <v>3470</v>
      </c>
      <c r="K305" s="2037">
        <v>0</v>
      </c>
      <c r="L305" s="2038">
        <v>2</v>
      </c>
      <c r="M305" s="2039">
        <f t="shared" si="94"/>
        <v>1735</v>
      </c>
      <c r="N305" s="2040">
        <v>46038</v>
      </c>
      <c r="O305" s="2040">
        <v>46034</v>
      </c>
      <c r="P305" s="1364" t="s">
        <v>1304</v>
      </c>
      <c r="Q305" s="1364" t="s">
        <v>56</v>
      </c>
      <c r="R305" s="1363" t="s">
        <v>1312</v>
      </c>
      <c r="S305" s="1406" t="s">
        <v>1297</v>
      </c>
      <c r="T305" s="1364"/>
      <c r="U305" s="1364" t="s">
        <v>1313</v>
      </c>
      <c r="V305" s="1365" t="s">
        <v>1082</v>
      </c>
      <c r="W305" s="2055" t="s">
        <v>1314</v>
      </c>
      <c r="X305" s="2087" t="s">
        <v>101</v>
      </c>
      <c r="Y305" s="2065">
        <v>2.0609</v>
      </c>
      <c r="Z305" s="2066">
        <f t="shared" si="95"/>
        <v>7151.323</v>
      </c>
      <c r="AA305" s="2068"/>
      <c r="AB305" s="2107">
        <v>3470</v>
      </c>
      <c r="AC305" s="2068">
        <f t="shared" si="101"/>
        <v>0</v>
      </c>
      <c r="AD305" s="2108" t="s">
        <v>327</v>
      </c>
      <c r="AE305" s="1402" t="s">
        <v>63</v>
      </c>
      <c r="AF305" s="1402" t="s">
        <v>38</v>
      </c>
      <c r="AG305" s="1363"/>
      <c r="AH305" s="2073">
        <f t="shared" si="98"/>
        <v>3470</v>
      </c>
      <c r="AI305" s="2073"/>
      <c r="AJ305" s="2085"/>
      <c r="AK305" s="2204"/>
      <c r="AL305" s="2042">
        <f t="shared" si="102"/>
        <v>3470</v>
      </c>
      <c r="AM305" s="2042"/>
      <c r="AN305" s="2204"/>
      <c r="AO305" s="2204"/>
      <c r="AP305" s="2204"/>
      <c r="AQ305" s="2204"/>
      <c r="AR305" s="2204"/>
      <c r="AS305" s="2210"/>
      <c r="AT305" s="2210"/>
      <c r="AU305" s="2210"/>
      <c r="AV305" s="2210"/>
      <c r="AW305" s="2073"/>
      <c r="AX305" s="2042"/>
      <c r="AY305" s="2042"/>
      <c r="AZ305" s="2210"/>
      <c r="BA305" s="2085">
        <f t="shared" si="103"/>
        <v>3470</v>
      </c>
      <c r="BB305" s="2085"/>
      <c r="BC305" s="2085"/>
      <c r="BD305" s="2094">
        <f t="shared" si="99"/>
        <v>3470</v>
      </c>
      <c r="BE305" s="2094">
        <f t="shared" si="100"/>
        <v>0</v>
      </c>
    </row>
    <row r="306" s="1988" customFormat="1" ht="36" customHeight="1" spans="1:57">
      <c r="A306" s="2018">
        <v>45996</v>
      </c>
      <c r="B306" s="2098" t="s">
        <v>1016</v>
      </c>
      <c r="C306" s="1723" t="s">
        <v>91</v>
      </c>
      <c r="D306" s="2114">
        <v>4500188079</v>
      </c>
      <c r="E306" s="2327" t="s">
        <v>1317</v>
      </c>
      <c r="F306" s="2113" t="s">
        <v>1318</v>
      </c>
      <c r="G306" s="1989" t="s">
        <v>94</v>
      </c>
      <c r="H306" s="1989" t="s">
        <v>94</v>
      </c>
      <c r="I306" s="2036" t="s">
        <v>55</v>
      </c>
      <c r="J306" s="1989">
        <v>3340</v>
      </c>
      <c r="K306" s="2037">
        <v>0</v>
      </c>
      <c r="L306" s="2038">
        <v>2</v>
      </c>
      <c r="M306" s="2039">
        <f t="shared" si="94"/>
        <v>1670</v>
      </c>
      <c r="N306" s="2040">
        <v>46038</v>
      </c>
      <c r="O306" s="2040">
        <v>46034</v>
      </c>
      <c r="P306" s="1364" t="s">
        <v>1319</v>
      </c>
      <c r="Q306" s="1364" t="s">
        <v>56</v>
      </c>
      <c r="R306" s="1363" t="s">
        <v>1320</v>
      </c>
      <c r="S306" s="1406" t="s">
        <v>1297</v>
      </c>
      <c r="T306" s="1364"/>
      <c r="U306" s="1364" t="s">
        <v>1313</v>
      </c>
      <c r="V306" s="1365" t="s">
        <v>1082</v>
      </c>
      <c r="W306" s="2055" t="s">
        <v>1314</v>
      </c>
      <c r="X306" s="2087" t="s">
        <v>101</v>
      </c>
      <c r="Y306" s="2065">
        <v>2.0648</v>
      </c>
      <c r="Z306" s="2066">
        <f t="shared" si="95"/>
        <v>6896.432</v>
      </c>
      <c r="AA306" s="2068"/>
      <c r="AB306" s="2107">
        <f>2700+640</f>
        <v>3340</v>
      </c>
      <c r="AC306" s="2068">
        <f t="shared" si="101"/>
        <v>0</v>
      </c>
      <c r="AD306" s="2108" t="s">
        <v>327</v>
      </c>
      <c r="AE306" s="1402" t="s">
        <v>63</v>
      </c>
      <c r="AF306" s="1402" t="s">
        <v>38</v>
      </c>
      <c r="AG306" s="1363"/>
      <c r="AH306" s="2073">
        <f t="shared" si="98"/>
        <v>3340</v>
      </c>
      <c r="AI306" s="2073"/>
      <c r="AJ306" s="2085"/>
      <c r="AK306" s="2204"/>
      <c r="AL306" s="2042">
        <f t="shared" si="102"/>
        <v>3340</v>
      </c>
      <c r="AM306" s="2042"/>
      <c r="AN306" s="2204"/>
      <c r="AO306" s="2204"/>
      <c r="AP306" s="2204"/>
      <c r="AQ306" s="2204"/>
      <c r="AR306" s="2204"/>
      <c r="AS306" s="2210"/>
      <c r="AT306" s="2210"/>
      <c r="AU306" s="2210"/>
      <c r="AV306" s="2210"/>
      <c r="AW306" s="2073"/>
      <c r="AX306" s="2042"/>
      <c r="AY306" s="2042"/>
      <c r="AZ306" s="2210"/>
      <c r="BA306" s="2085">
        <f t="shared" si="103"/>
        <v>3340</v>
      </c>
      <c r="BB306" s="2085"/>
      <c r="BC306" s="2085"/>
      <c r="BD306" s="2094">
        <f t="shared" si="99"/>
        <v>3340</v>
      </c>
      <c r="BE306" s="2094">
        <f t="shared" si="100"/>
        <v>0</v>
      </c>
    </row>
    <row r="307" s="1988" customFormat="1" ht="36" customHeight="1" spans="1:57">
      <c r="A307" s="2018">
        <v>45996</v>
      </c>
      <c r="B307" s="2098" t="s">
        <v>1016</v>
      </c>
      <c r="C307" s="1723" t="s">
        <v>91</v>
      </c>
      <c r="D307" s="2114">
        <v>4500188079</v>
      </c>
      <c r="E307" s="2327" t="s">
        <v>1321</v>
      </c>
      <c r="F307" s="2099" t="s">
        <v>1322</v>
      </c>
      <c r="G307" s="1989" t="s">
        <v>94</v>
      </c>
      <c r="H307" s="1989" t="s">
        <v>94</v>
      </c>
      <c r="I307" s="2036" t="s">
        <v>55</v>
      </c>
      <c r="J307" s="1989">
        <v>2514</v>
      </c>
      <c r="K307" s="2037">
        <v>0</v>
      </c>
      <c r="L307" s="2038">
        <v>2</v>
      </c>
      <c r="M307" s="2039">
        <f t="shared" si="94"/>
        <v>1257</v>
      </c>
      <c r="N307" s="2040">
        <v>46038</v>
      </c>
      <c r="O307" s="2040">
        <v>46034</v>
      </c>
      <c r="P307" s="1364" t="s">
        <v>1319</v>
      </c>
      <c r="Q307" s="1364" t="s">
        <v>56</v>
      </c>
      <c r="R307" s="1363" t="s">
        <v>1323</v>
      </c>
      <c r="S307" s="1406" t="s">
        <v>1297</v>
      </c>
      <c r="T307" s="1364"/>
      <c r="U307" s="1364" t="s">
        <v>1313</v>
      </c>
      <c r="V307" s="1365" t="s">
        <v>1082</v>
      </c>
      <c r="W307" s="2055" t="s">
        <v>1314</v>
      </c>
      <c r="X307" s="2087" t="s">
        <v>101</v>
      </c>
      <c r="Y307" s="2065">
        <v>2.1305</v>
      </c>
      <c r="Z307" s="2066">
        <f t="shared" si="95"/>
        <v>5356.077</v>
      </c>
      <c r="AA307" s="2068"/>
      <c r="AB307" s="2107">
        <v>2514</v>
      </c>
      <c r="AC307" s="2068">
        <f t="shared" si="101"/>
        <v>0</v>
      </c>
      <c r="AD307" s="2108" t="s">
        <v>327</v>
      </c>
      <c r="AE307" s="1402" t="s">
        <v>63</v>
      </c>
      <c r="AF307" s="1402" t="s">
        <v>38</v>
      </c>
      <c r="AG307" s="1363"/>
      <c r="AH307" s="2073">
        <f t="shared" si="98"/>
        <v>2514</v>
      </c>
      <c r="AI307" s="2073"/>
      <c r="AJ307" s="2085"/>
      <c r="AK307" s="2204"/>
      <c r="AL307" s="2042">
        <f t="shared" si="102"/>
        <v>2514</v>
      </c>
      <c r="AM307" s="2042"/>
      <c r="AN307" s="2204"/>
      <c r="AO307" s="2204"/>
      <c r="AP307" s="2204"/>
      <c r="AQ307" s="2204"/>
      <c r="AR307" s="2204"/>
      <c r="AS307" s="2210"/>
      <c r="AT307" s="2210"/>
      <c r="AU307" s="2210"/>
      <c r="AV307" s="2210"/>
      <c r="AW307" s="2073"/>
      <c r="AX307" s="2042"/>
      <c r="AY307" s="2042"/>
      <c r="AZ307" s="2210"/>
      <c r="BA307" s="2085">
        <f t="shared" si="103"/>
        <v>2514</v>
      </c>
      <c r="BB307" s="2085"/>
      <c r="BC307" s="2085"/>
      <c r="BD307" s="2094">
        <f t="shared" si="99"/>
        <v>2514</v>
      </c>
      <c r="BE307" s="2094">
        <f t="shared" si="100"/>
        <v>0</v>
      </c>
    </row>
    <row r="308" s="1988" customFormat="1" ht="36" customHeight="1" spans="1:57">
      <c r="A308" s="2018">
        <v>45996</v>
      </c>
      <c r="B308" s="2098" t="s">
        <v>1016</v>
      </c>
      <c r="C308" s="1723" t="s">
        <v>91</v>
      </c>
      <c r="D308" s="2114">
        <v>4500188104</v>
      </c>
      <c r="E308" s="2327" t="s">
        <v>1324</v>
      </c>
      <c r="F308" s="2113" t="s">
        <v>1325</v>
      </c>
      <c r="G308" s="1989" t="s">
        <v>94</v>
      </c>
      <c r="H308" s="1989" t="s">
        <v>94</v>
      </c>
      <c r="I308" s="2036" t="s">
        <v>55</v>
      </c>
      <c r="J308" s="1989">
        <v>916</v>
      </c>
      <c r="K308" s="2037">
        <v>0</v>
      </c>
      <c r="L308" s="2038">
        <v>2</v>
      </c>
      <c r="M308" s="2039">
        <f t="shared" si="94"/>
        <v>458</v>
      </c>
      <c r="N308" s="2040">
        <v>46048</v>
      </c>
      <c r="O308" s="2040">
        <v>46044</v>
      </c>
      <c r="P308" s="1364" t="s">
        <v>1319</v>
      </c>
      <c r="Q308" s="1364" t="s">
        <v>56</v>
      </c>
      <c r="R308" s="1363" t="s">
        <v>1326</v>
      </c>
      <c r="S308" s="1406" t="s">
        <v>1297</v>
      </c>
      <c r="T308" s="1364"/>
      <c r="U308" s="1364" t="s">
        <v>1298</v>
      </c>
      <c r="V308" s="1365" t="s">
        <v>1082</v>
      </c>
      <c r="W308" s="2055" t="s">
        <v>1299</v>
      </c>
      <c r="X308" s="2087" t="s">
        <v>101</v>
      </c>
      <c r="Y308" s="2065">
        <v>2.3261</v>
      </c>
      <c r="Z308" s="2066">
        <f t="shared" si="95"/>
        <v>2130.7076</v>
      </c>
      <c r="AA308" s="2068"/>
      <c r="AB308" s="2107">
        <v>916</v>
      </c>
      <c r="AC308" s="2068">
        <f t="shared" si="101"/>
        <v>0</v>
      </c>
      <c r="AD308" s="2108" t="s">
        <v>81</v>
      </c>
      <c r="AE308" s="1402" t="s">
        <v>63</v>
      </c>
      <c r="AF308" s="1402" t="s">
        <v>38</v>
      </c>
      <c r="AG308" s="1363"/>
      <c r="AH308" s="2073">
        <f t="shared" si="98"/>
        <v>916</v>
      </c>
      <c r="AI308" s="2073"/>
      <c r="AJ308" s="2085"/>
      <c r="AK308" s="2204"/>
      <c r="AL308" s="2042">
        <f t="shared" si="102"/>
        <v>916</v>
      </c>
      <c r="AM308" s="2042"/>
      <c r="AN308" s="2204"/>
      <c r="AO308" s="2204"/>
      <c r="AP308" s="2204"/>
      <c r="AQ308" s="2204"/>
      <c r="AR308" s="2204"/>
      <c r="AS308" s="2210"/>
      <c r="AT308" s="2210"/>
      <c r="AU308" s="2210"/>
      <c r="AV308" s="2210"/>
      <c r="AW308" s="2073"/>
      <c r="AX308" s="2042"/>
      <c r="AY308" s="2042"/>
      <c r="AZ308" s="2210"/>
      <c r="BA308" s="2085">
        <f t="shared" si="103"/>
        <v>916</v>
      </c>
      <c r="BB308" s="2085"/>
      <c r="BC308" s="2085"/>
      <c r="BD308" s="2094">
        <f t="shared" si="99"/>
        <v>916</v>
      </c>
      <c r="BE308" s="2094">
        <f t="shared" si="100"/>
        <v>0</v>
      </c>
    </row>
    <row r="309" s="1988" customFormat="1" ht="36" customHeight="1" spans="1:57">
      <c r="A309" s="2018">
        <v>45996</v>
      </c>
      <c r="B309" s="2098" t="s">
        <v>1016</v>
      </c>
      <c r="C309" s="1723" t="s">
        <v>91</v>
      </c>
      <c r="D309" s="2114">
        <v>4500188104</v>
      </c>
      <c r="E309" s="2327" t="s">
        <v>1327</v>
      </c>
      <c r="F309" s="2113" t="s">
        <v>1328</v>
      </c>
      <c r="G309" s="1989" t="s">
        <v>94</v>
      </c>
      <c r="H309" s="1989" t="s">
        <v>94</v>
      </c>
      <c r="I309" s="2036" t="s">
        <v>55</v>
      </c>
      <c r="J309" s="1989">
        <v>798</v>
      </c>
      <c r="K309" s="2037">
        <v>0</v>
      </c>
      <c r="L309" s="2038">
        <v>2</v>
      </c>
      <c r="M309" s="2039">
        <f t="shared" si="94"/>
        <v>399</v>
      </c>
      <c r="N309" s="2040">
        <v>46048</v>
      </c>
      <c r="O309" s="2040">
        <v>46044</v>
      </c>
      <c r="P309" s="1364" t="s">
        <v>1319</v>
      </c>
      <c r="Q309" s="1364" t="s">
        <v>56</v>
      </c>
      <c r="R309" s="1363" t="s">
        <v>216</v>
      </c>
      <c r="S309" s="1406" t="s">
        <v>1297</v>
      </c>
      <c r="T309" s="1364"/>
      <c r="U309" s="1364" t="s">
        <v>1298</v>
      </c>
      <c r="V309" s="1365" t="s">
        <v>1082</v>
      </c>
      <c r="W309" s="2055" t="s">
        <v>1299</v>
      </c>
      <c r="X309" s="2087" t="s">
        <v>101</v>
      </c>
      <c r="Y309" s="2065">
        <v>2.3957</v>
      </c>
      <c r="Z309" s="2066">
        <f t="shared" si="95"/>
        <v>1911.7686</v>
      </c>
      <c r="AA309" s="2068"/>
      <c r="AB309" s="2107">
        <v>798</v>
      </c>
      <c r="AC309" s="2068">
        <f t="shared" si="101"/>
        <v>0</v>
      </c>
      <c r="AD309" s="2108" t="s">
        <v>81</v>
      </c>
      <c r="AE309" s="1402" t="s">
        <v>63</v>
      </c>
      <c r="AF309" s="1402" t="s">
        <v>38</v>
      </c>
      <c r="AG309" s="1363"/>
      <c r="AH309" s="2073">
        <f t="shared" si="98"/>
        <v>798</v>
      </c>
      <c r="AI309" s="2073"/>
      <c r="AJ309" s="2085"/>
      <c r="AK309" s="2204"/>
      <c r="AL309" s="2042">
        <f t="shared" si="102"/>
        <v>798</v>
      </c>
      <c r="AM309" s="2042"/>
      <c r="AN309" s="2204"/>
      <c r="AO309" s="2204"/>
      <c r="AP309" s="2204"/>
      <c r="AQ309" s="2204"/>
      <c r="AR309" s="2204"/>
      <c r="AS309" s="2210"/>
      <c r="AT309" s="2210"/>
      <c r="AU309" s="2210"/>
      <c r="AV309" s="2210"/>
      <c r="AW309" s="2073"/>
      <c r="AX309" s="2042"/>
      <c r="AY309" s="2042"/>
      <c r="AZ309" s="2210"/>
      <c r="BA309" s="2085">
        <f t="shared" si="103"/>
        <v>798</v>
      </c>
      <c r="BB309" s="2085"/>
      <c r="BC309" s="2085"/>
      <c r="BD309" s="2094">
        <f t="shared" si="99"/>
        <v>798</v>
      </c>
      <c r="BE309" s="2094">
        <f t="shared" si="100"/>
        <v>0</v>
      </c>
    </row>
    <row r="310" s="1988" customFormat="1" ht="36" customHeight="1" spans="1:57">
      <c r="A310" s="2018">
        <v>45996</v>
      </c>
      <c r="B310" s="2098" t="s">
        <v>1016</v>
      </c>
      <c r="C310" s="1723" t="s">
        <v>91</v>
      </c>
      <c r="D310" s="2114">
        <v>4500188080</v>
      </c>
      <c r="E310" s="2327" t="s">
        <v>1329</v>
      </c>
      <c r="F310" s="2113" t="s">
        <v>1330</v>
      </c>
      <c r="G310" s="1989" t="s">
        <v>94</v>
      </c>
      <c r="H310" s="1989" t="s">
        <v>94</v>
      </c>
      <c r="I310" s="2036" t="s">
        <v>55</v>
      </c>
      <c r="J310" s="1989">
        <v>4288</v>
      </c>
      <c r="K310" s="2037">
        <v>0</v>
      </c>
      <c r="L310" s="2038">
        <v>2</v>
      </c>
      <c r="M310" s="2039">
        <f t="shared" si="94"/>
        <v>2144</v>
      </c>
      <c r="N310" s="2040">
        <v>46048</v>
      </c>
      <c r="O310" s="2040">
        <v>46044</v>
      </c>
      <c r="P310" s="1364" t="s">
        <v>1319</v>
      </c>
      <c r="Q310" s="1364" t="s">
        <v>56</v>
      </c>
      <c r="R310" s="1363" t="s">
        <v>228</v>
      </c>
      <c r="S310" s="1406" t="s">
        <v>1297</v>
      </c>
      <c r="T310" s="1364"/>
      <c r="U310" s="1364" t="s">
        <v>1313</v>
      </c>
      <c r="V310" s="1365" t="s">
        <v>1082</v>
      </c>
      <c r="W310" s="2055" t="s">
        <v>1314</v>
      </c>
      <c r="X310" s="2087" t="s">
        <v>101</v>
      </c>
      <c r="Y310" s="2065">
        <v>2.0648</v>
      </c>
      <c r="Z310" s="2066">
        <f t="shared" si="95"/>
        <v>8853.8624</v>
      </c>
      <c r="AA310" s="2068"/>
      <c r="AB310" s="2107">
        <f>450+850+2988</f>
        <v>4288</v>
      </c>
      <c r="AC310" s="2068">
        <f t="shared" si="101"/>
        <v>0</v>
      </c>
      <c r="AD310" s="2108" t="s">
        <v>327</v>
      </c>
      <c r="AE310" s="1402" t="s">
        <v>63</v>
      </c>
      <c r="AF310" s="1402" t="s">
        <v>38</v>
      </c>
      <c r="AG310" s="1363"/>
      <c r="AH310" s="2073">
        <f t="shared" si="98"/>
        <v>4288</v>
      </c>
      <c r="AI310" s="2073"/>
      <c r="AJ310" s="2085"/>
      <c r="AK310" s="2204"/>
      <c r="AL310" s="2042">
        <f t="shared" si="102"/>
        <v>4288</v>
      </c>
      <c r="AM310" s="2042"/>
      <c r="AN310" s="2204"/>
      <c r="AO310" s="2204"/>
      <c r="AP310" s="2204"/>
      <c r="AQ310" s="2204"/>
      <c r="AR310" s="2204"/>
      <c r="AS310" s="2210"/>
      <c r="AT310" s="2210"/>
      <c r="AU310" s="2210"/>
      <c r="AV310" s="2210"/>
      <c r="AW310" s="2073"/>
      <c r="AX310" s="2042"/>
      <c r="AY310" s="2042"/>
      <c r="AZ310" s="2210"/>
      <c r="BA310" s="2085">
        <f t="shared" si="103"/>
        <v>4288</v>
      </c>
      <c r="BB310" s="2085"/>
      <c r="BC310" s="2085"/>
      <c r="BD310" s="2094">
        <f t="shared" si="99"/>
        <v>4288</v>
      </c>
      <c r="BE310" s="2094">
        <f t="shared" si="100"/>
        <v>0</v>
      </c>
    </row>
    <row r="311" s="1988" customFormat="1" ht="36" customHeight="1" spans="1:57">
      <c r="A311" s="2018">
        <v>46006</v>
      </c>
      <c r="B311" s="2098" t="s">
        <v>918</v>
      </c>
      <c r="C311" s="1723" t="s">
        <v>123</v>
      </c>
      <c r="D311" s="2099">
        <v>4500188998</v>
      </c>
      <c r="E311" s="2100">
        <v>4400530114</v>
      </c>
      <c r="F311" s="2099" t="s">
        <v>1331</v>
      </c>
      <c r="G311" s="1723" t="s">
        <v>125</v>
      </c>
      <c r="H311" s="1989" t="s">
        <v>54</v>
      </c>
      <c r="I311" s="2103" t="s">
        <v>55</v>
      </c>
      <c r="J311" s="2104">
        <v>2004</v>
      </c>
      <c r="K311" s="2037">
        <v>0</v>
      </c>
      <c r="L311" s="2038">
        <v>12</v>
      </c>
      <c r="M311" s="2039">
        <f t="shared" si="94"/>
        <v>167</v>
      </c>
      <c r="N311" s="2040">
        <v>46052</v>
      </c>
      <c r="O311" s="2040">
        <v>46048</v>
      </c>
      <c r="P311" s="1364" t="s">
        <v>1332</v>
      </c>
      <c r="Q311" s="1364" t="s">
        <v>56</v>
      </c>
      <c r="R311" s="1363" t="s">
        <v>1309</v>
      </c>
      <c r="S311" s="1406" t="s">
        <v>1333</v>
      </c>
      <c r="T311" s="1364"/>
      <c r="U311" s="1364" t="s">
        <v>1334</v>
      </c>
      <c r="V311" s="1365" t="s">
        <v>1028</v>
      </c>
      <c r="W311" s="2055" t="s">
        <v>1335</v>
      </c>
      <c r="X311" s="2087" t="s">
        <v>953</v>
      </c>
      <c r="Y311" s="2065">
        <v>3.389</v>
      </c>
      <c r="Z311" s="2066">
        <f t="shared" si="95"/>
        <v>6791.556</v>
      </c>
      <c r="AA311" s="2068"/>
      <c r="AB311" s="2107">
        <f>1620+384</f>
        <v>2004</v>
      </c>
      <c r="AC311" s="2068">
        <f t="shared" si="101"/>
        <v>0</v>
      </c>
      <c r="AD311" s="2108" t="s">
        <v>81</v>
      </c>
      <c r="AE311" s="1402" t="s">
        <v>63</v>
      </c>
      <c r="AF311" s="1402" t="s">
        <v>38</v>
      </c>
      <c r="AG311" s="1363"/>
      <c r="AH311" s="2073">
        <f t="shared" si="98"/>
        <v>2004</v>
      </c>
      <c r="AI311" s="2073"/>
      <c r="AJ311" s="2085"/>
      <c r="AK311" s="2204"/>
      <c r="AL311" s="2042"/>
      <c r="AM311" s="2042">
        <f>J311</f>
        <v>2004</v>
      </c>
      <c r="AN311" s="2204"/>
      <c r="AO311" s="2204"/>
      <c r="AP311" s="2204"/>
      <c r="AQ311" s="2204"/>
      <c r="AR311" s="2204"/>
      <c r="AS311" s="2210"/>
      <c r="AT311" s="2210"/>
      <c r="AU311" s="2210"/>
      <c r="AV311" s="2210"/>
      <c r="AW311" s="2073">
        <f>J311</f>
        <v>2004</v>
      </c>
      <c r="AX311" s="2042"/>
      <c r="AY311" s="2042"/>
      <c r="AZ311" s="2210"/>
      <c r="BA311" s="2085"/>
      <c r="BB311" s="2085"/>
      <c r="BC311" s="2085"/>
      <c r="BD311" s="2094">
        <f t="shared" si="99"/>
        <v>2004</v>
      </c>
      <c r="BE311" s="2094">
        <f t="shared" si="100"/>
        <v>0</v>
      </c>
    </row>
    <row r="312" s="1988" customFormat="1" ht="36" customHeight="1" spans="1:57">
      <c r="A312" s="2018">
        <v>46006</v>
      </c>
      <c r="B312" s="2098" t="s">
        <v>856</v>
      </c>
      <c r="C312" s="1723" t="s">
        <v>178</v>
      </c>
      <c r="D312" s="2099">
        <v>4500189007</v>
      </c>
      <c r="E312" s="2100">
        <v>4400530113</v>
      </c>
      <c r="F312" s="2099" t="s">
        <v>1336</v>
      </c>
      <c r="G312" s="1723" t="s">
        <v>125</v>
      </c>
      <c r="H312" s="1989" t="s">
        <v>54</v>
      </c>
      <c r="I312" s="2103" t="s">
        <v>55</v>
      </c>
      <c r="J312" s="2104">
        <v>1500</v>
      </c>
      <c r="K312" s="2037">
        <v>0</v>
      </c>
      <c r="L312" s="2038">
        <v>12</v>
      </c>
      <c r="M312" s="2039">
        <f t="shared" si="94"/>
        <v>125</v>
      </c>
      <c r="N312" s="2040">
        <v>46052</v>
      </c>
      <c r="O312" s="2040">
        <v>46048</v>
      </c>
      <c r="P312" s="1364" t="s">
        <v>1332</v>
      </c>
      <c r="Q312" s="1364" t="s">
        <v>56</v>
      </c>
      <c r="R312" s="1363" t="s">
        <v>1337</v>
      </c>
      <c r="S312" s="1406" t="s">
        <v>1333</v>
      </c>
      <c r="T312" s="1364"/>
      <c r="U312" s="1364" t="s">
        <v>1334</v>
      </c>
      <c r="V312" s="1365" t="s">
        <v>1028</v>
      </c>
      <c r="W312" s="2055" t="s">
        <v>1335</v>
      </c>
      <c r="X312" s="2087" t="s">
        <v>953</v>
      </c>
      <c r="Y312" s="2065">
        <v>3.4758</v>
      </c>
      <c r="Z312" s="2066">
        <f t="shared" si="95"/>
        <v>5213.7</v>
      </c>
      <c r="AA312" s="2068"/>
      <c r="AB312" s="2107">
        <v>1500</v>
      </c>
      <c r="AC312" s="2068">
        <f t="shared" si="101"/>
        <v>0</v>
      </c>
      <c r="AD312" s="2108" t="s">
        <v>81</v>
      </c>
      <c r="AE312" s="1402" t="s">
        <v>63</v>
      </c>
      <c r="AF312" s="1402" t="s">
        <v>38</v>
      </c>
      <c r="AG312" s="1363"/>
      <c r="AH312" s="2073">
        <f t="shared" si="98"/>
        <v>1500</v>
      </c>
      <c r="AI312" s="2073"/>
      <c r="AJ312" s="2085"/>
      <c r="AK312" s="2204"/>
      <c r="AL312" s="2042"/>
      <c r="AM312" s="2042">
        <f>J312</f>
        <v>1500</v>
      </c>
      <c r="AN312" s="2204"/>
      <c r="AO312" s="2204"/>
      <c r="AP312" s="2204"/>
      <c r="AQ312" s="2204"/>
      <c r="AR312" s="2204"/>
      <c r="AS312" s="2210"/>
      <c r="AT312" s="2210"/>
      <c r="AU312" s="2210"/>
      <c r="AV312" s="2210"/>
      <c r="AW312" s="2073">
        <f>J312</f>
        <v>1500</v>
      </c>
      <c r="AX312" s="2042"/>
      <c r="AY312" s="2042"/>
      <c r="AZ312" s="2210"/>
      <c r="BA312" s="2085"/>
      <c r="BB312" s="2085"/>
      <c r="BC312" s="2085"/>
      <c r="BD312" s="2094">
        <f t="shared" si="99"/>
        <v>1500</v>
      </c>
      <c r="BE312" s="2094">
        <f t="shared" si="100"/>
        <v>0</v>
      </c>
    </row>
    <row r="313" s="1988" customFormat="1" ht="36" customHeight="1" spans="1:57">
      <c r="A313" s="2018">
        <v>46006</v>
      </c>
      <c r="B313" s="2098" t="s">
        <v>1338</v>
      </c>
      <c r="C313" s="1723" t="s">
        <v>1339</v>
      </c>
      <c r="D313" s="2099">
        <v>4500188900</v>
      </c>
      <c r="E313" s="2100" t="s">
        <v>1340</v>
      </c>
      <c r="F313" s="2099" t="s">
        <v>1341</v>
      </c>
      <c r="G313" s="1989" t="s">
        <v>1043</v>
      </c>
      <c r="H313" s="1989" t="s">
        <v>64</v>
      </c>
      <c r="I313" s="2103" t="s">
        <v>65</v>
      </c>
      <c r="J313" s="2104">
        <v>204</v>
      </c>
      <c r="K313" s="2037">
        <v>0</v>
      </c>
      <c r="L313" s="2038">
        <v>12</v>
      </c>
      <c r="M313" s="2039">
        <f t="shared" si="94"/>
        <v>17</v>
      </c>
      <c r="N313" s="2040">
        <v>46038</v>
      </c>
      <c r="O313" s="2040">
        <v>46049</v>
      </c>
      <c r="P313" s="1364" t="s">
        <v>1342</v>
      </c>
      <c r="Q313" s="1364" t="s">
        <v>56</v>
      </c>
      <c r="R313" s="1363" t="s">
        <v>1343</v>
      </c>
      <c r="S313" s="1406" t="s">
        <v>1344</v>
      </c>
      <c r="T313" s="1364"/>
      <c r="U313" s="1364" t="s">
        <v>1345</v>
      </c>
      <c r="V313" s="1365" t="s">
        <v>1346</v>
      </c>
      <c r="W313" s="2055" t="s">
        <v>1347</v>
      </c>
      <c r="X313" s="2087" t="s">
        <v>1269</v>
      </c>
      <c r="Y313" s="2065">
        <v>3.8651</v>
      </c>
      <c r="Z313" s="2066">
        <f t="shared" si="95"/>
        <v>788.4804</v>
      </c>
      <c r="AA313" s="2068"/>
      <c r="AB313" s="2107">
        <v>204</v>
      </c>
      <c r="AC313" s="2068">
        <f t="shared" si="101"/>
        <v>0</v>
      </c>
      <c r="AD313" s="2108" t="s">
        <v>81</v>
      </c>
      <c r="AE313" s="1402" t="s">
        <v>63</v>
      </c>
      <c r="AF313" s="1402" t="s">
        <v>38</v>
      </c>
      <c r="AG313" s="1363"/>
      <c r="AH313" s="2073"/>
      <c r="AI313" s="2073">
        <f>J313</f>
        <v>204</v>
      </c>
      <c r="AJ313" s="2085"/>
      <c r="AK313" s="2206"/>
      <c r="AL313" s="2042"/>
      <c r="AM313" s="2042">
        <f>J313</f>
        <v>204</v>
      </c>
      <c r="AN313" s="2206"/>
      <c r="AO313" s="2206"/>
      <c r="AP313" s="2206"/>
      <c r="AQ313" s="2206"/>
      <c r="AR313" s="2206"/>
      <c r="AS313" s="2213"/>
      <c r="AT313" s="2213"/>
      <c r="AU313" s="2213"/>
      <c r="AV313" s="2213"/>
      <c r="AW313" s="2073"/>
      <c r="AX313" s="2042">
        <f>J313</f>
        <v>204</v>
      </c>
      <c r="AY313" s="2042"/>
      <c r="AZ313" s="2213"/>
      <c r="BA313" s="2085"/>
      <c r="BB313" s="2085"/>
      <c r="BC313" s="2085"/>
      <c r="BD313" s="2094">
        <f t="shared" si="99"/>
        <v>204</v>
      </c>
      <c r="BE313" s="2094">
        <f t="shared" si="100"/>
        <v>0</v>
      </c>
    </row>
    <row r="314" s="1988" customFormat="1" ht="36" customHeight="1" spans="1:57">
      <c r="A314" s="2018">
        <v>46387</v>
      </c>
      <c r="B314" s="2098" t="s">
        <v>1348</v>
      </c>
      <c r="C314" s="1723" t="s">
        <v>1339</v>
      </c>
      <c r="D314" s="2099">
        <v>4500190081</v>
      </c>
      <c r="E314" s="2100" t="s">
        <v>1349</v>
      </c>
      <c r="F314" s="2099" t="s">
        <v>1350</v>
      </c>
      <c r="G314" s="1989" t="s">
        <v>64</v>
      </c>
      <c r="H314" s="1989" t="s">
        <v>64</v>
      </c>
      <c r="I314" s="2104" t="s">
        <v>65</v>
      </c>
      <c r="J314" s="2104">
        <v>300</v>
      </c>
      <c r="K314" s="2037">
        <v>0</v>
      </c>
      <c r="L314" s="2038">
        <v>12</v>
      </c>
      <c r="M314" s="2039">
        <f t="shared" si="94"/>
        <v>25</v>
      </c>
      <c r="N314" s="2040">
        <v>46055</v>
      </c>
      <c r="O314" s="2040">
        <f>N314-4</f>
        <v>46051</v>
      </c>
      <c r="P314" s="1364" t="s">
        <v>1351</v>
      </c>
      <c r="Q314" s="1363" t="s">
        <v>56</v>
      </c>
      <c r="R314" s="1363" t="s">
        <v>1343</v>
      </c>
      <c r="S314" s="1406" t="s">
        <v>1344</v>
      </c>
      <c r="T314" s="1364"/>
      <c r="U314" s="1364" t="s">
        <v>1352</v>
      </c>
      <c r="V314" s="1365" t="s">
        <v>1353</v>
      </c>
      <c r="W314" s="2055" t="s">
        <v>1354</v>
      </c>
      <c r="X314" s="2087" t="s">
        <v>1269</v>
      </c>
      <c r="Y314" s="2065">
        <v>3.9509</v>
      </c>
      <c r="Z314" s="2066">
        <f t="shared" si="95"/>
        <v>1185.27</v>
      </c>
      <c r="AA314" s="2068"/>
      <c r="AB314" s="2107">
        <v>300</v>
      </c>
      <c r="AC314" s="2068">
        <f t="shared" ref="AC314:AC328" si="104">AB314-J314</f>
        <v>0</v>
      </c>
      <c r="AD314" s="2108" t="s">
        <v>81</v>
      </c>
      <c r="AE314" s="1402" t="s">
        <v>63</v>
      </c>
      <c r="AF314" s="1402" t="s">
        <v>38</v>
      </c>
      <c r="AG314" s="1363"/>
      <c r="AH314" s="2073"/>
      <c r="AI314" s="2073">
        <f>J314</f>
        <v>300</v>
      </c>
      <c r="AJ314" s="2085"/>
      <c r="AK314" s="2225"/>
      <c r="AL314" s="2042">
        <f t="shared" ref="AL314:AL328" si="105">J314</f>
        <v>300</v>
      </c>
      <c r="AM314" s="2042"/>
      <c r="AN314" s="2225"/>
      <c r="AO314" s="2225"/>
      <c r="AP314" s="2225"/>
      <c r="AQ314" s="2225"/>
      <c r="AR314" s="2225"/>
      <c r="AS314" s="2226"/>
      <c r="AT314" s="2226"/>
      <c r="AU314" s="2226"/>
      <c r="AV314" s="2226"/>
      <c r="AW314" s="2073"/>
      <c r="AX314" s="2042">
        <f>J314</f>
        <v>300</v>
      </c>
      <c r="AY314" s="2042"/>
      <c r="AZ314" s="2226"/>
      <c r="BA314" s="2085"/>
      <c r="BB314" s="2085"/>
      <c r="BC314" s="2085"/>
      <c r="BD314" s="2094">
        <f t="shared" si="99"/>
        <v>300</v>
      </c>
      <c r="BE314" s="2094">
        <f t="shared" si="100"/>
        <v>0</v>
      </c>
    </row>
    <row r="315" s="1988" customFormat="1" ht="36" customHeight="1" spans="1:57">
      <c r="A315" s="2018">
        <v>46387</v>
      </c>
      <c r="B315" s="2098" t="s">
        <v>1016</v>
      </c>
      <c r="C315" s="1723" t="s">
        <v>91</v>
      </c>
      <c r="D315" s="2114">
        <v>4500188098</v>
      </c>
      <c r="E315" s="2327" t="s">
        <v>1355</v>
      </c>
      <c r="F315" s="2099" t="s">
        <v>1356</v>
      </c>
      <c r="G315" s="1723" t="s">
        <v>94</v>
      </c>
      <c r="H315" s="1989" t="s">
        <v>94</v>
      </c>
      <c r="I315" s="2104" t="s">
        <v>55</v>
      </c>
      <c r="J315" s="2104">
        <v>1756</v>
      </c>
      <c r="K315" s="2037">
        <v>0</v>
      </c>
      <c r="L315" s="2038">
        <v>2</v>
      </c>
      <c r="M315" s="2039">
        <f t="shared" si="94"/>
        <v>878</v>
      </c>
      <c r="N315" s="2040">
        <v>46057</v>
      </c>
      <c r="O315" s="2040">
        <f>N315-4</f>
        <v>46053</v>
      </c>
      <c r="P315" s="1364" t="s">
        <v>1357</v>
      </c>
      <c r="Q315" s="1363" t="s">
        <v>56</v>
      </c>
      <c r="R315" s="1363" t="s">
        <v>1358</v>
      </c>
      <c r="S315" s="1406" t="s">
        <v>1359</v>
      </c>
      <c r="T315" s="1364"/>
      <c r="U315" s="1364" t="s">
        <v>1360</v>
      </c>
      <c r="V315" s="1365" t="s">
        <v>1361</v>
      </c>
      <c r="W315" s="2055" t="s">
        <v>1314</v>
      </c>
      <c r="X315" s="2087" t="s">
        <v>101</v>
      </c>
      <c r="Y315" s="2065">
        <v>2.113</v>
      </c>
      <c r="Z315" s="2066">
        <f t="shared" si="95"/>
        <v>3710.428</v>
      </c>
      <c r="AA315" s="2068"/>
      <c r="AB315" s="2107">
        <v>1756</v>
      </c>
      <c r="AC315" s="2068">
        <f t="shared" si="104"/>
        <v>0</v>
      </c>
      <c r="AD315" s="2108" t="s">
        <v>327</v>
      </c>
      <c r="AE315" s="1402" t="s">
        <v>63</v>
      </c>
      <c r="AF315" s="1402" t="s">
        <v>38</v>
      </c>
      <c r="AG315" s="1363"/>
      <c r="AH315" s="2073">
        <f t="shared" ref="AH315:AH335" si="106">J315</f>
        <v>1756</v>
      </c>
      <c r="AI315" s="2073"/>
      <c r="AJ315" s="2085"/>
      <c r="AK315" s="2042"/>
      <c r="AL315" s="2042">
        <f t="shared" si="105"/>
        <v>1756</v>
      </c>
      <c r="AM315" s="2042"/>
      <c r="AN315" s="2042"/>
      <c r="AO315" s="2042"/>
      <c r="AP315" s="2042"/>
      <c r="AQ315" s="2042"/>
      <c r="AR315" s="2042"/>
      <c r="AS315" s="2211"/>
      <c r="AT315" s="2211"/>
      <c r="AU315" s="2211"/>
      <c r="AV315" s="2211"/>
      <c r="AW315" s="2073"/>
      <c r="AX315" s="2042"/>
      <c r="AY315" s="2042"/>
      <c r="AZ315" s="2211"/>
      <c r="BA315" s="2085">
        <f t="shared" ref="BA315:BA320" si="107">J315</f>
        <v>1756</v>
      </c>
      <c r="BB315" s="2085"/>
      <c r="BC315" s="2085"/>
      <c r="BD315" s="2094">
        <f t="shared" si="99"/>
        <v>1756</v>
      </c>
      <c r="BE315" s="2094">
        <f t="shared" si="100"/>
        <v>0</v>
      </c>
    </row>
    <row r="316" s="1988" customFormat="1" ht="36" customHeight="1" spans="1:57">
      <c r="A316" s="2018">
        <v>46387</v>
      </c>
      <c r="B316" s="2098" t="s">
        <v>1016</v>
      </c>
      <c r="C316" s="1723" t="s">
        <v>91</v>
      </c>
      <c r="D316" s="2114">
        <v>4500188098</v>
      </c>
      <c r="E316" s="2327" t="s">
        <v>1362</v>
      </c>
      <c r="F316" s="2099" t="s">
        <v>1363</v>
      </c>
      <c r="G316" s="1723" t="s">
        <v>94</v>
      </c>
      <c r="H316" s="1989" t="s">
        <v>94</v>
      </c>
      <c r="I316" s="2104" t="s">
        <v>55</v>
      </c>
      <c r="J316" s="2104">
        <v>3134</v>
      </c>
      <c r="K316" s="2037">
        <v>0</v>
      </c>
      <c r="L316" s="2038">
        <v>2</v>
      </c>
      <c r="M316" s="2039">
        <f t="shared" si="94"/>
        <v>1567</v>
      </c>
      <c r="N316" s="2040">
        <v>46057</v>
      </c>
      <c r="O316" s="2040">
        <f>N316-4</f>
        <v>46053</v>
      </c>
      <c r="P316" s="1364" t="s">
        <v>1357</v>
      </c>
      <c r="Q316" s="1363" t="s">
        <v>56</v>
      </c>
      <c r="R316" s="1363" t="s">
        <v>317</v>
      </c>
      <c r="S316" s="1406" t="s">
        <v>1359</v>
      </c>
      <c r="T316" s="1364"/>
      <c r="U316" s="1364" t="s">
        <v>1360</v>
      </c>
      <c r="V316" s="1365" t="s">
        <v>1361</v>
      </c>
      <c r="W316" s="2055" t="s">
        <v>1314</v>
      </c>
      <c r="X316" s="2087" t="s">
        <v>101</v>
      </c>
      <c r="Y316" s="2065">
        <v>2.0648</v>
      </c>
      <c r="Z316" s="2066">
        <f t="shared" si="95"/>
        <v>6471.0832</v>
      </c>
      <c r="AA316" s="2068"/>
      <c r="AB316" s="2107">
        <f>900+2234</f>
        <v>3134</v>
      </c>
      <c r="AC316" s="2068">
        <f t="shared" si="104"/>
        <v>0</v>
      </c>
      <c r="AD316" s="2108" t="s">
        <v>327</v>
      </c>
      <c r="AE316" s="1402" t="s">
        <v>63</v>
      </c>
      <c r="AF316" s="1402" t="s">
        <v>38</v>
      </c>
      <c r="AG316" s="1363"/>
      <c r="AH316" s="2073">
        <f t="shared" si="106"/>
        <v>3134</v>
      </c>
      <c r="AI316" s="2073"/>
      <c r="AJ316" s="2085"/>
      <c r="AK316" s="2042"/>
      <c r="AL316" s="2042">
        <f t="shared" si="105"/>
        <v>3134</v>
      </c>
      <c r="AM316" s="2042"/>
      <c r="AN316" s="2042"/>
      <c r="AO316" s="2042"/>
      <c r="AP316" s="2042"/>
      <c r="AQ316" s="2042"/>
      <c r="AR316" s="2042"/>
      <c r="AS316" s="2211"/>
      <c r="AT316" s="2211"/>
      <c r="AU316" s="2211"/>
      <c r="AV316" s="2211"/>
      <c r="AW316" s="2073"/>
      <c r="AX316" s="2042"/>
      <c r="AY316" s="2042"/>
      <c r="AZ316" s="2211"/>
      <c r="BA316" s="2085">
        <f t="shared" si="107"/>
        <v>3134</v>
      </c>
      <c r="BB316" s="2085"/>
      <c r="BC316" s="2085"/>
      <c r="BD316" s="2094">
        <f t="shared" si="99"/>
        <v>3134</v>
      </c>
      <c r="BE316" s="2094">
        <f t="shared" si="100"/>
        <v>0</v>
      </c>
    </row>
    <row r="317" s="1988" customFormat="1" ht="36" customHeight="1" spans="1:57">
      <c r="A317" s="2018">
        <v>46387</v>
      </c>
      <c r="B317" s="2098" t="s">
        <v>1016</v>
      </c>
      <c r="C317" s="1723" t="s">
        <v>91</v>
      </c>
      <c r="D317" s="2114">
        <v>4500188084</v>
      </c>
      <c r="E317" s="2327" t="s">
        <v>1364</v>
      </c>
      <c r="F317" s="2099" t="s">
        <v>1365</v>
      </c>
      <c r="G317" s="1723" t="s">
        <v>94</v>
      </c>
      <c r="H317" s="1989" t="s">
        <v>94</v>
      </c>
      <c r="I317" s="2104" t="s">
        <v>55</v>
      </c>
      <c r="J317" s="2104">
        <v>4336</v>
      </c>
      <c r="K317" s="2037">
        <v>0</v>
      </c>
      <c r="L317" s="2038">
        <v>2</v>
      </c>
      <c r="M317" s="2039">
        <f t="shared" si="94"/>
        <v>2168</v>
      </c>
      <c r="N317" s="2040">
        <v>46062</v>
      </c>
      <c r="O317" s="2040">
        <v>46058</v>
      </c>
      <c r="P317" s="1364" t="s">
        <v>1366</v>
      </c>
      <c r="Q317" s="1363" t="s">
        <v>56</v>
      </c>
      <c r="R317" s="1363" t="s">
        <v>309</v>
      </c>
      <c r="S317" s="1406" t="s">
        <v>1359</v>
      </c>
      <c r="T317" s="1364"/>
      <c r="U317" s="1364" t="s">
        <v>1360</v>
      </c>
      <c r="V317" s="1365" t="s">
        <v>1361</v>
      </c>
      <c r="W317" s="2055" t="s">
        <v>1314</v>
      </c>
      <c r="X317" s="2087" t="s">
        <v>101</v>
      </c>
      <c r="Y317" s="2065">
        <v>1.9952</v>
      </c>
      <c r="Z317" s="2066">
        <f t="shared" si="95"/>
        <v>8651.1872</v>
      </c>
      <c r="AA317" s="2068"/>
      <c r="AB317" s="2107">
        <f>400+3936</f>
        <v>4336</v>
      </c>
      <c r="AC317" s="2068">
        <f t="shared" si="104"/>
        <v>0</v>
      </c>
      <c r="AD317" s="2108" t="s">
        <v>327</v>
      </c>
      <c r="AE317" s="1402" t="s">
        <v>63</v>
      </c>
      <c r="AF317" s="1402" t="s">
        <v>38</v>
      </c>
      <c r="AG317" s="1363"/>
      <c r="AH317" s="2073">
        <f t="shared" si="106"/>
        <v>4336</v>
      </c>
      <c r="AI317" s="2073"/>
      <c r="AJ317" s="2085"/>
      <c r="AK317" s="2042"/>
      <c r="AL317" s="2042">
        <f t="shared" si="105"/>
        <v>4336</v>
      </c>
      <c r="AM317" s="2042"/>
      <c r="AN317" s="2042"/>
      <c r="AO317" s="2042"/>
      <c r="AP317" s="2042"/>
      <c r="AQ317" s="2042"/>
      <c r="AR317" s="2042"/>
      <c r="AS317" s="2211"/>
      <c r="AT317" s="2211"/>
      <c r="AU317" s="2211"/>
      <c r="AV317" s="2211"/>
      <c r="AW317" s="2073"/>
      <c r="AX317" s="2042"/>
      <c r="AY317" s="2042"/>
      <c r="AZ317" s="2211"/>
      <c r="BA317" s="2085">
        <f t="shared" si="107"/>
        <v>4336</v>
      </c>
      <c r="BB317" s="2085"/>
      <c r="BC317" s="2085"/>
      <c r="BD317" s="2094">
        <f t="shared" si="99"/>
        <v>4336</v>
      </c>
      <c r="BE317" s="2094">
        <f t="shared" si="100"/>
        <v>0</v>
      </c>
    </row>
    <row r="318" s="1988" customFormat="1" ht="36" customHeight="1" spans="1:57">
      <c r="A318" s="2018">
        <v>46387</v>
      </c>
      <c r="B318" s="2098" t="s">
        <v>1016</v>
      </c>
      <c r="C318" s="1723" t="s">
        <v>91</v>
      </c>
      <c r="D318" s="2114">
        <v>4500188084</v>
      </c>
      <c r="E318" s="2327" t="s">
        <v>1367</v>
      </c>
      <c r="F318" s="2099" t="s">
        <v>1368</v>
      </c>
      <c r="G318" s="1723" t="s">
        <v>94</v>
      </c>
      <c r="H318" s="1989" t="s">
        <v>94</v>
      </c>
      <c r="I318" s="2104" t="s">
        <v>55</v>
      </c>
      <c r="J318" s="2104">
        <v>3284</v>
      </c>
      <c r="K318" s="2037">
        <v>0</v>
      </c>
      <c r="L318" s="2038">
        <v>2</v>
      </c>
      <c r="M318" s="2039">
        <f t="shared" si="94"/>
        <v>1642</v>
      </c>
      <c r="N318" s="2040">
        <v>46062</v>
      </c>
      <c r="O318" s="2040">
        <v>46058</v>
      </c>
      <c r="P318" s="1364" t="s">
        <v>1366</v>
      </c>
      <c r="Q318" s="1363" t="s">
        <v>56</v>
      </c>
      <c r="R318" s="1363" t="s">
        <v>1369</v>
      </c>
      <c r="S318" s="1406" t="s">
        <v>1359</v>
      </c>
      <c r="T318" s="1364"/>
      <c r="U318" s="1364" t="s">
        <v>1360</v>
      </c>
      <c r="V318" s="1365" t="s">
        <v>1361</v>
      </c>
      <c r="W318" s="2055" t="s">
        <v>1314</v>
      </c>
      <c r="X318" s="2087" t="s">
        <v>101</v>
      </c>
      <c r="Y318" s="2065">
        <v>1.9952</v>
      </c>
      <c r="Z318" s="2066">
        <f t="shared" si="95"/>
        <v>6552.2368</v>
      </c>
      <c r="AA318" s="2068"/>
      <c r="AB318" s="2107">
        <v>3284</v>
      </c>
      <c r="AC318" s="2068">
        <f t="shared" si="104"/>
        <v>0</v>
      </c>
      <c r="AD318" s="2108" t="s">
        <v>327</v>
      </c>
      <c r="AE318" s="1402" t="s">
        <v>63</v>
      </c>
      <c r="AF318" s="1402" t="s">
        <v>38</v>
      </c>
      <c r="AG318" s="1363"/>
      <c r="AH318" s="2073">
        <f t="shared" si="106"/>
        <v>3284</v>
      </c>
      <c r="AI318" s="2073"/>
      <c r="AJ318" s="2085"/>
      <c r="AK318" s="2042"/>
      <c r="AL318" s="2042">
        <f t="shared" si="105"/>
        <v>3284</v>
      </c>
      <c r="AM318" s="2042"/>
      <c r="AN318" s="2042"/>
      <c r="AO318" s="2042"/>
      <c r="AP318" s="2042"/>
      <c r="AQ318" s="2042"/>
      <c r="AR318" s="2042"/>
      <c r="AS318" s="2211"/>
      <c r="AT318" s="2211"/>
      <c r="AU318" s="2211"/>
      <c r="AV318" s="2211"/>
      <c r="AW318" s="2073"/>
      <c r="AX318" s="2042"/>
      <c r="AY318" s="2042"/>
      <c r="AZ318" s="2211"/>
      <c r="BA318" s="2085">
        <f t="shared" si="107"/>
        <v>3284</v>
      </c>
      <c r="BB318" s="2085"/>
      <c r="BC318" s="2085"/>
      <c r="BD318" s="2094">
        <f t="shared" si="99"/>
        <v>3284</v>
      </c>
      <c r="BE318" s="2094">
        <f t="shared" si="100"/>
        <v>0</v>
      </c>
    </row>
    <row r="319" s="1988" customFormat="1" ht="36" customHeight="1" spans="1:57">
      <c r="A319" s="2018">
        <v>46387</v>
      </c>
      <c r="B319" s="2098" t="s">
        <v>1016</v>
      </c>
      <c r="C319" s="1723" t="s">
        <v>91</v>
      </c>
      <c r="D319" s="2114">
        <v>4500188084</v>
      </c>
      <c r="E319" s="2327" t="s">
        <v>1370</v>
      </c>
      <c r="F319" s="2099" t="s">
        <v>1371</v>
      </c>
      <c r="G319" s="1723" t="s">
        <v>94</v>
      </c>
      <c r="H319" s="1989" t="s">
        <v>94</v>
      </c>
      <c r="I319" s="2104" t="s">
        <v>55</v>
      </c>
      <c r="J319" s="2104">
        <v>3144</v>
      </c>
      <c r="K319" s="2037">
        <v>0</v>
      </c>
      <c r="L319" s="2038">
        <v>2</v>
      </c>
      <c r="M319" s="2039">
        <f t="shared" si="94"/>
        <v>1572</v>
      </c>
      <c r="N319" s="2040">
        <v>46062</v>
      </c>
      <c r="O319" s="2040">
        <v>46058</v>
      </c>
      <c r="P319" s="1364" t="s">
        <v>1366</v>
      </c>
      <c r="Q319" s="1363" t="s">
        <v>56</v>
      </c>
      <c r="R319" s="1363" t="s">
        <v>346</v>
      </c>
      <c r="S319" s="1406" t="s">
        <v>1359</v>
      </c>
      <c r="T319" s="1364"/>
      <c r="U319" s="1364" t="s">
        <v>1360</v>
      </c>
      <c r="V319" s="1365" t="s">
        <v>1361</v>
      </c>
      <c r="W319" s="2055" t="s">
        <v>1314</v>
      </c>
      <c r="X319" s="2087" t="s">
        <v>101</v>
      </c>
      <c r="Y319" s="2065">
        <v>1.9952</v>
      </c>
      <c r="Z319" s="2066">
        <f t="shared" si="95"/>
        <v>6272.9088</v>
      </c>
      <c r="AA319" s="2068"/>
      <c r="AB319" s="2107">
        <v>3144</v>
      </c>
      <c r="AC319" s="2068">
        <f t="shared" si="104"/>
        <v>0</v>
      </c>
      <c r="AD319" s="2108" t="s">
        <v>327</v>
      </c>
      <c r="AE319" s="1402" t="s">
        <v>63</v>
      </c>
      <c r="AF319" s="1402" t="s">
        <v>38</v>
      </c>
      <c r="AG319" s="1363"/>
      <c r="AH319" s="2073">
        <f t="shared" si="106"/>
        <v>3144</v>
      </c>
      <c r="AI319" s="2073"/>
      <c r="AJ319" s="2085"/>
      <c r="AK319" s="2042"/>
      <c r="AL319" s="2042">
        <f t="shared" si="105"/>
        <v>3144</v>
      </c>
      <c r="AM319" s="2042"/>
      <c r="AN319" s="2042"/>
      <c r="AO319" s="2042"/>
      <c r="AP319" s="2042"/>
      <c r="AQ319" s="2042"/>
      <c r="AR319" s="2042"/>
      <c r="AS319" s="2211"/>
      <c r="AT319" s="2211"/>
      <c r="AU319" s="2211"/>
      <c r="AV319" s="2211"/>
      <c r="AW319" s="2073"/>
      <c r="AX319" s="2042"/>
      <c r="AY319" s="2042"/>
      <c r="AZ319" s="2211"/>
      <c r="BA319" s="2085">
        <f t="shared" si="107"/>
        <v>3144</v>
      </c>
      <c r="BB319" s="2085"/>
      <c r="BC319" s="2085"/>
      <c r="BD319" s="2094">
        <f t="shared" si="99"/>
        <v>3144</v>
      </c>
      <c r="BE319" s="2094">
        <f t="shared" si="100"/>
        <v>0</v>
      </c>
    </row>
    <row r="320" s="1988" customFormat="1" ht="36" customHeight="1" spans="1:57">
      <c r="A320" s="2018">
        <v>46387</v>
      </c>
      <c r="B320" s="2098" t="s">
        <v>1016</v>
      </c>
      <c r="C320" s="1723" t="s">
        <v>91</v>
      </c>
      <c r="D320" s="2114">
        <v>4500188084</v>
      </c>
      <c r="E320" s="2327" t="s">
        <v>1372</v>
      </c>
      <c r="F320" s="2099" t="s">
        <v>1373</v>
      </c>
      <c r="G320" s="1723" t="s">
        <v>94</v>
      </c>
      <c r="H320" s="1989" t="s">
        <v>94</v>
      </c>
      <c r="I320" s="2104" t="s">
        <v>55</v>
      </c>
      <c r="J320" s="2104">
        <v>4174</v>
      </c>
      <c r="K320" s="2037">
        <v>0</v>
      </c>
      <c r="L320" s="2038">
        <v>2</v>
      </c>
      <c r="M320" s="2039">
        <f t="shared" si="94"/>
        <v>2087</v>
      </c>
      <c r="N320" s="2040">
        <v>46062</v>
      </c>
      <c r="O320" s="2040">
        <v>46058</v>
      </c>
      <c r="P320" s="1364" t="s">
        <v>1366</v>
      </c>
      <c r="Q320" s="1363" t="s">
        <v>56</v>
      </c>
      <c r="R320" s="1363"/>
      <c r="S320" s="1406" t="s">
        <v>1359</v>
      </c>
      <c r="T320" s="1364"/>
      <c r="U320" s="1364" t="s">
        <v>1360</v>
      </c>
      <c r="V320" s="1365" t="s">
        <v>1361</v>
      </c>
      <c r="W320" s="2055" t="s">
        <v>1314</v>
      </c>
      <c r="X320" s="2087" t="s">
        <v>101</v>
      </c>
      <c r="Y320" s="2065">
        <v>2.0648</v>
      </c>
      <c r="Z320" s="2066">
        <f t="shared" si="95"/>
        <v>8618.4752</v>
      </c>
      <c r="AA320" s="2068"/>
      <c r="AB320" s="2107">
        <f>3810+364</f>
        <v>4174</v>
      </c>
      <c r="AC320" s="2068">
        <f t="shared" si="104"/>
        <v>0</v>
      </c>
      <c r="AD320" s="2108" t="s">
        <v>327</v>
      </c>
      <c r="AE320" s="1402" t="s">
        <v>63</v>
      </c>
      <c r="AF320" s="1402" t="s">
        <v>38</v>
      </c>
      <c r="AG320" s="1363"/>
      <c r="AH320" s="2073">
        <f t="shared" si="106"/>
        <v>4174</v>
      </c>
      <c r="AI320" s="2073"/>
      <c r="AJ320" s="2085"/>
      <c r="AK320" s="2042"/>
      <c r="AL320" s="2042">
        <f t="shared" si="105"/>
        <v>4174</v>
      </c>
      <c r="AM320" s="2042"/>
      <c r="AN320" s="2042"/>
      <c r="AO320" s="2042"/>
      <c r="AP320" s="2042"/>
      <c r="AQ320" s="2042"/>
      <c r="AR320" s="2042"/>
      <c r="AS320" s="2211"/>
      <c r="AT320" s="2211"/>
      <c r="AU320" s="2211"/>
      <c r="AV320" s="2211"/>
      <c r="AW320" s="2073"/>
      <c r="AX320" s="2042"/>
      <c r="AY320" s="2042"/>
      <c r="AZ320" s="2211"/>
      <c r="BA320" s="2085">
        <f t="shared" si="107"/>
        <v>4174</v>
      </c>
      <c r="BB320" s="2085"/>
      <c r="BC320" s="2085"/>
      <c r="BD320" s="2094">
        <f t="shared" ref="BD320:BD342" si="108">SUM(AH320:AJ320)</f>
        <v>4174</v>
      </c>
      <c r="BE320" s="2094">
        <f t="shared" ref="BE320:BE342" si="109">BD320-J320</f>
        <v>0</v>
      </c>
    </row>
    <row r="321" s="1988" customFormat="1" ht="36" customHeight="1" spans="1:57">
      <c r="A321" s="2018">
        <v>45964</v>
      </c>
      <c r="B321" s="2098" t="s">
        <v>811</v>
      </c>
      <c r="C321" s="1723" t="s">
        <v>91</v>
      </c>
      <c r="D321" s="2099">
        <v>4500184187</v>
      </c>
      <c r="E321" s="2100">
        <v>70078365</v>
      </c>
      <c r="F321" s="2113" t="s">
        <v>1374</v>
      </c>
      <c r="G321" s="1989" t="s">
        <v>54</v>
      </c>
      <c r="H321" s="1989" t="s">
        <v>54</v>
      </c>
      <c r="I321" s="2104" t="s">
        <v>55</v>
      </c>
      <c r="J321" s="2104">
        <v>600</v>
      </c>
      <c r="K321" s="2037">
        <v>0</v>
      </c>
      <c r="L321" s="2038">
        <v>12</v>
      </c>
      <c r="M321" s="2039">
        <f t="shared" si="94"/>
        <v>50</v>
      </c>
      <c r="N321" s="2040">
        <v>46066</v>
      </c>
      <c r="O321" s="2040">
        <v>46062</v>
      </c>
      <c r="P321" s="1364"/>
      <c r="Q321" s="1363" t="s">
        <v>56</v>
      </c>
      <c r="R321" s="1363"/>
      <c r="S321" s="1406" t="s">
        <v>1129</v>
      </c>
      <c r="T321" s="1364"/>
      <c r="U321" s="1364" t="s">
        <v>1375</v>
      </c>
      <c r="V321" s="1365" t="s">
        <v>235</v>
      </c>
      <c r="W321" s="2055" t="s">
        <v>816</v>
      </c>
      <c r="X321" s="2087" t="s">
        <v>1151</v>
      </c>
      <c r="Y321" s="2065">
        <v>2.2471</v>
      </c>
      <c r="Z321" s="2066">
        <f t="shared" si="95"/>
        <v>1348.26</v>
      </c>
      <c r="AA321" s="2068"/>
      <c r="AB321" s="2107">
        <v>600</v>
      </c>
      <c r="AC321" s="2068">
        <f t="shared" si="104"/>
        <v>0</v>
      </c>
      <c r="AD321" s="2108" t="s">
        <v>81</v>
      </c>
      <c r="AE321" s="1402" t="s">
        <v>63</v>
      </c>
      <c r="AF321" s="1402" t="s">
        <v>38</v>
      </c>
      <c r="AG321" s="1363"/>
      <c r="AH321" s="2073">
        <f t="shared" si="106"/>
        <v>600</v>
      </c>
      <c r="AI321" s="2073"/>
      <c r="AJ321" s="2085"/>
      <c r="AK321" s="2204"/>
      <c r="AL321" s="2042">
        <f t="shared" si="105"/>
        <v>600</v>
      </c>
      <c r="AM321" s="2042"/>
      <c r="AN321" s="2204"/>
      <c r="AO321" s="2204"/>
      <c r="AP321" s="2204"/>
      <c r="AQ321" s="2204"/>
      <c r="AR321" s="2204"/>
      <c r="AS321" s="2210"/>
      <c r="AT321" s="2210"/>
      <c r="AU321" s="2210"/>
      <c r="AV321" s="2210"/>
      <c r="AW321" s="2073">
        <f>J321</f>
        <v>600</v>
      </c>
      <c r="AX321" s="2042"/>
      <c r="AY321" s="2042"/>
      <c r="AZ321" s="2210"/>
      <c r="BA321" s="2085"/>
      <c r="BB321" s="2085"/>
      <c r="BC321" s="2085"/>
      <c r="BD321" s="2094">
        <f t="shared" si="108"/>
        <v>600</v>
      </c>
      <c r="BE321" s="2094">
        <f t="shared" si="109"/>
        <v>0</v>
      </c>
    </row>
    <row r="322" s="1988" customFormat="1" ht="36" customHeight="1" spans="1:57">
      <c r="A322" s="2018">
        <v>45964</v>
      </c>
      <c r="B322" s="2098" t="s">
        <v>230</v>
      </c>
      <c r="C322" s="1723" t="s">
        <v>91</v>
      </c>
      <c r="D322" s="2099">
        <v>4500184178</v>
      </c>
      <c r="E322" s="2100">
        <v>60262593</v>
      </c>
      <c r="F322" s="2227" t="s">
        <v>1376</v>
      </c>
      <c r="G322" s="2217" t="s">
        <v>54</v>
      </c>
      <c r="H322" s="1989" t="s">
        <v>54</v>
      </c>
      <c r="I322" s="2104" t="s">
        <v>55</v>
      </c>
      <c r="J322" s="2104">
        <v>2808</v>
      </c>
      <c r="K322" s="2037">
        <v>0</v>
      </c>
      <c r="L322" s="2038">
        <v>12</v>
      </c>
      <c r="M322" s="2039">
        <f t="shared" si="94"/>
        <v>234</v>
      </c>
      <c r="N322" s="2040">
        <v>46080</v>
      </c>
      <c r="O322" s="2040">
        <v>46076</v>
      </c>
      <c r="P322" s="1364"/>
      <c r="Q322" s="1363" t="s">
        <v>56</v>
      </c>
      <c r="R322" s="1363"/>
      <c r="S322" s="1406" t="s">
        <v>1129</v>
      </c>
      <c r="T322" s="1364"/>
      <c r="U322" s="1364" t="s">
        <v>1377</v>
      </c>
      <c r="V322" s="1365" t="s">
        <v>235</v>
      </c>
      <c r="W322" s="2055" t="s">
        <v>816</v>
      </c>
      <c r="X322" s="2087" t="s">
        <v>1151</v>
      </c>
      <c r="Y322" s="2065">
        <v>1.9819</v>
      </c>
      <c r="Z322" s="2066">
        <f t="shared" si="95"/>
        <v>5565.1752</v>
      </c>
      <c r="AA322" s="2068"/>
      <c r="AB322" s="2107">
        <v>2808</v>
      </c>
      <c r="AC322" s="2068">
        <f t="shared" si="104"/>
        <v>0</v>
      </c>
      <c r="AD322" s="2108" t="s">
        <v>327</v>
      </c>
      <c r="AE322" s="1402" t="s">
        <v>63</v>
      </c>
      <c r="AF322" s="1402" t="s">
        <v>38</v>
      </c>
      <c r="AG322" s="1363"/>
      <c r="AH322" s="2073">
        <f t="shared" si="106"/>
        <v>2808</v>
      </c>
      <c r="AI322" s="2073"/>
      <c r="AJ322" s="2085"/>
      <c r="AK322" s="2206"/>
      <c r="AL322" s="2042">
        <f t="shared" si="105"/>
        <v>2808</v>
      </c>
      <c r="AM322" s="2042"/>
      <c r="AN322" s="2206"/>
      <c r="AO322" s="2206"/>
      <c r="AP322" s="2206"/>
      <c r="AQ322" s="2206"/>
      <c r="AR322" s="2206"/>
      <c r="AS322" s="2213"/>
      <c r="AT322" s="2213"/>
      <c r="AU322" s="2213"/>
      <c r="AV322" s="2213"/>
      <c r="AW322" s="2073">
        <f>J322</f>
        <v>2808</v>
      </c>
      <c r="AX322" s="2042"/>
      <c r="AY322" s="2042"/>
      <c r="AZ322" s="2213"/>
      <c r="BA322" s="2085"/>
      <c r="BB322" s="2085"/>
      <c r="BC322" s="2085"/>
      <c r="BD322" s="2094">
        <f t="shared" si="108"/>
        <v>2808</v>
      </c>
      <c r="BE322" s="2094">
        <f t="shared" si="109"/>
        <v>0</v>
      </c>
    </row>
    <row r="323" s="1988" customFormat="1" ht="36" customHeight="1" spans="1:57">
      <c r="A323" s="2018">
        <v>45964</v>
      </c>
      <c r="B323" s="2098" t="s">
        <v>230</v>
      </c>
      <c r="C323" s="1723" t="s">
        <v>91</v>
      </c>
      <c r="D323" s="2099">
        <v>4500184178</v>
      </c>
      <c r="E323" s="2100">
        <v>60262600</v>
      </c>
      <c r="F323" s="2227" t="s">
        <v>1378</v>
      </c>
      <c r="G323" s="2217" t="s">
        <v>54</v>
      </c>
      <c r="H323" s="1989" t="s">
        <v>54</v>
      </c>
      <c r="I323" s="2104" t="s">
        <v>55</v>
      </c>
      <c r="J323" s="2104">
        <v>3408</v>
      </c>
      <c r="K323" s="2037">
        <v>0</v>
      </c>
      <c r="L323" s="2038">
        <v>12</v>
      </c>
      <c r="M323" s="2039">
        <f t="shared" si="94"/>
        <v>284</v>
      </c>
      <c r="N323" s="2040">
        <v>46080</v>
      </c>
      <c r="O323" s="2040">
        <v>46076</v>
      </c>
      <c r="P323" s="1364"/>
      <c r="Q323" s="1363" t="s">
        <v>56</v>
      </c>
      <c r="R323" s="1363"/>
      <c r="S323" s="1406" t="s">
        <v>1129</v>
      </c>
      <c r="T323" s="1364"/>
      <c r="U323" s="1364" t="s">
        <v>1377</v>
      </c>
      <c r="V323" s="1365" t="s">
        <v>235</v>
      </c>
      <c r="W323" s="2055" t="s">
        <v>816</v>
      </c>
      <c r="X323" s="2087" t="s">
        <v>1151</v>
      </c>
      <c r="Y323" s="2065">
        <v>1.9162</v>
      </c>
      <c r="Z323" s="2066">
        <f t="shared" si="95"/>
        <v>6530.4096</v>
      </c>
      <c r="AA323" s="2068"/>
      <c r="AB323" s="2107">
        <f>216+3192</f>
        <v>3408</v>
      </c>
      <c r="AC323" s="2068">
        <f t="shared" si="104"/>
        <v>0</v>
      </c>
      <c r="AD323" s="2108" t="s">
        <v>327</v>
      </c>
      <c r="AE323" s="1402" t="s">
        <v>63</v>
      </c>
      <c r="AF323" s="1402" t="s">
        <v>38</v>
      </c>
      <c r="AG323" s="1363"/>
      <c r="AH323" s="2073">
        <f t="shared" si="106"/>
        <v>3408</v>
      </c>
      <c r="AI323" s="2073"/>
      <c r="AJ323" s="2085"/>
      <c r="AK323" s="2206"/>
      <c r="AL323" s="2042">
        <f t="shared" si="105"/>
        <v>3408</v>
      </c>
      <c r="AM323" s="2042"/>
      <c r="AN323" s="2206"/>
      <c r="AO323" s="2206"/>
      <c r="AP323" s="2206"/>
      <c r="AQ323" s="2206"/>
      <c r="AR323" s="2206"/>
      <c r="AS323" s="2213"/>
      <c r="AT323" s="2213"/>
      <c r="AU323" s="2213"/>
      <c r="AV323" s="2213"/>
      <c r="AW323" s="2073">
        <f>J323</f>
        <v>3408</v>
      </c>
      <c r="AX323" s="2042"/>
      <c r="AY323" s="2042"/>
      <c r="AZ323" s="2213"/>
      <c r="BA323" s="2085"/>
      <c r="BB323" s="2085"/>
      <c r="BC323" s="2085"/>
      <c r="BD323" s="2094">
        <f t="shared" si="108"/>
        <v>3408</v>
      </c>
      <c r="BE323" s="2094">
        <f t="shared" si="109"/>
        <v>0</v>
      </c>
    </row>
    <row r="324" s="1988" customFormat="1" ht="36" customHeight="1" spans="1:57">
      <c r="A324" s="2018">
        <v>45964</v>
      </c>
      <c r="B324" s="2098" t="s">
        <v>230</v>
      </c>
      <c r="C324" s="1723" t="s">
        <v>91</v>
      </c>
      <c r="D324" s="2099">
        <v>4500184178</v>
      </c>
      <c r="E324" s="2100">
        <v>60262604</v>
      </c>
      <c r="F324" s="2227" t="s">
        <v>1379</v>
      </c>
      <c r="G324" s="2217" t="s">
        <v>54</v>
      </c>
      <c r="H324" s="1989" t="s">
        <v>54</v>
      </c>
      <c r="I324" s="2104" t="s">
        <v>55</v>
      </c>
      <c r="J324" s="2104">
        <v>2808</v>
      </c>
      <c r="K324" s="2037">
        <v>0</v>
      </c>
      <c r="L324" s="2038">
        <v>12</v>
      </c>
      <c r="M324" s="2039">
        <f t="shared" si="94"/>
        <v>234</v>
      </c>
      <c r="N324" s="2040">
        <v>46080</v>
      </c>
      <c r="O324" s="2040">
        <v>46076</v>
      </c>
      <c r="P324" s="1364"/>
      <c r="Q324" s="1363" t="s">
        <v>56</v>
      </c>
      <c r="R324" s="1363"/>
      <c r="S324" s="1406" t="s">
        <v>1129</v>
      </c>
      <c r="T324" s="1364"/>
      <c r="U324" s="1364" t="s">
        <v>1377</v>
      </c>
      <c r="V324" s="1365" t="s">
        <v>235</v>
      </c>
      <c r="W324" s="2055" t="s">
        <v>816</v>
      </c>
      <c r="X324" s="2087" t="s">
        <v>1151</v>
      </c>
      <c r="Y324" s="2065">
        <v>1.9819</v>
      </c>
      <c r="Z324" s="2066">
        <f t="shared" si="95"/>
        <v>5565.1752</v>
      </c>
      <c r="AA324" s="2068"/>
      <c r="AB324" s="2107">
        <f>576+2232</f>
        <v>2808</v>
      </c>
      <c r="AC324" s="2068">
        <f t="shared" si="104"/>
        <v>0</v>
      </c>
      <c r="AD324" s="2108" t="s">
        <v>327</v>
      </c>
      <c r="AE324" s="1402" t="s">
        <v>63</v>
      </c>
      <c r="AF324" s="1402" t="s">
        <v>38</v>
      </c>
      <c r="AG324" s="1363"/>
      <c r="AH324" s="2073">
        <f t="shared" si="106"/>
        <v>2808</v>
      </c>
      <c r="AI324" s="2073"/>
      <c r="AJ324" s="2085"/>
      <c r="AK324" s="2206"/>
      <c r="AL324" s="2042">
        <f t="shared" si="105"/>
        <v>2808</v>
      </c>
      <c r="AM324" s="2042"/>
      <c r="AN324" s="2206"/>
      <c r="AO324" s="2206"/>
      <c r="AP324" s="2206"/>
      <c r="AQ324" s="2206"/>
      <c r="AR324" s="2206"/>
      <c r="AS324" s="2213"/>
      <c r="AT324" s="2213"/>
      <c r="AU324" s="2213"/>
      <c r="AV324" s="2213"/>
      <c r="AW324" s="2073">
        <f>J324</f>
        <v>2808</v>
      </c>
      <c r="AX324" s="2042"/>
      <c r="AY324" s="2042"/>
      <c r="AZ324" s="2213"/>
      <c r="BA324" s="2085"/>
      <c r="BB324" s="2085"/>
      <c r="BC324" s="2085"/>
      <c r="BD324" s="2094">
        <f t="shared" si="108"/>
        <v>2808</v>
      </c>
      <c r="BE324" s="2094">
        <f t="shared" si="109"/>
        <v>0</v>
      </c>
    </row>
    <row r="325" s="1988" customFormat="1" ht="36" customHeight="1" spans="1:57">
      <c r="A325" s="2018">
        <v>45964</v>
      </c>
      <c r="B325" s="2098" t="s">
        <v>230</v>
      </c>
      <c r="C325" s="1723" t="s">
        <v>91</v>
      </c>
      <c r="D325" s="2099">
        <v>4500184178</v>
      </c>
      <c r="E325" s="2100">
        <v>60262606</v>
      </c>
      <c r="F325" s="2227" t="s">
        <v>1380</v>
      </c>
      <c r="G325" s="2217" t="s">
        <v>54</v>
      </c>
      <c r="H325" s="1989" t="s">
        <v>54</v>
      </c>
      <c r="I325" s="2104" t="s">
        <v>55</v>
      </c>
      <c r="J325" s="2104">
        <v>2400</v>
      </c>
      <c r="K325" s="2037">
        <v>0</v>
      </c>
      <c r="L325" s="2038">
        <v>12</v>
      </c>
      <c r="M325" s="2039">
        <f t="shared" si="94"/>
        <v>200</v>
      </c>
      <c r="N325" s="2040">
        <v>46080</v>
      </c>
      <c r="O325" s="2040">
        <v>46076</v>
      </c>
      <c r="P325" s="1364"/>
      <c r="Q325" s="1363" t="s">
        <v>56</v>
      </c>
      <c r="R325" s="1363"/>
      <c r="S325" s="1406" t="s">
        <v>1129</v>
      </c>
      <c r="T325" s="1364"/>
      <c r="U325" s="1364" t="s">
        <v>1377</v>
      </c>
      <c r="V325" s="1365" t="s">
        <v>235</v>
      </c>
      <c r="W325" s="2055" t="s">
        <v>816</v>
      </c>
      <c r="X325" s="2087" t="s">
        <v>1151</v>
      </c>
      <c r="Y325" s="2065">
        <v>1.9819</v>
      </c>
      <c r="Z325" s="2066">
        <f t="shared" si="95"/>
        <v>4756.56</v>
      </c>
      <c r="AA325" s="2068"/>
      <c r="AB325" s="2107">
        <v>2400</v>
      </c>
      <c r="AC325" s="2068">
        <f t="shared" si="104"/>
        <v>0</v>
      </c>
      <c r="AD325" s="2108" t="s">
        <v>327</v>
      </c>
      <c r="AE325" s="1402" t="s">
        <v>63</v>
      </c>
      <c r="AF325" s="1402" t="s">
        <v>38</v>
      </c>
      <c r="AG325" s="1363"/>
      <c r="AH325" s="2073">
        <f t="shared" si="106"/>
        <v>2400</v>
      </c>
      <c r="AI325" s="2073"/>
      <c r="AJ325" s="2085"/>
      <c r="AK325" s="2206"/>
      <c r="AL325" s="2042">
        <f t="shared" si="105"/>
        <v>2400</v>
      </c>
      <c r="AM325" s="2042"/>
      <c r="AN325" s="2206"/>
      <c r="AO325" s="2206"/>
      <c r="AP325" s="2206"/>
      <c r="AQ325" s="2206"/>
      <c r="AR325" s="2206"/>
      <c r="AS325" s="2213"/>
      <c r="AT325" s="2213"/>
      <c r="AU325" s="2213"/>
      <c r="AV325" s="2213"/>
      <c r="AW325" s="2073">
        <f>J325</f>
        <v>2400</v>
      </c>
      <c r="AX325" s="2042"/>
      <c r="AY325" s="2042"/>
      <c r="AZ325" s="2213"/>
      <c r="BA325" s="2085"/>
      <c r="BB325" s="2085"/>
      <c r="BC325" s="2085"/>
      <c r="BD325" s="2094">
        <f t="shared" si="108"/>
        <v>2400</v>
      </c>
      <c r="BE325" s="2094">
        <f t="shared" si="109"/>
        <v>0</v>
      </c>
    </row>
    <row r="326" s="1988" customFormat="1" ht="36" customHeight="1" spans="1:16384">
      <c r="A326" s="2018">
        <v>46387</v>
      </c>
      <c r="B326" s="2098" t="s">
        <v>1016</v>
      </c>
      <c r="C326" s="1723" t="s">
        <v>91</v>
      </c>
      <c r="D326" s="2114">
        <v>4500188085</v>
      </c>
      <c r="E326" s="2327" t="s">
        <v>1381</v>
      </c>
      <c r="F326" s="2099" t="s">
        <v>1382</v>
      </c>
      <c r="G326" s="1723" t="s">
        <v>94</v>
      </c>
      <c r="H326" s="1989" t="s">
        <v>94</v>
      </c>
      <c r="I326" s="2104" t="s">
        <v>55</v>
      </c>
      <c r="J326" s="2104">
        <v>5360</v>
      </c>
      <c r="K326" s="2037">
        <v>0</v>
      </c>
      <c r="L326" s="2038">
        <v>2</v>
      </c>
      <c r="M326" s="2039">
        <f t="shared" si="94"/>
        <v>2680</v>
      </c>
      <c r="N326" s="2040">
        <v>46080</v>
      </c>
      <c r="O326" s="2040">
        <v>46076</v>
      </c>
      <c r="P326" s="1364" t="s">
        <v>402</v>
      </c>
      <c r="Q326" s="1363" t="s">
        <v>56</v>
      </c>
      <c r="R326" s="1363"/>
      <c r="S326" s="1406" t="s">
        <v>1359</v>
      </c>
      <c r="T326" s="1364"/>
      <c r="U326" s="1364" t="s">
        <v>1360</v>
      </c>
      <c r="V326" s="1365" t="s">
        <v>1361</v>
      </c>
      <c r="W326" s="2055" t="s">
        <v>1314</v>
      </c>
      <c r="X326" s="2087" t="s">
        <v>101</v>
      </c>
      <c r="Y326" s="2065">
        <v>2.0161</v>
      </c>
      <c r="Z326" s="2066">
        <f t="shared" si="95"/>
        <v>10806.296</v>
      </c>
      <c r="AA326" s="2068"/>
      <c r="AB326" s="2107">
        <v>5360</v>
      </c>
      <c r="AC326" s="2068">
        <f t="shared" si="104"/>
        <v>0</v>
      </c>
      <c r="AD326" s="2108" t="s">
        <v>327</v>
      </c>
      <c r="AE326" s="1402" t="s">
        <v>63</v>
      </c>
      <c r="AF326" s="1402" t="s">
        <v>38</v>
      </c>
      <c r="AG326" s="1363"/>
      <c r="AH326" s="2073">
        <f t="shared" si="106"/>
        <v>5360</v>
      </c>
      <c r="AI326" s="2073"/>
      <c r="AJ326" s="2085"/>
      <c r="AK326" s="2042"/>
      <c r="AL326" s="2042">
        <f t="shared" si="105"/>
        <v>5360</v>
      </c>
      <c r="AM326" s="2073"/>
      <c r="AN326" s="2042"/>
      <c r="AO326" s="2042"/>
      <c r="AP326" s="2085"/>
      <c r="AQ326" s="2085"/>
      <c r="AR326" s="2085"/>
      <c r="AS326" s="2094"/>
      <c r="AT326" s="2094"/>
      <c r="BA326" s="1988">
        <f>J326</f>
        <v>5360</v>
      </c>
      <c r="BD326" s="1988">
        <f t="shared" si="108"/>
        <v>5360</v>
      </c>
      <c r="BE326" s="1988">
        <f t="shared" si="109"/>
        <v>0</v>
      </c>
      <c r="XET326" s="2018"/>
      <c r="XEU326" s="2098"/>
      <c r="XEV326" s="1723"/>
      <c r="XEW326" s="2099"/>
      <c r="XEX326" s="2100"/>
      <c r="XEY326" s="2099"/>
      <c r="XEZ326" s="1723"/>
      <c r="XFA326" s="1989"/>
      <c r="XFB326" s="2104"/>
      <c r="XFC326" s="2104"/>
      <c r="XFD326" s="2037"/>
    </row>
    <row r="327" s="1988" customFormat="1" ht="36" customHeight="1" spans="1:57">
      <c r="A327" s="2018">
        <v>46028</v>
      </c>
      <c r="B327" s="2098" t="s">
        <v>1016</v>
      </c>
      <c r="C327" s="1723" t="s">
        <v>91</v>
      </c>
      <c r="D327" s="2114">
        <v>4500190749</v>
      </c>
      <c r="E327" s="2327" t="s">
        <v>1383</v>
      </c>
      <c r="F327" s="2099" t="s">
        <v>1384</v>
      </c>
      <c r="G327" s="1723" t="s">
        <v>94</v>
      </c>
      <c r="H327" s="1989" t="s">
        <v>94</v>
      </c>
      <c r="I327" s="2036" t="s">
        <v>55</v>
      </c>
      <c r="J327" s="2246">
        <v>2194</v>
      </c>
      <c r="K327" s="2037">
        <v>0</v>
      </c>
      <c r="L327" s="2038">
        <v>2</v>
      </c>
      <c r="M327" s="2039">
        <f t="shared" si="94"/>
        <v>1097</v>
      </c>
      <c r="N327" s="2040">
        <v>46086</v>
      </c>
      <c r="O327" s="2040">
        <v>46083</v>
      </c>
      <c r="P327" s="1364" t="s">
        <v>1385</v>
      </c>
      <c r="Q327" s="1363" t="s">
        <v>56</v>
      </c>
      <c r="R327" s="1363"/>
      <c r="S327" s="1406" t="s">
        <v>1359</v>
      </c>
      <c r="T327" s="1364"/>
      <c r="U327" s="1364" t="s">
        <v>1360</v>
      </c>
      <c r="V327" s="1365" t="s">
        <v>1361</v>
      </c>
      <c r="W327" s="2055" t="s">
        <v>1386</v>
      </c>
      <c r="X327" s="2087" t="s">
        <v>101</v>
      </c>
      <c r="Y327" s="2065">
        <v>2.1305</v>
      </c>
      <c r="Z327" s="2066">
        <f t="shared" si="95"/>
        <v>4674.317</v>
      </c>
      <c r="AA327" s="2068"/>
      <c r="AB327" s="2107">
        <f>2130</f>
        <v>2130</v>
      </c>
      <c r="AC327" s="2068">
        <f t="shared" si="104"/>
        <v>-64</v>
      </c>
      <c r="AD327" s="2108" t="s">
        <v>327</v>
      </c>
      <c r="AE327" s="1402" t="s">
        <v>63</v>
      </c>
      <c r="AF327" s="1402" t="s">
        <v>38</v>
      </c>
      <c r="AG327" s="1363"/>
      <c r="AH327" s="2073">
        <f t="shared" si="106"/>
        <v>2194</v>
      </c>
      <c r="AI327" s="2073"/>
      <c r="AJ327" s="2085"/>
      <c r="AK327" s="2042"/>
      <c r="AL327" s="2042">
        <f t="shared" si="105"/>
        <v>2194</v>
      </c>
      <c r="AM327" s="2042"/>
      <c r="AN327" s="2042"/>
      <c r="AO327" s="2042"/>
      <c r="AP327" s="2042"/>
      <c r="AQ327" s="2042"/>
      <c r="AR327" s="2042"/>
      <c r="AS327" s="2211"/>
      <c r="AT327" s="2211"/>
      <c r="AU327" s="2211"/>
      <c r="AV327" s="2211"/>
      <c r="AW327" s="2073"/>
      <c r="AX327" s="2042"/>
      <c r="AY327" s="2042"/>
      <c r="AZ327" s="2211"/>
      <c r="BA327" s="2085">
        <f>J327</f>
        <v>2194</v>
      </c>
      <c r="BB327" s="2085"/>
      <c r="BC327" s="2085"/>
      <c r="BD327" s="2094">
        <f t="shared" si="108"/>
        <v>2194</v>
      </c>
      <c r="BE327" s="2094">
        <f t="shared" si="109"/>
        <v>0</v>
      </c>
    </row>
    <row r="328" s="1988" customFormat="1" ht="36" customHeight="1" spans="1:57">
      <c r="A328" s="2018">
        <v>46028</v>
      </c>
      <c r="B328" s="2098" t="s">
        <v>1016</v>
      </c>
      <c r="C328" s="1723" t="s">
        <v>91</v>
      </c>
      <c r="D328" s="2114">
        <v>4500190751</v>
      </c>
      <c r="E328" s="2327" t="s">
        <v>1387</v>
      </c>
      <c r="F328" s="2099" t="s">
        <v>1388</v>
      </c>
      <c r="G328" s="1723" t="s">
        <v>94</v>
      </c>
      <c r="H328" s="1989" t="s">
        <v>94</v>
      </c>
      <c r="I328" s="2036" t="s">
        <v>55</v>
      </c>
      <c r="J328" s="2246">
        <v>3918</v>
      </c>
      <c r="K328" s="2037">
        <v>0</v>
      </c>
      <c r="L328" s="2038">
        <v>2</v>
      </c>
      <c r="M328" s="2039">
        <f t="shared" si="94"/>
        <v>1959</v>
      </c>
      <c r="N328" s="2040">
        <v>46091</v>
      </c>
      <c r="O328" s="2040">
        <v>46087</v>
      </c>
      <c r="P328" s="1364" t="s">
        <v>1389</v>
      </c>
      <c r="Q328" s="1363" t="s">
        <v>56</v>
      </c>
      <c r="R328" s="1363"/>
      <c r="S328" s="1406" t="s">
        <v>1359</v>
      </c>
      <c r="T328" s="1364"/>
      <c r="U328" s="1364" t="s">
        <v>1360</v>
      </c>
      <c r="V328" s="1365" t="s">
        <v>1361</v>
      </c>
      <c r="W328" s="2055" t="s">
        <v>1386</v>
      </c>
      <c r="X328" s="2087" t="s">
        <v>101</v>
      </c>
      <c r="Y328" s="2065">
        <v>1.9952</v>
      </c>
      <c r="Z328" s="2066">
        <f t="shared" si="95"/>
        <v>7817.1936</v>
      </c>
      <c r="AA328" s="2068"/>
      <c r="AB328" s="2107">
        <f>1200+2718</f>
        <v>3918</v>
      </c>
      <c r="AC328" s="2068">
        <f t="shared" ref="AC328:AC339" si="110">AB328-J328</f>
        <v>0</v>
      </c>
      <c r="AD328" s="2108" t="s">
        <v>327</v>
      </c>
      <c r="AE328" s="1402" t="s">
        <v>63</v>
      </c>
      <c r="AF328" s="1402" t="s">
        <v>38</v>
      </c>
      <c r="AG328" s="1363"/>
      <c r="AH328" s="2073">
        <f t="shared" ref="AH328:AH333" si="111">J328</f>
        <v>3918</v>
      </c>
      <c r="AI328" s="2073"/>
      <c r="AJ328" s="2085"/>
      <c r="AK328" s="2042"/>
      <c r="AL328" s="2042">
        <f t="shared" ref="AL328:AL337" si="112">J328</f>
        <v>3918</v>
      </c>
      <c r="AM328" s="2042"/>
      <c r="AN328" s="2042"/>
      <c r="AO328" s="2042"/>
      <c r="AP328" s="2042"/>
      <c r="AQ328" s="2042"/>
      <c r="AR328" s="2042"/>
      <c r="AS328" s="2211"/>
      <c r="AT328" s="2211"/>
      <c r="AU328" s="2211"/>
      <c r="AV328" s="2211"/>
      <c r="AW328" s="2073"/>
      <c r="AX328" s="2042"/>
      <c r="AY328" s="2042"/>
      <c r="AZ328" s="2211"/>
      <c r="BA328" s="2085">
        <f t="shared" ref="BA328:BA333" si="113">J328</f>
        <v>3918</v>
      </c>
      <c r="BB328" s="2085"/>
      <c r="BC328" s="2085"/>
      <c r="BD328" s="2094">
        <f t="shared" ref="BD328:BD334" si="114">SUM(AH328:AJ328)</f>
        <v>3918</v>
      </c>
      <c r="BE328" s="2094">
        <f t="shared" ref="BE328:BE334" si="115">BD328-J328</f>
        <v>0</v>
      </c>
    </row>
    <row r="329" s="1988" customFormat="1" ht="36" customHeight="1" spans="1:57">
      <c r="A329" s="2018">
        <v>46028</v>
      </c>
      <c r="B329" s="2098" t="s">
        <v>1016</v>
      </c>
      <c r="C329" s="1723" t="s">
        <v>91</v>
      </c>
      <c r="D329" s="2114">
        <v>4500190751</v>
      </c>
      <c r="E329" s="2327" t="s">
        <v>1390</v>
      </c>
      <c r="F329" s="2099" t="s">
        <v>1391</v>
      </c>
      <c r="G329" s="1723" t="s">
        <v>94</v>
      </c>
      <c r="H329" s="1989" t="s">
        <v>94</v>
      </c>
      <c r="I329" s="2036" t="s">
        <v>55</v>
      </c>
      <c r="J329" s="2246">
        <v>868</v>
      </c>
      <c r="K329" s="2037">
        <v>0</v>
      </c>
      <c r="L329" s="2038">
        <v>2</v>
      </c>
      <c r="M329" s="2039">
        <f t="shared" si="94"/>
        <v>434</v>
      </c>
      <c r="N329" s="2040">
        <v>46091</v>
      </c>
      <c r="O329" s="2040">
        <v>46087</v>
      </c>
      <c r="P329" s="1364" t="s">
        <v>1389</v>
      </c>
      <c r="Q329" s="1363" t="s">
        <v>56</v>
      </c>
      <c r="R329" s="1363"/>
      <c r="S329" s="1406" t="s">
        <v>1359</v>
      </c>
      <c r="T329" s="1364"/>
      <c r="U329" s="1364" t="s">
        <v>1360</v>
      </c>
      <c r="V329" s="1365" t="s">
        <v>1361</v>
      </c>
      <c r="W329" s="2055" t="s">
        <v>1386</v>
      </c>
      <c r="X329" s="2087" t="s">
        <v>101</v>
      </c>
      <c r="Y329" s="2065">
        <v>2.3261</v>
      </c>
      <c r="Z329" s="2066">
        <f t="shared" si="95"/>
        <v>2019.0548</v>
      </c>
      <c r="AA329" s="2068"/>
      <c r="AB329" s="2107">
        <v>868</v>
      </c>
      <c r="AC329" s="2068">
        <f t="shared" si="110"/>
        <v>0</v>
      </c>
      <c r="AD329" s="2108" t="s">
        <v>327</v>
      </c>
      <c r="AE329" s="1402" t="s">
        <v>63</v>
      </c>
      <c r="AF329" s="1402" t="s">
        <v>38</v>
      </c>
      <c r="AG329" s="1363"/>
      <c r="AH329" s="2073">
        <f t="shared" si="111"/>
        <v>868</v>
      </c>
      <c r="AI329" s="2073"/>
      <c r="AJ329" s="2085"/>
      <c r="AK329" s="2042"/>
      <c r="AL329" s="2042">
        <f t="shared" si="112"/>
        <v>868</v>
      </c>
      <c r="AM329" s="2042"/>
      <c r="AN329" s="2042"/>
      <c r="AO329" s="2042"/>
      <c r="AP329" s="2042"/>
      <c r="AQ329" s="2042"/>
      <c r="AR329" s="2042"/>
      <c r="AS329" s="2211"/>
      <c r="AT329" s="2211"/>
      <c r="AU329" s="2211"/>
      <c r="AV329" s="2211"/>
      <c r="AW329" s="2073"/>
      <c r="AX329" s="2042"/>
      <c r="AY329" s="2042"/>
      <c r="AZ329" s="2211"/>
      <c r="BA329" s="2085">
        <f t="shared" si="113"/>
        <v>868</v>
      </c>
      <c r="BB329" s="2085"/>
      <c r="BC329" s="2085"/>
      <c r="BD329" s="2094">
        <f t="shared" si="114"/>
        <v>868</v>
      </c>
      <c r="BE329" s="2094">
        <f t="shared" si="115"/>
        <v>0</v>
      </c>
    </row>
    <row r="330" s="1988" customFormat="1" ht="36" customHeight="1" spans="1:57">
      <c r="A330" s="2018">
        <v>46028</v>
      </c>
      <c r="B330" s="2098" t="s">
        <v>1016</v>
      </c>
      <c r="C330" s="1723" t="s">
        <v>91</v>
      </c>
      <c r="D330" s="2114">
        <v>4500190751</v>
      </c>
      <c r="E330" s="2327" t="s">
        <v>1392</v>
      </c>
      <c r="F330" s="2099" t="s">
        <v>1393</v>
      </c>
      <c r="G330" s="1723" t="s">
        <v>94</v>
      </c>
      <c r="H330" s="1989" t="s">
        <v>94</v>
      </c>
      <c r="I330" s="2036" t="s">
        <v>55</v>
      </c>
      <c r="J330" s="2246">
        <v>656</v>
      </c>
      <c r="K330" s="2037">
        <v>0</v>
      </c>
      <c r="L330" s="2038">
        <v>2</v>
      </c>
      <c r="M330" s="2039">
        <f t="shared" si="94"/>
        <v>328</v>
      </c>
      <c r="N330" s="2040">
        <v>46091</v>
      </c>
      <c r="O330" s="2040">
        <v>46087</v>
      </c>
      <c r="P330" s="1364" t="s">
        <v>1389</v>
      </c>
      <c r="Q330" s="1363" t="s">
        <v>56</v>
      </c>
      <c r="R330" s="1363"/>
      <c r="S330" s="1406" t="s">
        <v>1359</v>
      </c>
      <c r="T330" s="1364"/>
      <c r="U330" s="1364" t="s">
        <v>1360</v>
      </c>
      <c r="V330" s="1365" t="s">
        <v>1361</v>
      </c>
      <c r="W330" s="2055" t="s">
        <v>1386</v>
      </c>
      <c r="X330" s="2087" t="s">
        <v>101</v>
      </c>
      <c r="Y330" s="2065">
        <v>2.3957</v>
      </c>
      <c r="Z330" s="2066">
        <f t="shared" si="95"/>
        <v>1571.5792</v>
      </c>
      <c r="AA330" s="2068"/>
      <c r="AB330" s="2107">
        <v>656</v>
      </c>
      <c r="AC330" s="2068">
        <f t="shared" si="110"/>
        <v>0</v>
      </c>
      <c r="AD330" s="2108" t="s">
        <v>327</v>
      </c>
      <c r="AE330" s="1402" t="s">
        <v>63</v>
      </c>
      <c r="AF330" s="1402" t="s">
        <v>38</v>
      </c>
      <c r="AG330" s="1363"/>
      <c r="AH330" s="2073">
        <f t="shared" si="111"/>
        <v>656</v>
      </c>
      <c r="AI330" s="2073"/>
      <c r="AJ330" s="2085"/>
      <c r="AK330" s="2042"/>
      <c r="AL330" s="2042">
        <f t="shared" si="112"/>
        <v>656</v>
      </c>
      <c r="AM330" s="2042"/>
      <c r="AN330" s="2042"/>
      <c r="AO330" s="2042"/>
      <c r="AP330" s="2042"/>
      <c r="AQ330" s="2042"/>
      <c r="AR330" s="2042"/>
      <c r="AS330" s="2211"/>
      <c r="AT330" s="2211"/>
      <c r="AU330" s="2211"/>
      <c r="AV330" s="2211"/>
      <c r="AW330" s="2073"/>
      <c r="AX330" s="2042"/>
      <c r="AY330" s="2042"/>
      <c r="AZ330" s="2211"/>
      <c r="BA330" s="2085">
        <f t="shared" si="113"/>
        <v>656</v>
      </c>
      <c r="BB330" s="2085"/>
      <c r="BC330" s="2085"/>
      <c r="BD330" s="2094">
        <f t="shared" si="114"/>
        <v>656</v>
      </c>
      <c r="BE330" s="2094">
        <f t="shared" si="115"/>
        <v>0</v>
      </c>
    </row>
    <row r="331" s="1988" customFormat="1" ht="36" customHeight="1" spans="1:57">
      <c r="A331" s="2018">
        <v>46028</v>
      </c>
      <c r="B331" s="2098" t="s">
        <v>1016</v>
      </c>
      <c r="C331" s="1723" t="s">
        <v>91</v>
      </c>
      <c r="D331" s="2114">
        <v>4500190754</v>
      </c>
      <c r="E331" s="2327" t="s">
        <v>1394</v>
      </c>
      <c r="F331" s="2099" t="s">
        <v>1395</v>
      </c>
      <c r="G331" s="1723" t="s">
        <v>94</v>
      </c>
      <c r="H331" s="1989" t="s">
        <v>94</v>
      </c>
      <c r="I331" s="2036" t="s">
        <v>55</v>
      </c>
      <c r="J331" s="2246">
        <v>628</v>
      </c>
      <c r="K331" s="2037">
        <v>0</v>
      </c>
      <c r="L331" s="2038">
        <v>2</v>
      </c>
      <c r="M331" s="2039">
        <f t="shared" si="94"/>
        <v>314</v>
      </c>
      <c r="N331" s="2040">
        <v>46097</v>
      </c>
      <c r="O331" s="2040">
        <v>46093</v>
      </c>
      <c r="P331" s="1364" t="s">
        <v>1396</v>
      </c>
      <c r="Q331" s="1363" t="s">
        <v>56</v>
      </c>
      <c r="R331" s="1363"/>
      <c r="S331" s="1406" t="s">
        <v>1359</v>
      </c>
      <c r="T331" s="1364"/>
      <c r="U331" s="1364" t="s">
        <v>1360</v>
      </c>
      <c r="V331" s="1365" t="s">
        <v>1361</v>
      </c>
      <c r="W331" s="2055" t="s">
        <v>1386</v>
      </c>
      <c r="X331" s="2087" t="s">
        <v>101</v>
      </c>
      <c r="Y331" s="2065">
        <v>2.3261</v>
      </c>
      <c r="Z331" s="2066">
        <f t="shared" si="95"/>
        <v>1460.7908</v>
      </c>
      <c r="AA331" s="2068"/>
      <c r="AB331" s="2107">
        <v>628</v>
      </c>
      <c r="AC331" s="2068">
        <f t="shared" si="110"/>
        <v>0</v>
      </c>
      <c r="AD331" s="2108" t="s">
        <v>327</v>
      </c>
      <c r="AE331" s="1402" t="s">
        <v>63</v>
      </c>
      <c r="AF331" s="1402" t="s">
        <v>38</v>
      </c>
      <c r="AG331" s="1363"/>
      <c r="AH331" s="2073">
        <f t="shared" si="111"/>
        <v>628</v>
      </c>
      <c r="AI331" s="2073"/>
      <c r="AJ331" s="2085"/>
      <c r="AK331" s="2042"/>
      <c r="AL331" s="2042">
        <f t="shared" si="112"/>
        <v>628</v>
      </c>
      <c r="AM331" s="2042"/>
      <c r="AN331" s="2042"/>
      <c r="AO331" s="2042"/>
      <c r="AP331" s="2042"/>
      <c r="AQ331" s="2042"/>
      <c r="AR331" s="2042"/>
      <c r="AS331" s="2211"/>
      <c r="AT331" s="2211"/>
      <c r="AU331" s="2211"/>
      <c r="AV331" s="2211"/>
      <c r="AW331" s="2073"/>
      <c r="AX331" s="2042"/>
      <c r="AY331" s="2042"/>
      <c r="AZ331" s="2211"/>
      <c r="BA331" s="2085">
        <f t="shared" si="113"/>
        <v>628</v>
      </c>
      <c r="BB331" s="2085"/>
      <c r="BC331" s="2085"/>
      <c r="BD331" s="2094">
        <f t="shared" si="114"/>
        <v>628</v>
      </c>
      <c r="BE331" s="2094">
        <f t="shared" si="115"/>
        <v>0</v>
      </c>
    </row>
    <row r="332" s="1988" customFormat="1" ht="36" customHeight="1" spans="1:57">
      <c r="A332" s="2018">
        <v>46028</v>
      </c>
      <c r="B332" s="2098" t="s">
        <v>1016</v>
      </c>
      <c r="C332" s="1723" t="s">
        <v>91</v>
      </c>
      <c r="D332" s="2114">
        <v>4500190754</v>
      </c>
      <c r="E332" s="2327" t="s">
        <v>1397</v>
      </c>
      <c r="F332" s="2099" t="s">
        <v>1398</v>
      </c>
      <c r="G332" s="1723" t="s">
        <v>94</v>
      </c>
      <c r="H332" s="1989" t="s">
        <v>94</v>
      </c>
      <c r="I332" s="2036" t="s">
        <v>55</v>
      </c>
      <c r="J332" s="2246">
        <v>1072</v>
      </c>
      <c r="K332" s="2037">
        <v>0</v>
      </c>
      <c r="L332" s="2038">
        <v>2</v>
      </c>
      <c r="M332" s="2039">
        <f t="shared" si="94"/>
        <v>536</v>
      </c>
      <c r="N332" s="2040">
        <v>46097</v>
      </c>
      <c r="O332" s="2040">
        <v>46093</v>
      </c>
      <c r="P332" s="1364" t="s">
        <v>1396</v>
      </c>
      <c r="Q332" s="1363" t="s">
        <v>56</v>
      </c>
      <c r="R332" s="1363"/>
      <c r="S332" s="1406" t="s">
        <v>1359</v>
      </c>
      <c r="T332" s="1364"/>
      <c r="U332" s="1364" t="s">
        <v>1360</v>
      </c>
      <c r="V332" s="1365" t="s">
        <v>1361</v>
      </c>
      <c r="W332" s="2055" t="s">
        <v>1386</v>
      </c>
      <c r="X332" s="2087" t="s">
        <v>101</v>
      </c>
      <c r="Y332" s="2065">
        <v>2.113</v>
      </c>
      <c r="Z332" s="2066">
        <f t="shared" si="95"/>
        <v>2265.136</v>
      </c>
      <c r="AA332" s="2068"/>
      <c r="AB332" s="2107">
        <v>1072</v>
      </c>
      <c r="AC332" s="2068">
        <f t="shared" si="110"/>
        <v>0</v>
      </c>
      <c r="AD332" s="2108" t="s">
        <v>327</v>
      </c>
      <c r="AE332" s="1402" t="s">
        <v>63</v>
      </c>
      <c r="AF332" s="1402" t="s">
        <v>38</v>
      </c>
      <c r="AG332" s="1363"/>
      <c r="AH332" s="2073">
        <f t="shared" si="111"/>
        <v>1072</v>
      </c>
      <c r="AI332" s="2073"/>
      <c r="AJ332" s="2085"/>
      <c r="AK332" s="2042"/>
      <c r="AL332" s="2042">
        <f t="shared" si="112"/>
        <v>1072</v>
      </c>
      <c r="AM332" s="2042"/>
      <c r="AN332" s="2042"/>
      <c r="AO332" s="2042"/>
      <c r="AP332" s="2042"/>
      <c r="AQ332" s="2042"/>
      <c r="AR332" s="2042"/>
      <c r="AS332" s="2211"/>
      <c r="AT332" s="2211"/>
      <c r="AU332" s="2211"/>
      <c r="AV332" s="2211"/>
      <c r="AW332" s="2073"/>
      <c r="AX332" s="2042"/>
      <c r="AY332" s="2085"/>
      <c r="AZ332" s="2211"/>
      <c r="BA332" s="2085">
        <f t="shared" si="113"/>
        <v>1072</v>
      </c>
      <c r="BB332" s="2085"/>
      <c r="BC332" s="2085"/>
      <c r="BD332" s="2094">
        <f t="shared" si="114"/>
        <v>1072</v>
      </c>
      <c r="BE332" s="2094">
        <f t="shared" si="115"/>
        <v>0</v>
      </c>
    </row>
    <row r="333" s="1988" customFormat="1" ht="36" customHeight="1" spans="1:57">
      <c r="A333" s="2018">
        <v>46028</v>
      </c>
      <c r="B333" s="2098" t="s">
        <v>1016</v>
      </c>
      <c r="C333" s="1723" t="s">
        <v>91</v>
      </c>
      <c r="D333" s="2114">
        <v>4500190754</v>
      </c>
      <c r="E333" s="2327" t="s">
        <v>1399</v>
      </c>
      <c r="F333" s="2099" t="s">
        <v>1400</v>
      </c>
      <c r="G333" s="1723" t="s">
        <v>94</v>
      </c>
      <c r="H333" s="1989" t="s">
        <v>94</v>
      </c>
      <c r="I333" s="2036" t="s">
        <v>55</v>
      </c>
      <c r="J333" s="2246">
        <v>834</v>
      </c>
      <c r="K333" s="2037">
        <v>0</v>
      </c>
      <c r="L333" s="2038">
        <v>2</v>
      </c>
      <c r="M333" s="2039">
        <f t="shared" si="94"/>
        <v>417</v>
      </c>
      <c r="N333" s="2040">
        <v>46097</v>
      </c>
      <c r="O333" s="2040">
        <v>46093</v>
      </c>
      <c r="P333" s="1364" t="s">
        <v>1396</v>
      </c>
      <c r="Q333" s="1363" t="s">
        <v>56</v>
      </c>
      <c r="R333" s="1363"/>
      <c r="S333" s="1406" t="s">
        <v>1359</v>
      </c>
      <c r="T333" s="1364"/>
      <c r="U333" s="1364" t="s">
        <v>1360</v>
      </c>
      <c r="V333" s="1365" t="s">
        <v>1361</v>
      </c>
      <c r="W333" s="2055" t="s">
        <v>1386</v>
      </c>
      <c r="X333" s="2087" t="s">
        <v>101</v>
      </c>
      <c r="Y333" s="2065">
        <v>2.3957</v>
      </c>
      <c r="Z333" s="2066">
        <f t="shared" si="95"/>
        <v>1998.0138</v>
      </c>
      <c r="AA333" s="2068"/>
      <c r="AB333" s="2107">
        <v>834</v>
      </c>
      <c r="AC333" s="2068">
        <f t="shared" si="110"/>
        <v>0</v>
      </c>
      <c r="AD333" s="2108" t="s">
        <v>327</v>
      </c>
      <c r="AE333" s="1402" t="s">
        <v>63</v>
      </c>
      <c r="AF333" s="1402" t="s">
        <v>38</v>
      </c>
      <c r="AG333" s="1363"/>
      <c r="AH333" s="2073">
        <f t="shared" si="111"/>
        <v>834</v>
      </c>
      <c r="AI333" s="2073"/>
      <c r="AJ333" s="2085"/>
      <c r="AK333" s="2042"/>
      <c r="AL333" s="2042">
        <f t="shared" si="112"/>
        <v>834</v>
      </c>
      <c r="AM333" s="2042"/>
      <c r="AN333" s="2042"/>
      <c r="AO333" s="2042"/>
      <c r="AP333" s="2042"/>
      <c r="AQ333" s="2042"/>
      <c r="AR333" s="2042"/>
      <c r="AS333" s="2211"/>
      <c r="AT333" s="2211"/>
      <c r="AU333" s="2211"/>
      <c r="AV333" s="2211"/>
      <c r="AW333" s="2073"/>
      <c r="AX333" s="2042"/>
      <c r="AY333" s="2042"/>
      <c r="AZ333" s="2042"/>
      <c r="BA333" s="2042">
        <f t="shared" si="113"/>
        <v>834</v>
      </c>
      <c r="BB333" s="2042"/>
      <c r="BC333" s="2042"/>
      <c r="BD333" s="2094">
        <f t="shared" si="114"/>
        <v>834</v>
      </c>
      <c r="BE333" s="2094">
        <f t="shared" si="115"/>
        <v>0</v>
      </c>
    </row>
    <row r="334" s="1988" customFormat="1" ht="36" customHeight="1" spans="1:16384">
      <c r="A334" s="2115">
        <v>46028</v>
      </c>
      <c r="B334" s="2098" t="s">
        <v>899</v>
      </c>
      <c r="C334" s="1723" t="s">
        <v>900</v>
      </c>
      <c r="D334" s="2099">
        <v>4500190752</v>
      </c>
      <c r="E334" s="2098" t="s">
        <v>1401</v>
      </c>
      <c r="F334" s="2099" t="s">
        <v>1402</v>
      </c>
      <c r="G334" s="2118" t="s">
        <v>66</v>
      </c>
      <c r="H334" s="1989" t="s">
        <v>66</v>
      </c>
      <c r="I334" s="2036" t="s">
        <v>67</v>
      </c>
      <c r="J334" s="2246">
        <v>504</v>
      </c>
      <c r="K334" s="2127">
        <v>0</v>
      </c>
      <c r="L334" s="1989">
        <v>12</v>
      </c>
      <c r="M334" s="2039">
        <f t="shared" si="94"/>
        <v>42</v>
      </c>
      <c r="N334" s="2040">
        <v>46091</v>
      </c>
      <c r="O334" s="2040">
        <v>46091</v>
      </c>
      <c r="P334" s="1364"/>
      <c r="Q334" s="1363" t="s">
        <v>56</v>
      </c>
      <c r="R334" s="1363" t="s">
        <v>1403</v>
      </c>
      <c r="S334" s="1406" t="s">
        <v>1404</v>
      </c>
      <c r="T334" s="1364"/>
      <c r="U334" s="1116" t="s">
        <v>58</v>
      </c>
      <c r="V334" s="1365" t="s">
        <v>1405</v>
      </c>
      <c r="W334" s="2055" t="s">
        <v>1406</v>
      </c>
      <c r="X334" s="2087" t="s">
        <v>907</v>
      </c>
      <c r="Y334" s="2065">
        <v>3.6399</v>
      </c>
      <c r="Z334" s="2066">
        <f t="shared" si="95"/>
        <v>1834.5096</v>
      </c>
      <c r="AA334" s="2068"/>
      <c r="AB334" s="2107"/>
      <c r="AC334" s="2068">
        <f t="shared" si="110"/>
        <v>-504</v>
      </c>
      <c r="AD334" s="2108" t="s">
        <v>58</v>
      </c>
      <c r="AE334" s="1402" t="s">
        <v>63</v>
      </c>
      <c r="AF334" s="1402" t="s">
        <v>38</v>
      </c>
      <c r="AG334" s="1363"/>
      <c r="AH334" s="2073"/>
      <c r="AI334" s="2073"/>
      <c r="AJ334" s="2085">
        <f>J334</f>
        <v>504</v>
      </c>
      <c r="AK334" s="2042"/>
      <c r="AL334" s="2042">
        <f t="shared" si="112"/>
        <v>504</v>
      </c>
      <c r="AM334" s="2042"/>
      <c r="AN334" s="2042"/>
      <c r="AO334" s="2042"/>
      <c r="AP334" s="2085"/>
      <c r="AQ334" s="2085"/>
      <c r="AR334" s="2085"/>
      <c r="AS334" s="2094"/>
      <c r="AT334" s="2094"/>
      <c r="AU334" s="1988"/>
      <c r="AV334" s="1988"/>
      <c r="AW334" s="2073"/>
      <c r="AX334" s="2042"/>
      <c r="AY334" s="1989">
        <f>J334</f>
        <v>504</v>
      </c>
      <c r="AZ334" s="1989"/>
      <c r="BA334" s="1989"/>
      <c r="BB334" s="1989"/>
      <c r="BC334" s="1989"/>
      <c r="BD334" s="1988">
        <f t="shared" si="114"/>
        <v>504</v>
      </c>
      <c r="BE334" s="1988">
        <f t="shared" si="115"/>
        <v>0</v>
      </c>
      <c r="XET334" s="2018"/>
      <c r="XEU334" s="2098"/>
      <c r="XEV334" s="1723"/>
      <c r="XEW334" s="2099"/>
      <c r="XEX334" s="2100"/>
      <c r="XEY334" s="2099"/>
      <c r="XEZ334" s="2118"/>
      <c r="XFA334" s="1989"/>
      <c r="XFB334" s="2128"/>
      <c r="XFC334" s="1989"/>
      <c r="XFD334" s="2037"/>
    </row>
    <row r="335" s="1986" customFormat="1" ht="36" customHeight="1" spans="1:16384">
      <c r="A335" s="2228">
        <v>46056</v>
      </c>
      <c r="B335" s="2229" t="s">
        <v>811</v>
      </c>
      <c r="C335" s="2230" t="s">
        <v>91</v>
      </c>
      <c r="D335" s="2227">
        <v>4500192994</v>
      </c>
      <c r="E335" s="2231">
        <v>70084534</v>
      </c>
      <c r="F335" s="2227" t="s">
        <v>1407</v>
      </c>
      <c r="G335" s="2180"/>
      <c r="H335" s="2217" t="s">
        <v>54</v>
      </c>
      <c r="I335" s="2247" t="s">
        <v>55</v>
      </c>
      <c r="J335" s="2247">
        <v>600</v>
      </c>
      <c r="K335" s="2248">
        <v>0</v>
      </c>
      <c r="L335" s="2249">
        <v>12</v>
      </c>
      <c r="M335" s="2250">
        <f t="shared" si="94"/>
        <v>50</v>
      </c>
      <c r="N335" s="2251">
        <v>46106</v>
      </c>
      <c r="O335" s="2251">
        <v>46102</v>
      </c>
      <c r="P335" s="1476"/>
      <c r="Q335" s="2267"/>
      <c r="R335" s="2267"/>
      <c r="S335" s="1477" t="s">
        <v>1408</v>
      </c>
      <c r="T335" s="1476"/>
      <c r="U335" s="1569" t="s">
        <v>1409</v>
      </c>
      <c r="V335" s="2265" t="s">
        <v>1410</v>
      </c>
      <c r="W335" s="2268" t="s">
        <v>1411</v>
      </c>
      <c r="X335" s="2263" t="s">
        <v>1151</v>
      </c>
      <c r="Y335" s="2279">
        <v>2.2985</v>
      </c>
      <c r="Z335" s="2280">
        <f t="shared" si="95"/>
        <v>1379.1</v>
      </c>
      <c r="AA335" s="2281"/>
      <c r="AB335" s="2282"/>
      <c r="AC335" s="2283">
        <f t="shared" si="110"/>
        <v>-600</v>
      </c>
      <c r="AD335" s="2284"/>
      <c r="AE335" s="1478"/>
      <c r="AF335" s="1478"/>
      <c r="AG335" s="2267"/>
      <c r="AH335" s="2299">
        <f>J335</f>
        <v>600</v>
      </c>
      <c r="AI335" s="2299"/>
      <c r="AJ335" s="2300"/>
      <c r="AK335" s="2086"/>
      <c r="AL335" s="2225">
        <f t="shared" si="112"/>
        <v>600</v>
      </c>
      <c r="AM335" s="2225"/>
      <c r="AN335" s="2086"/>
      <c r="AO335" s="2086"/>
      <c r="AP335" s="2308"/>
      <c r="AQ335" s="2308"/>
      <c r="AR335" s="2308"/>
      <c r="AS335" s="2309"/>
      <c r="AT335" s="2309"/>
      <c r="AU335" s="2310"/>
      <c r="AV335" s="2310"/>
      <c r="AW335" s="2299">
        <f>J335</f>
        <v>600</v>
      </c>
      <c r="AX335" s="2225"/>
      <c r="AY335" s="2217"/>
      <c r="AZ335" s="2318"/>
      <c r="BA335" s="2217"/>
      <c r="BB335" s="2217"/>
      <c r="BC335" s="2217"/>
      <c r="BD335" s="1991">
        <f t="shared" si="108"/>
        <v>600</v>
      </c>
      <c r="BE335" s="1991">
        <f t="shared" si="109"/>
        <v>0</v>
      </c>
      <c r="XET335" s="2321"/>
      <c r="XEU335" s="1992"/>
      <c r="XEV335" s="2243"/>
      <c r="XEW335" s="1993"/>
      <c r="XEX335" s="1992"/>
      <c r="XEY335" s="1993"/>
      <c r="XEZ335" s="2243"/>
      <c r="XFB335" s="2322"/>
      <c r="XFD335" s="2323"/>
    </row>
    <row r="336" s="1986" customFormat="1" ht="36" customHeight="1" spans="1:57">
      <c r="A336" s="2228">
        <v>46028</v>
      </c>
      <c r="B336" s="2229" t="s">
        <v>1016</v>
      </c>
      <c r="C336" s="2230" t="s">
        <v>91</v>
      </c>
      <c r="D336" s="2232">
        <v>4500190755</v>
      </c>
      <c r="E336" s="2330" t="s">
        <v>1412</v>
      </c>
      <c r="F336" s="2227" t="s">
        <v>1413</v>
      </c>
      <c r="G336" s="2230" t="s">
        <v>94</v>
      </c>
      <c r="H336" s="2217" t="s">
        <v>94</v>
      </c>
      <c r="I336" s="2252" t="s">
        <v>55</v>
      </c>
      <c r="J336" s="2253">
        <v>438</v>
      </c>
      <c r="K336" s="2248">
        <v>0</v>
      </c>
      <c r="L336" s="2249">
        <v>2</v>
      </c>
      <c r="M336" s="2250">
        <f t="shared" si="94"/>
        <v>219</v>
      </c>
      <c r="N336" s="2251">
        <v>46107</v>
      </c>
      <c r="O336" s="2251">
        <v>46104</v>
      </c>
      <c r="P336" s="2254" t="s">
        <v>1414</v>
      </c>
      <c r="Q336" s="2265" t="s">
        <v>1415</v>
      </c>
      <c r="R336" s="2267"/>
      <c r="S336" s="1477" t="s">
        <v>1359</v>
      </c>
      <c r="T336" s="1476"/>
      <c r="U336" s="1476" t="s">
        <v>1360</v>
      </c>
      <c r="V336" s="2265" t="s">
        <v>1361</v>
      </c>
      <c r="W336" s="2268" t="s">
        <v>1386</v>
      </c>
      <c r="X336" s="2263" t="s">
        <v>101</v>
      </c>
      <c r="Y336" s="2279">
        <v>2.3261</v>
      </c>
      <c r="Z336" s="2280">
        <f t="shared" si="95"/>
        <v>1018.8318</v>
      </c>
      <c r="AA336" s="2281"/>
      <c r="AB336" s="2282"/>
      <c r="AC336" s="2283">
        <f t="shared" si="110"/>
        <v>-438</v>
      </c>
      <c r="AD336" s="2284" t="s">
        <v>327</v>
      </c>
      <c r="AE336" s="1478" t="s">
        <v>63</v>
      </c>
      <c r="AF336" s="1478"/>
      <c r="AG336" s="2267"/>
      <c r="AH336" s="2299">
        <f>J336</f>
        <v>438</v>
      </c>
      <c r="AI336" s="2299"/>
      <c r="AJ336" s="2300"/>
      <c r="AK336" s="2225"/>
      <c r="AL336" s="2225">
        <f t="shared" si="112"/>
        <v>438</v>
      </c>
      <c r="AM336" s="2225"/>
      <c r="AN336" s="2225"/>
      <c r="AO336" s="2225"/>
      <c r="AP336" s="2225"/>
      <c r="AQ336" s="2225"/>
      <c r="AR336" s="2225"/>
      <c r="AS336" s="2226"/>
      <c r="AT336" s="2226"/>
      <c r="AU336" s="2226"/>
      <c r="AV336" s="2226"/>
      <c r="AW336" s="2299"/>
      <c r="AX336" s="2225"/>
      <c r="AY336" s="2225"/>
      <c r="AZ336" s="2225"/>
      <c r="BA336" s="2225">
        <f>J336</f>
        <v>438</v>
      </c>
      <c r="BB336" s="2225"/>
      <c r="BC336" s="2225"/>
      <c r="BD336" s="1991">
        <f t="shared" si="108"/>
        <v>438</v>
      </c>
      <c r="BE336" s="1991">
        <f t="shared" si="109"/>
        <v>0</v>
      </c>
    </row>
    <row r="337" s="1986" customFormat="1" ht="36" customHeight="1" spans="1:57">
      <c r="A337" s="2228">
        <v>46028</v>
      </c>
      <c r="B337" s="2229" t="s">
        <v>1016</v>
      </c>
      <c r="C337" s="2230" t="s">
        <v>91</v>
      </c>
      <c r="D337" s="2232">
        <v>4500190755</v>
      </c>
      <c r="E337" s="2330" t="s">
        <v>1416</v>
      </c>
      <c r="F337" s="2227" t="s">
        <v>1417</v>
      </c>
      <c r="G337" s="2230" t="s">
        <v>94</v>
      </c>
      <c r="H337" s="2217" t="s">
        <v>94</v>
      </c>
      <c r="I337" s="2252" t="s">
        <v>55</v>
      </c>
      <c r="J337" s="2253">
        <v>784</v>
      </c>
      <c r="K337" s="2248">
        <v>0</v>
      </c>
      <c r="L337" s="2249">
        <v>2</v>
      </c>
      <c r="M337" s="2250">
        <f t="shared" si="94"/>
        <v>392</v>
      </c>
      <c r="N337" s="2251">
        <v>46107</v>
      </c>
      <c r="O337" s="2251">
        <v>46104</v>
      </c>
      <c r="P337" s="2254" t="s">
        <v>1414</v>
      </c>
      <c r="Q337" s="2265" t="s">
        <v>1415</v>
      </c>
      <c r="R337" s="2267"/>
      <c r="S337" s="1477" t="s">
        <v>1359</v>
      </c>
      <c r="T337" s="1476"/>
      <c r="U337" s="1476" t="s">
        <v>1360</v>
      </c>
      <c r="V337" s="2265" t="s">
        <v>1361</v>
      </c>
      <c r="W337" s="2268" t="s">
        <v>1386</v>
      </c>
      <c r="X337" s="2263" t="s">
        <v>101</v>
      </c>
      <c r="Y337" s="2279">
        <v>2.3957</v>
      </c>
      <c r="Z337" s="2280">
        <f t="shared" si="95"/>
        <v>1878.2288</v>
      </c>
      <c r="AA337" s="2281"/>
      <c r="AB337" s="2282"/>
      <c r="AC337" s="2283">
        <f t="shared" si="110"/>
        <v>-784</v>
      </c>
      <c r="AD337" s="2284" t="s">
        <v>327</v>
      </c>
      <c r="AE337" s="1478" t="s">
        <v>63</v>
      </c>
      <c r="AF337" s="1478"/>
      <c r="AG337" s="2267"/>
      <c r="AH337" s="2299">
        <f>J337</f>
        <v>784</v>
      </c>
      <c r="AI337" s="2299"/>
      <c r="AJ337" s="2300"/>
      <c r="AK337" s="2225"/>
      <c r="AL337" s="2225">
        <f t="shared" si="112"/>
        <v>784</v>
      </c>
      <c r="AM337" s="2225"/>
      <c r="AN337" s="2225"/>
      <c r="AO337" s="2225"/>
      <c r="AP337" s="2225"/>
      <c r="AQ337" s="2225"/>
      <c r="AR337" s="2225"/>
      <c r="AS337" s="2226"/>
      <c r="AT337" s="2226"/>
      <c r="AU337" s="2226"/>
      <c r="AV337" s="2226"/>
      <c r="AW337" s="2299"/>
      <c r="AX337" s="2225"/>
      <c r="AY337" s="2225"/>
      <c r="AZ337" s="2225"/>
      <c r="BA337" s="2225">
        <f>J337</f>
        <v>784</v>
      </c>
      <c r="BB337" s="2225"/>
      <c r="BC337" s="2225"/>
      <c r="BD337" s="1991">
        <f t="shared" si="108"/>
        <v>784</v>
      </c>
      <c r="BE337" s="1991">
        <f t="shared" si="109"/>
        <v>0</v>
      </c>
    </row>
    <row r="338" s="1986" customFormat="1" ht="36" customHeight="1" spans="1:57">
      <c r="A338" s="2228">
        <v>45939</v>
      </c>
      <c r="B338" s="2229" t="s">
        <v>1418</v>
      </c>
      <c r="C338" s="2230" t="s">
        <v>1419</v>
      </c>
      <c r="D338" s="2227">
        <v>4500181092</v>
      </c>
      <c r="E338" s="2231" t="s">
        <v>1420</v>
      </c>
      <c r="F338" s="2227" t="s">
        <v>1421</v>
      </c>
      <c r="G338" s="2217" t="s">
        <v>1047</v>
      </c>
      <c r="H338" s="2217" t="s">
        <v>66</v>
      </c>
      <c r="I338" s="2255" t="s">
        <v>67</v>
      </c>
      <c r="J338" s="2247">
        <v>504</v>
      </c>
      <c r="K338" s="2248">
        <v>0</v>
      </c>
      <c r="L338" s="2249">
        <v>12</v>
      </c>
      <c r="M338" s="2250">
        <f t="shared" si="94"/>
        <v>42</v>
      </c>
      <c r="N338" s="2251">
        <v>46113</v>
      </c>
      <c r="O338" s="2251">
        <f>N338-4</f>
        <v>46109</v>
      </c>
      <c r="P338" s="1476" t="s">
        <v>1034</v>
      </c>
      <c r="Q338" s="2267"/>
      <c r="R338" s="2267"/>
      <c r="S338" s="1477" t="s">
        <v>985</v>
      </c>
      <c r="T338" s="1476"/>
      <c r="U338" s="1476" t="s">
        <v>1422</v>
      </c>
      <c r="V338" s="2265" t="s">
        <v>1423</v>
      </c>
      <c r="W338" s="2268" t="s">
        <v>1424</v>
      </c>
      <c r="X338" s="2263" t="s">
        <v>1040</v>
      </c>
      <c r="Y338" s="2279">
        <v>3.8518</v>
      </c>
      <c r="Z338" s="2280">
        <f t="shared" si="95"/>
        <v>1941.3072</v>
      </c>
      <c r="AA338" s="2281"/>
      <c r="AB338" s="2282"/>
      <c r="AC338" s="2283">
        <f t="shared" si="110"/>
        <v>-504</v>
      </c>
      <c r="AD338" s="2284"/>
      <c r="AE338" s="1478" t="s">
        <v>63</v>
      </c>
      <c r="AF338" s="1478"/>
      <c r="AG338" s="2267"/>
      <c r="AH338" s="2299"/>
      <c r="AI338" s="2299"/>
      <c r="AJ338" s="2300">
        <f>J338</f>
        <v>504</v>
      </c>
      <c r="AK338" s="2225"/>
      <c r="AL338" s="2225"/>
      <c r="AM338" s="2225">
        <f>J338</f>
        <v>504</v>
      </c>
      <c r="AN338" s="2225"/>
      <c r="AO338" s="2225"/>
      <c r="AP338" s="2225"/>
      <c r="AQ338" s="2225"/>
      <c r="AR338" s="2225"/>
      <c r="AS338" s="2226"/>
      <c r="AT338" s="2226"/>
      <c r="AU338" s="2226"/>
      <c r="AV338" s="2226"/>
      <c r="AW338" s="2225"/>
      <c r="AX338" s="2225"/>
      <c r="AY338" s="2299">
        <f>J338</f>
        <v>504</v>
      </c>
      <c r="AZ338" s="2226"/>
      <c r="BA338" s="2319"/>
      <c r="BB338" s="2319"/>
      <c r="BC338" s="2319"/>
      <c r="BD338" s="1991">
        <f t="shared" si="108"/>
        <v>504</v>
      </c>
      <c r="BE338" s="1991">
        <f t="shared" si="109"/>
        <v>0</v>
      </c>
    </row>
    <row r="339" s="1986" customFormat="1" ht="36" customHeight="1" spans="1:16384">
      <c r="A339" s="2228">
        <v>46057</v>
      </c>
      <c r="B339" s="2229" t="s">
        <v>1348</v>
      </c>
      <c r="C339" s="2230" t="s">
        <v>1339</v>
      </c>
      <c r="D339" s="2227">
        <v>4500193055</v>
      </c>
      <c r="E339" s="2231" t="s">
        <v>1425</v>
      </c>
      <c r="F339" s="2227" t="s">
        <v>1426</v>
      </c>
      <c r="G339" s="2180"/>
      <c r="H339" s="2217" t="s">
        <v>54</v>
      </c>
      <c r="I339" s="2247" t="s">
        <v>55</v>
      </c>
      <c r="J339" s="2247">
        <v>504</v>
      </c>
      <c r="K339" s="2248">
        <v>0</v>
      </c>
      <c r="L339" s="2249">
        <v>12</v>
      </c>
      <c r="M339" s="2250">
        <f t="shared" si="94"/>
        <v>42</v>
      </c>
      <c r="N339" s="2251">
        <v>46120</v>
      </c>
      <c r="O339" s="2251">
        <v>46116</v>
      </c>
      <c r="P339" s="1476"/>
      <c r="Q339" s="2267"/>
      <c r="R339" s="2267"/>
      <c r="S339" s="1477" t="s">
        <v>1427</v>
      </c>
      <c r="T339" s="1476"/>
      <c r="U339" s="1569" t="s">
        <v>1428</v>
      </c>
      <c r="V339" s="2265" t="s">
        <v>1353</v>
      </c>
      <c r="W339" s="2268" t="s">
        <v>1429</v>
      </c>
      <c r="X339" s="2263" t="s">
        <v>1269</v>
      </c>
      <c r="Y339" s="2279">
        <v>3.7451</v>
      </c>
      <c r="Z339" s="2280">
        <f t="shared" si="95"/>
        <v>1887.5304</v>
      </c>
      <c r="AA339" s="2281"/>
      <c r="AB339" s="2282"/>
      <c r="AC339" s="2283">
        <f t="shared" si="110"/>
        <v>-504</v>
      </c>
      <c r="AD339" s="2284"/>
      <c r="AE339" s="1478"/>
      <c r="AF339" s="1478"/>
      <c r="AG339" s="2267"/>
      <c r="AH339" s="2299">
        <f>J339</f>
        <v>504</v>
      </c>
      <c r="AI339" s="2299"/>
      <c r="AJ339" s="2300"/>
      <c r="AK339" s="2206"/>
      <c r="AL339" s="2225">
        <f>J339</f>
        <v>504</v>
      </c>
      <c r="AM339" s="2299"/>
      <c r="AN339" s="2206"/>
      <c r="AO339" s="2311"/>
      <c r="AP339" s="2311"/>
      <c r="AQ339" s="2311"/>
      <c r="AR339" s="2311"/>
      <c r="AS339" s="2312"/>
      <c r="AT339" s="2312"/>
      <c r="AU339" s="2313"/>
      <c r="AV339" s="2313"/>
      <c r="AW339" s="2299">
        <f>J339</f>
        <v>504</v>
      </c>
      <c r="AX339" s="2225"/>
      <c r="AY339" s="2217"/>
      <c r="AZ339" s="2313"/>
      <c r="BA339" s="2217"/>
      <c r="BB339" s="2217"/>
      <c r="BC339" s="2217"/>
      <c r="BD339" s="1991">
        <f t="shared" si="108"/>
        <v>504</v>
      </c>
      <c r="BE339" s="1986">
        <f t="shared" si="109"/>
        <v>0</v>
      </c>
      <c r="XEI339" s="2321"/>
      <c r="XEJ339" s="1992"/>
      <c r="XEK339" s="2243"/>
      <c r="XEL339" s="1993"/>
      <c r="XEM339" s="1992"/>
      <c r="XEN339" s="1993"/>
      <c r="XEO339" s="2243"/>
      <c r="XEQ339" s="2322"/>
      <c r="XES339" s="2323"/>
      <c r="XET339" s="2228"/>
      <c r="XEU339" s="2229"/>
      <c r="XEV339" s="2230"/>
      <c r="XEW339" s="2227"/>
      <c r="XEX339" s="2231"/>
      <c r="XEY339" s="2227"/>
      <c r="XEZ339" s="2180"/>
      <c r="XFA339" s="2217"/>
      <c r="XFB339" s="2247"/>
      <c r="XFC339" s="2247"/>
      <c r="XFD339" s="2248"/>
    </row>
    <row r="340" s="1986" customFormat="1" ht="36" customHeight="1" spans="1:57">
      <c r="A340" s="2233">
        <v>46079</v>
      </c>
      <c r="B340" s="2234" t="s">
        <v>510</v>
      </c>
      <c r="C340" s="2235" t="s">
        <v>398</v>
      </c>
      <c r="D340" s="2236">
        <v>4500194379</v>
      </c>
      <c r="E340" s="2237">
        <v>40321080</v>
      </c>
      <c r="F340" s="2236" t="s">
        <v>1430</v>
      </c>
      <c r="G340" s="2238"/>
      <c r="H340" s="2238" t="s">
        <v>66</v>
      </c>
      <c r="I340" s="2256" t="s">
        <v>1431</v>
      </c>
      <c r="J340" s="2257">
        <v>960</v>
      </c>
      <c r="K340" s="2258">
        <v>12</v>
      </c>
      <c r="L340" s="2259"/>
      <c r="M340" s="2260" t="e">
        <f>J340/L340</f>
        <v>#DIV/0!</v>
      </c>
      <c r="N340" s="2261">
        <v>46135</v>
      </c>
      <c r="O340" s="2261">
        <v>46129</v>
      </c>
      <c r="P340" s="2262"/>
      <c r="Q340" s="2269"/>
      <c r="R340" s="2269"/>
      <c r="S340" s="2270"/>
      <c r="T340" s="2262"/>
      <c r="U340" s="2262"/>
      <c r="V340" s="2271"/>
      <c r="W340" s="2272" t="s">
        <v>1432</v>
      </c>
      <c r="X340" s="2273" t="s">
        <v>1433</v>
      </c>
      <c r="Y340" s="2285">
        <v>3.1478</v>
      </c>
      <c r="Z340" s="2286">
        <f>Y340*J340</f>
        <v>3021.888</v>
      </c>
      <c r="AA340" s="2287"/>
      <c r="AB340" s="2288"/>
      <c r="AC340" s="2287">
        <f>AB340-J340</f>
        <v>-960</v>
      </c>
      <c r="AD340" s="2289"/>
      <c r="AE340" s="2290"/>
      <c r="AF340" s="2290"/>
      <c r="AG340" s="2269"/>
      <c r="AH340" s="2301"/>
      <c r="AI340" s="2301"/>
      <c r="AJ340" s="2302">
        <f>J340</f>
        <v>960</v>
      </c>
      <c r="AK340" s="2303"/>
      <c r="AL340" s="2303"/>
      <c r="AM340" s="2303">
        <f>J340</f>
        <v>960</v>
      </c>
      <c r="AN340" s="2303"/>
      <c r="AO340" s="2303"/>
      <c r="AP340" s="2303"/>
      <c r="AQ340" s="2303"/>
      <c r="AR340" s="2303"/>
      <c r="AS340" s="2314"/>
      <c r="AT340" s="2314"/>
      <c r="AU340" s="2314"/>
      <c r="AV340" s="2314"/>
      <c r="AW340" s="2303"/>
      <c r="AX340" s="2303"/>
      <c r="AY340" s="2299"/>
      <c r="AZ340" s="2226"/>
      <c r="BA340" s="2319"/>
      <c r="BB340" s="2319"/>
      <c r="BC340" s="2319"/>
      <c r="BD340" s="1991"/>
      <c r="BE340" s="1991"/>
    </row>
    <row r="341" s="1988" customFormat="1" ht="36" customHeight="1" spans="1:57">
      <c r="A341" s="2233">
        <v>46079</v>
      </c>
      <c r="B341" s="2234" t="s">
        <v>510</v>
      </c>
      <c r="C341" s="2235" t="s">
        <v>398</v>
      </c>
      <c r="D341" s="2236">
        <v>4500194379</v>
      </c>
      <c r="E341" s="2237">
        <v>40321080</v>
      </c>
      <c r="F341" s="2236" t="s">
        <v>1434</v>
      </c>
      <c r="G341" s="2238"/>
      <c r="H341" s="2238" t="s">
        <v>64</v>
      </c>
      <c r="I341" s="2257" t="s">
        <v>1435</v>
      </c>
      <c r="J341" s="2257">
        <v>720</v>
      </c>
      <c r="K341" s="2258">
        <v>12</v>
      </c>
      <c r="L341" s="2259"/>
      <c r="M341" s="2260" t="e">
        <f>J341/L341</f>
        <v>#DIV/0!</v>
      </c>
      <c r="N341" s="2261">
        <v>46135</v>
      </c>
      <c r="O341" s="2261">
        <v>46129</v>
      </c>
      <c r="P341" s="2262"/>
      <c r="Q341" s="2269"/>
      <c r="R341" s="2269"/>
      <c r="S341" s="2270"/>
      <c r="T341" s="2262"/>
      <c r="U341" s="2262"/>
      <c r="V341" s="2271"/>
      <c r="W341" s="2272" t="s">
        <v>1432</v>
      </c>
      <c r="X341" s="2273" t="s">
        <v>1433</v>
      </c>
      <c r="Y341" s="2285">
        <v>3.8651</v>
      </c>
      <c r="Z341" s="2286">
        <f>Y341*J341</f>
        <v>2782.872</v>
      </c>
      <c r="AA341" s="2287"/>
      <c r="AB341" s="2288"/>
      <c r="AC341" s="2287">
        <f>AB341-J341</f>
        <v>-720</v>
      </c>
      <c r="AD341" s="2289"/>
      <c r="AE341" s="2290"/>
      <c r="AF341" s="2290"/>
      <c r="AG341" s="2269"/>
      <c r="AH341" s="2301"/>
      <c r="AI341" s="2301">
        <f>J341</f>
        <v>720</v>
      </c>
      <c r="AJ341" s="2302"/>
      <c r="AK341" s="2303"/>
      <c r="AL341" s="2303">
        <f>J341</f>
        <v>720</v>
      </c>
      <c r="AM341" s="2303"/>
      <c r="AN341" s="2303"/>
      <c r="AO341" s="2303"/>
      <c r="AP341" s="2303"/>
      <c r="AQ341" s="2303"/>
      <c r="AR341" s="2303"/>
      <c r="AS341" s="2314"/>
      <c r="AT341" s="2314"/>
      <c r="AU341" s="2314"/>
      <c r="AV341" s="2314"/>
      <c r="AW341" s="2301"/>
      <c r="AX341" s="2303">
        <f>J341</f>
        <v>720</v>
      </c>
      <c r="AY341" s="2042"/>
      <c r="AZ341" s="2226"/>
      <c r="BA341" s="2085"/>
      <c r="BB341" s="2085"/>
      <c r="BC341" s="2085"/>
      <c r="BD341" s="2094"/>
      <c r="BE341" s="2094"/>
    </row>
    <row r="342" s="1986" customFormat="1" ht="36" customHeight="1" spans="1:16384">
      <c r="A342" s="2233">
        <v>46079</v>
      </c>
      <c r="B342" s="2234" t="s">
        <v>510</v>
      </c>
      <c r="C342" s="2235" t="s">
        <v>398</v>
      </c>
      <c r="D342" s="2236">
        <v>4500194379</v>
      </c>
      <c r="E342" s="2237">
        <v>40321080</v>
      </c>
      <c r="F342" s="2236" t="s">
        <v>1436</v>
      </c>
      <c r="G342" s="2239"/>
      <c r="H342" s="2238" t="s">
        <v>54</v>
      </c>
      <c r="I342" s="2257" t="s">
        <v>1437</v>
      </c>
      <c r="J342" s="2257">
        <v>960</v>
      </c>
      <c r="K342" s="2258">
        <v>12</v>
      </c>
      <c r="L342" s="2259"/>
      <c r="M342" s="2260" t="e">
        <f>J342/L342</f>
        <v>#DIV/0!</v>
      </c>
      <c r="N342" s="2261">
        <v>46135</v>
      </c>
      <c r="O342" s="2261">
        <v>46129</v>
      </c>
      <c r="P342" s="2262"/>
      <c r="Q342" s="2269"/>
      <c r="R342" s="2269"/>
      <c r="S342" s="2270"/>
      <c r="T342" s="2262"/>
      <c r="U342" s="2274"/>
      <c r="V342" s="2271"/>
      <c r="W342" s="2272" t="s">
        <v>1432</v>
      </c>
      <c r="X342" s="2273" t="s">
        <v>1433</v>
      </c>
      <c r="Y342" s="2285">
        <v>3.39</v>
      </c>
      <c r="Z342" s="2286">
        <f>Y342*J342</f>
        <v>3254.4</v>
      </c>
      <c r="AA342" s="2287"/>
      <c r="AB342" s="2288"/>
      <c r="AC342" s="2287">
        <f>AB342-J342</f>
        <v>-960</v>
      </c>
      <c r="AD342" s="2289"/>
      <c r="AE342" s="2290"/>
      <c r="AF342" s="2290"/>
      <c r="AG342" s="2269"/>
      <c r="AH342" s="2301">
        <f>J342</f>
        <v>960</v>
      </c>
      <c r="AI342" s="2301"/>
      <c r="AJ342" s="2302"/>
      <c r="AK342" s="2304"/>
      <c r="AL342" s="2303">
        <f>J342</f>
        <v>960</v>
      </c>
      <c r="AM342" s="2301"/>
      <c r="AN342" s="2304"/>
      <c r="AO342" s="2315"/>
      <c r="AP342" s="2315"/>
      <c r="AQ342" s="2315"/>
      <c r="AR342" s="2315"/>
      <c r="AS342" s="2316"/>
      <c r="AT342" s="2316"/>
      <c r="AU342" s="2317"/>
      <c r="AV342" s="2317"/>
      <c r="AW342" s="2301">
        <f>J342</f>
        <v>960</v>
      </c>
      <c r="AX342" s="2303"/>
      <c r="AY342" s="2217"/>
      <c r="AZ342" s="2313"/>
      <c r="BA342" s="2217"/>
      <c r="BB342" s="2217"/>
      <c r="BC342" s="2217"/>
      <c r="BD342" s="1991"/>
      <c r="BE342" s="1986"/>
      <c r="XEI342" s="2321"/>
      <c r="XEJ342" s="1992"/>
      <c r="XEK342" s="2243"/>
      <c r="XEL342" s="1993"/>
      <c r="XEM342" s="1992"/>
      <c r="XEN342" s="1993"/>
      <c r="XEO342" s="2243"/>
      <c r="XEQ342" s="2322"/>
      <c r="XES342" s="2323"/>
      <c r="XET342" s="2228"/>
      <c r="XEU342" s="2229"/>
      <c r="XEV342" s="2230"/>
      <c r="XEW342" s="2227"/>
      <c r="XEX342" s="2231"/>
      <c r="XEY342" s="2227"/>
      <c r="XEZ342" s="2180"/>
      <c r="XFA342" s="2217"/>
      <c r="XFB342" s="2247"/>
      <c r="XFC342" s="2247"/>
      <c r="XFD342" s="2248"/>
    </row>
    <row r="343" s="1986" customFormat="1" ht="36" customHeight="1" spans="1:57">
      <c r="A343" s="2233">
        <v>46079</v>
      </c>
      <c r="B343" s="2234" t="s">
        <v>510</v>
      </c>
      <c r="C343" s="2235" t="s">
        <v>398</v>
      </c>
      <c r="D343" s="2236">
        <v>4500194379</v>
      </c>
      <c r="E343" s="2237">
        <v>40322178</v>
      </c>
      <c r="F343" s="2236" t="s">
        <v>1438</v>
      </c>
      <c r="G343" s="2238"/>
      <c r="H343" s="2238" t="s">
        <v>66</v>
      </c>
      <c r="I343" s="2256" t="s">
        <v>1431</v>
      </c>
      <c r="J343" s="2257">
        <v>252</v>
      </c>
      <c r="K343" s="2258">
        <v>12</v>
      </c>
      <c r="L343" s="2259"/>
      <c r="M343" s="2260" t="e">
        <f>J343/L343</f>
        <v>#DIV/0!</v>
      </c>
      <c r="N343" s="2261">
        <v>46135</v>
      </c>
      <c r="O343" s="2261">
        <v>46129</v>
      </c>
      <c r="P343" s="2262"/>
      <c r="Q343" s="2269"/>
      <c r="R343" s="2269"/>
      <c r="S343" s="2270"/>
      <c r="T343" s="2262"/>
      <c r="U343" s="2262"/>
      <c r="V343" s="2271"/>
      <c r="W343" s="2272" t="s">
        <v>1432</v>
      </c>
      <c r="X343" s="2273" t="s">
        <v>1433</v>
      </c>
      <c r="Y343" s="2285">
        <v>3.1478</v>
      </c>
      <c r="Z343" s="2286">
        <f>Y343*J343</f>
        <v>793.2456</v>
      </c>
      <c r="AA343" s="2287"/>
      <c r="AB343" s="2288"/>
      <c r="AC343" s="2287">
        <f>AB343-J343</f>
        <v>-252</v>
      </c>
      <c r="AD343" s="2289"/>
      <c r="AE343" s="2290"/>
      <c r="AF343" s="2290"/>
      <c r="AG343" s="2269"/>
      <c r="AH343" s="2301"/>
      <c r="AI343" s="2301"/>
      <c r="AJ343" s="2302">
        <f>J343</f>
        <v>252</v>
      </c>
      <c r="AK343" s="2303"/>
      <c r="AL343" s="2303"/>
      <c r="AM343" s="2303">
        <f>J343</f>
        <v>252</v>
      </c>
      <c r="AN343" s="2303"/>
      <c r="AO343" s="2303"/>
      <c r="AP343" s="2303"/>
      <c r="AQ343" s="2303"/>
      <c r="AR343" s="2303"/>
      <c r="AS343" s="2314"/>
      <c r="AT343" s="2314"/>
      <c r="AU343" s="2314"/>
      <c r="AV343" s="2314"/>
      <c r="AW343" s="2303"/>
      <c r="AX343" s="2303"/>
      <c r="AY343" s="2299"/>
      <c r="AZ343" s="2226"/>
      <c r="BA343" s="2319"/>
      <c r="BB343" s="2319"/>
      <c r="BC343" s="2319"/>
      <c r="BD343" s="1991"/>
      <c r="BE343" s="1991"/>
    </row>
    <row r="344" s="1988" customFormat="1" ht="36" customHeight="1" spans="1:57">
      <c r="A344" s="2233">
        <v>46079</v>
      </c>
      <c r="B344" s="2234" t="s">
        <v>510</v>
      </c>
      <c r="C344" s="2235" t="s">
        <v>398</v>
      </c>
      <c r="D344" s="2236">
        <v>4500194379</v>
      </c>
      <c r="E344" s="2237">
        <v>40322178</v>
      </c>
      <c r="F344" s="2236" t="s">
        <v>1439</v>
      </c>
      <c r="G344" s="2238"/>
      <c r="H344" s="2238" t="s">
        <v>64</v>
      </c>
      <c r="I344" s="2257" t="s">
        <v>1435</v>
      </c>
      <c r="J344" s="2257">
        <v>180</v>
      </c>
      <c r="K344" s="2258">
        <v>12</v>
      </c>
      <c r="L344" s="2259"/>
      <c r="M344" s="2260" t="e">
        <f>J344/L344</f>
        <v>#DIV/0!</v>
      </c>
      <c r="N344" s="2261">
        <v>46135</v>
      </c>
      <c r="O344" s="2261">
        <v>46129</v>
      </c>
      <c r="P344" s="2262"/>
      <c r="Q344" s="2269"/>
      <c r="R344" s="2269"/>
      <c r="S344" s="2270"/>
      <c r="T344" s="2262"/>
      <c r="U344" s="2262"/>
      <c r="V344" s="2271"/>
      <c r="W344" s="2272" t="s">
        <v>1432</v>
      </c>
      <c r="X344" s="2273" t="s">
        <v>1433</v>
      </c>
      <c r="Y344" s="2285">
        <v>3.8651</v>
      </c>
      <c r="Z344" s="2286">
        <f>Y344*J344</f>
        <v>695.718</v>
      </c>
      <c r="AA344" s="2287"/>
      <c r="AB344" s="2288"/>
      <c r="AC344" s="2287">
        <f>AB344-J344</f>
        <v>-180</v>
      </c>
      <c r="AD344" s="2289"/>
      <c r="AE344" s="2290"/>
      <c r="AF344" s="2290"/>
      <c r="AG344" s="2269"/>
      <c r="AH344" s="2301"/>
      <c r="AI344" s="2301">
        <f>J344</f>
        <v>180</v>
      </c>
      <c r="AJ344" s="2302"/>
      <c r="AK344" s="2303"/>
      <c r="AL344" s="2303">
        <f>J344</f>
        <v>180</v>
      </c>
      <c r="AM344" s="2303"/>
      <c r="AN344" s="2303"/>
      <c r="AO344" s="2303"/>
      <c r="AP344" s="2303"/>
      <c r="AQ344" s="2303"/>
      <c r="AR344" s="2303"/>
      <c r="AS344" s="2314"/>
      <c r="AT344" s="2314"/>
      <c r="AU344" s="2314"/>
      <c r="AV344" s="2314"/>
      <c r="AW344" s="2301"/>
      <c r="AX344" s="2303">
        <f>J344</f>
        <v>180</v>
      </c>
      <c r="AY344" s="2042"/>
      <c r="AZ344" s="2226"/>
      <c r="BA344" s="2085"/>
      <c r="BB344" s="2085"/>
      <c r="BC344" s="2085"/>
      <c r="BD344" s="2094"/>
      <c r="BE344" s="2094"/>
    </row>
    <row r="345" s="1986" customFormat="1" ht="36" customHeight="1" spans="1:16384">
      <c r="A345" s="2233">
        <v>46079</v>
      </c>
      <c r="B345" s="2234" t="s">
        <v>510</v>
      </c>
      <c r="C345" s="2235" t="s">
        <v>398</v>
      </c>
      <c r="D345" s="2236">
        <v>4500194379</v>
      </c>
      <c r="E345" s="2237">
        <v>40322178</v>
      </c>
      <c r="F345" s="2236" t="s">
        <v>1440</v>
      </c>
      <c r="G345" s="2239"/>
      <c r="H345" s="2238" t="s">
        <v>54</v>
      </c>
      <c r="I345" s="2257" t="s">
        <v>1437</v>
      </c>
      <c r="J345" s="2257">
        <v>252</v>
      </c>
      <c r="K345" s="2258">
        <v>12</v>
      </c>
      <c r="L345" s="2259"/>
      <c r="M345" s="2260" t="e">
        <f>J345/L345</f>
        <v>#DIV/0!</v>
      </c>
      <c r="N345" s="2261">
        <v>46135</v>
      </c>
      <c r="O345" s="2261">
        <v>46129</v>
      </c>
      <c r="P345" s="2262"/>
      <c r="Q345" s="2269"/>
      <c r="R345" s="2269"/>
      <c r="S345" s="2270"/>
      <c r="T345" s="2262"/>
      <c r="U345" s="2274"/>
      <c r="V345" s="2271"/>
      <c r="W345" s="2272" t="s">
        <v>1432</v>
      </c>
      <c r="X345" s="2273" t="s">
        <v>1433</v>
      </c>
      <c r="Y345" s="2285">
        <v>3.4758</v>
      </c>
      <c r="Z345" s="2286">
        <f>Y345*J345</f>
        <v>875.9016</v>
      </c>
      <c r="AA345" s="2287"/>
      <c r="AB345" s="2288"/>
      <c r="AC345" s="2287">
        <f>AB345-J345</f>
        <v>-252</v>
      </c>
      <c r="AD345" s="2289"/>
      <c r="AE345" s="2290"/>
      <c r="AF345" s="2290"/>
      <c r="AG345" s="2269"/>
      <c r="AH345" s="2301">
        <f>J345</f>
        <v>252</v>
      </c>
      <c r="AI345" s="2301"/>
      <c r="AJ345" s="2302"/>
      <c r="AK345" s="2304"/>
      <c r="AL345" s="2303">
        <f>J345</f>
        <v>252</v>
      </c>
      <c r="AM345" s="2301"/>
      <c r="AN345" s="2304"/>
      <c r="AO345" s="2315"/>
      <c r="AP345" s="2315"/>
      <c r="AQ345" s="2315"/>
      <c r="AR345" s="2315"/>
      <c r="AS345" s="2316"/>
      <c r="AT345" s="2316"/>
      <c r="AU345" s="2317"/>
      <c r="AV345" s="2317"/>
      <c r="AW345" s="2301">
        <f>J345</f>
        <v>252</v>
      </c>
      <c r="AX345" s="2303"/>
      <c r="AY345" s="2217"/>
      <c r="AZ345" s="2313"/>
      <c r="BA345" s="2217"/>
      <c r="BB345" s="2217"/>
      <c r="BC345" s="2217"/>
      <c r="BD345" s="1991"/>
      <c r="BE345" s="1986"/>
      <c r="XEI345" s="2321"/>
      <c r="XEJ345" s="1992"/>
      <c r="XEK345" s="2243"/>
      <c r="XEL345" s="1993"/>
      <c r="XEM345" s="1992"/>
      <c r="XEN345" s="1993"/>
      <c r="XEO345" s="2243"/>
      <c r="XEQ345" s="2322"/>
      <c r="XES345" s="2323"/>
      <c r="XET345" s="2228"/>
      <c r="XEU345" s="2229"/>
      <c r="XEV345" s="2230"/>
      <c r="XEW345" s="2227"/>
      <c r="XEX345" s="2231"/>
      <c r="XEY345" s="2227"/>
      <c r="XEZ345" s="2180"/>
      <c r="XFA345" s="2217"/>
      <c r="XFB345" s="2247"/>
      <c r="XFC345" s="2247"/>
      <c r="XFD345" s="2248"/>
    </row>
    <row r="346" s="1986" customFormat="1" ht="36" customHeight="1" spans="1:57">
      <c r="A346" s="2228"/>
      <c r="B346" s="2229"/>
      <c r="C346" s="2230"/>
      <c r="D346" s="2227"/>
      <c r="E346" s="2229"/>
      <c r="F346" s="2240"/>
      <c r="G346" s="2230"/>
      <c r="H346" s="2217"/>
      <c r="I346" s="2252"/>
      <c r="J346" s="2248"/>
      <c r="K346" s="2248"/>
      <c r="L346" s="2249"/>
      <c r="M346" s="2250"/>
      <c r="N346" s="2251"/>
      <c r="O346" s="2251"/>
      <c r="P346" s="1477"/>
      <c r="Q346" s="2267"/>
      <c r="R346" s="2267"/>
      <c r="S346" s="1477"/>
      <c r="T346" s="1476"/>
      <c r="U346" s="2275"/>
      <c r="V346" s="2265"/>
      <c r="W346" s="2268"/>
      <c r="X346" s="2263"/>
      <c r="Y346" s="2279"/>
      <c r="Z346" s="2280"/>
      <c r="AA346" s="2281"/>
      <c r="AB346" s="2282"/>
      <c r="AC346" s="2283"/>
      <c r="AD346" s="2284"/>
      <c r="AE346" s="1478"/>
      <c r="AF346" s="1478"/>
      <c r="AG346" s="2267"/>
      <c r="AH346" s="2299"/>
      <c r="AI346" s="2299"/>
      <c r="AJ346" s="2225"/>
      <c r="AK346" s="2206"/>
      <c r="AL346" s="2225"/>
      <c r="AM346" s="2225"/>
      <c r="AN346" s="2206"/>
      <c r="AO346" s="2206"/>
      <c r="AP346" s="2206"/>
      <c r="AQ346" s="2206"/>
      <c r="AR346" s="2206"/>
      <c r="AS346" s="2312"/>
      <c r="AT346" s="2312"/>
      <c r="AU346" s="2312"/>
      <c r="AV346" s="2312"/>
      <c r="AW346" s="2225"/>
      <c r="AX346" s="2225"/>
      <c r="AY346" s="2225"/>
      <c r="AZ346" s="2312"/>
      <c r="BA346" s="2300"/>
      <c r="BB346" s="2300"/>
      <c r="BC346" s="2300"/>
      <c r="BD346" s="1991">
        <f>SUM(AH346:AJ346)</f>
        <v>0</v>
      </c>
      <c r="BE346" s="1991">
        <f>BD346-J346</f>
        <v>0</v>
      </c>
    </row>
    <row r="347" s="1986" customFormat="1" ht="36" customHeight="1" spans="1:57">
      <c r="A347" s="2228"/>
      <c r="B347" s="2229"/>
      <c r="C347" s="2230"/>
      <c r="D347" s="2227"/>
      <c r="E347" s="2229"/>
      <c r="F347" s="2240"/>
      <c r="G347" s="2230"/>
      <c r="H347" s="2217"/>
      <c r="I347" s="2252"/>
      <c r="J347" s="2247"/>
      <c r="K347" s="2248"/>
      <c r="L347" s="2249"/>
      <c r="M347" s="2250"/>
      <c r="N347" s="2251"/>
      <c r="O347" s="2251"/>
      <c r="P347" s="1477"/>
      <c r="Q347" s="2267"/>
      <c r="R347" s="2267"/>
      <c r="S347" s="1477"/>
      <c r="T347" s="1476"/>
      <c r="U347" s="2275"/>
      <c r="V347" s="2265"/>
      <c r="W347" s="2268"/>
      <c r="X347" s="2263"/>
      <c r="Y347" s="2279"/>
      <c r="Z347" s="2280"/>
      <c r="AA347" s="2281"/>
      <c r="AB347" s="2282"/>
      <c r="AC347" s="2281"/>
      <c r="AD347" s="2284"/>
      <c r="AE347" s="1478"/>
      <c r="AF347" s="1478"/>
      <c r="AG347" s="2267"/>
      <c r="AH347" s="2299"/>
      <c r="AI347" s="2299"/>
      <c r="AJ347" s="2225"/>
      <c r="AK347" s="2206"/>
      <c r="AL347" s="2225"/>
      <c r="AM347" s="2225"/>
      <c r="AN347" s="2206"/>
      <c r="AO347" s="2206"/>
      <c r="AP347" s="2206"/>
      <c r="AQ347" s="2206"/>
      <c r="AR347" s="2206"/>
      <c r="AS347" s="2312"/>
      <c r="AT347" s="2312"/>
      <c r="AU347" s="2312"/>
      <c r="AV347" s="2312"/>
      <c r="AW347" s="2225"/>
      <c r="AX347" s="2225"/>
      <c r="AY347" s="2225"/>
      <c r="AZ347" s="2312"/>
      <c r="BA347" s="2300"/>
      <c r="BB347" s="2300"/>
      <c r="BC347" s="2300"/>
      <c r="BD347" s="1991">
        <f>SUM(AH347:AJ347)</f>
        <v>0</v>
      </c>
      <c r="BE347" s="1991">
        <f>BD347-J347</f>
        <v>0</v>
      </c>
    </row>
    <row r="348" s="1986" customFormat="1" ht="36" customHeight="1" spans="1:57">
      <c r="A348" s="2228"/>
      <c r="B348" s="2229"/>
      <c r="C348" s="2230"/>
      <c r="D348" s="2227"/>
      <c r="E348" s="2229"/>
      <c r="F348" s="2241"/>
      <c r="G348" s="2168"/>
      <c r="H348" s="2217"/>
      <c r="I348" s="2217"/>
      <c r="J348" s="2247"/>
      <c r="K348" s="2217"/>
      <c r="L348" s="2217"/>
      <c r="M348" s="2263"/>
      <c r="N348" s="2264"/>
      <c r="O348" s="2264"/>
      <c r="P348" s="2265"/>
      <c r="Q348" s="2267"/>
      <c r="R348" s="2267"/>
      <c r="S348" s="2276"/>
      <c r="T348" s="2276"/>
      <c r="U348" s="2277"/>
      <c r="V348" s="2265"/>
      <c r="W348" s="2268"/>
      <c r="X348" s="2263"/>
      <c r="Y348" s="2291"/>
      <c r="Z348" s="2280"/>
      <c r="AA348" s="2281"/>
      <c r="AB348" s="2282"/>
      <c r="AC348" s="2281"/>
      <c r="AD348" s="2284"/>
      <c r="AE348" s="2265"/>
      <c r="AF348" s="2265"/>
      <c r="AG348" s="2267"/>
      <c r="AH348" s="2225"/>
      <c r="AI348" s="2225"/>
      <c r="AJ348" s="2225"/>
      <c r="AK348" s="2305"/>
      <c r="AL348" s="2225"/>
      <c r="AM348" s="2225"/>
      <c r="AN348" s="2305"/>
      <c r="AO348" s="2305"/>
      <c r="AP348" s="2305"/>
      <c r="AQ348" s="2305"/>
      <c r="AR348" s="2305"/>
      <c r="AS348" s="2305"/>
      <c r="AT348" s="2305"/>
      <c r="AU348" s="2305"/>
      <c r="AV348" s="2305"/>
      <c r="AW348" s="2225"/>
      <c r="AX348" s="2225"/>
      <c r="AY348" s="2225"/>
      <c r="AZ348" s="2320"/>
      <c r="BA348" s="2225"/>
      <c r="BB348" s="2225"/>
      <c r="BC348" s="2225"/>
      <c r="BD348" s="2094">
        <f>SUM(AH348:AJ348)</f>
        <v>0</v>
      </c>
      <c r="BE348" s="2094">
        <f>BD348-J348</f>
        <v>0</v>
      </c>
    </row>
    <row r="349" s="1986" customFormat="1" customHeight="1" spans="1:55">
      <c r="A349" s="2242"/>
      <c r="B349" s="1992"/>
      <c r="C349" s="2243"/>
      <c r="D349" s="1993"/>
      <c r="E349" s="1992"/>
      <c r="F349" s="2244"/>
      <c r="G349" s="2245"/>
      <c r="I349" s="2004" t="s">
        <v>1441</v>
      </c>
      <c r="J349" s="2004">
        <f>SUM(J4:J348)</f>
        <v>458484</v>
      </c>
      <c r="N349" s="2266"/>
      <c r="O349" s="2266"/>
      <c r="P349" s="2244"/>
      <c r="Q349" s="2243"/>
      <c r="R349" s="2243"/>
      <c r="S349" s="1996"/>
      <c r="T349" s="1996"/>
      <c r="U349" s="1996"/>
      <c r="V349" s="2244"/>
      <c r="W349" s="1997"/>
      <c r="Y349" s="2292"/>
      <c r="Z349" s="2293">
        <f>SUM(Z4:Z348)*7.75</f>
        <v>10319420.576475</v>
      </c>
      <c r="AA349" s="2294"/>
      <c r="AB349" s="1999"/>
      <c r="AC349" s="1999"/>
      <c r="AD349" s="2295"/>
      <c r="AE349" s="2244"/>
      <c r="AF349" s="2244"/>
      <c r="AG349" s="2243"/>
      <c r="AH349" s="2004">
        <f t="shared" ref="AH349:BC349" si="116">SUM(AH4:AH348)</f>
        <v>384679</v>
      </c>
      <c r="AI349" s="2004">
        <f t="shared" si="116"/>
        <v>18648</v>
      </c>
      <c r="AJ349" s="2004">
        <f t="shared" si="116"/>
        <v>55157</v>
      </c>
      <c r="AK349" s="2306">
        <f t="shared" si="116"/>
        <v>0</v>
      </c>
      <c r="AL349" s="2004">
        <f t="shared" si="116"/>
        <v>385470</v>
      </c>
      <c r="AM349" s="2004">
        <f t="shared" si="116"/>
        <v>73200</v>
      </c>
      <c r="AN349" s="2306">
        <f t="shared" si="116"/>
        <v>0</v>
      </c>
      <c r="AO349" s="2306">
        <f t="shared" si="116"/>
        <v>0</v>
      </c>
      <c r="AP349" s="2306">
        <f t="shared" si="116"/>
        <v>0</v>
      </c>
      <c r="AQ349" s="2306">
        <f t="shared" si="116"/>
        <v>0</v>
      </c>
      <c r="AR349" s="2306">
        <f t="shared" si="116"/>
        <v>0</v>
      </c>
      <c r="AS349" s="2306">
        <f t="shared" si="116"/>
        <v>0</v>
      </c>
      <c r="AT349" s="2306">
        <f t="shared" si="116"/>
        <v>0</v>
      </c>
      <c r="AU349" s="2306">
        <f t="shared" si="116"/>
        <v>0</v>
      </c>
      <c r="AV349" s="2306">
        <f t="shared" si="116"/>
        <v>0</v>
      </c>
      <c r="AW349" s="2004">
        <f t="shared" si="116"/>
        <v>179943</v>
      </c>
      <c r="AX349" s="2004">
        <f t="shared" si="116"/>
        <v>15702</v>
      </c>
      <c r="AY349" s="2004">
        <f t="shared" si="116"/>
        <v>46055</v>
      </c>
      <c r="AZ349" s="2306">
        <f t="shared" si="116"/>
        <v>0</v>
      </c>
      <c r="BA349" s="2004">
        <f t="shared" si="116"/>
        <v>202540</v>
      </c>
      <c r="BB349" s="2004">
        <f t="shared" si="116"/>
        <v>3066</v>
      </c>
      <c r="BC349" s="2004">
        <f t="shared" si="116"/>
        <v>8190</v>
      </c>
    </row>
    <row r="350" s="1986" customFormat="1" customHeight="1" spans="1:55">
      <c r="A350" s="2242" t="s">
        <v>1442</v>
      </c>
      <c r="B350" s="1992"/>
      <c r="C350" s="2243"/>
      <c r="D350" s="1993"/>
      <c r="E350" s="1992"/>
      <c r="F350" s="2244"/>
      <c r="G350" s="2245"/>
      <c r="I350" s="2004" t="s">
        <v>1441</v>
      </c>
      <c r="J350" s="1986">
        <v>4608</v>
      </c>
      <c r="N350" s="2266"/>
      <c r="O350" s="2266"/>
      <c r="P350" s="2244"/>
      <c r="Q350" s="2243"/>
      <c r="R350" s="2243"/>
      <c r="S350" s="1996"/>
      <c r="T350" s="1996"/>
      <c r="U350" s="1996"/>
      <c r="V350" s="2244"/>
      <c r="W350" s="1997"/>
      <c r="Y350" s="2292"/>
      <c r="Z350" s="1998"/>
      <c r="AA350" s="2294"/>
      <c r="AB350" s="1999"/>
      <c r="AC350" s="1999"/>
      <c r="AD350" s="2295"/>
      <c r="AE350" s="2244"/>
      <c r="AF350" s="2244"/>
      <c r="AG350" s="2243"/>
      <c r="AH350" s="2001">
        <f>2528-200</f>
        <v>2328</v>
      </c>
      <c r="AI350" s="2001">
        <f>1040-200</f>
        <v>840</v>
      </c>
      <c r="AJ350" s="2001">
        <f>1040-200</f>
        <v>840</v>
      </c>
      <c r="AK350" s="2307"/>
      <c r="AL350" s="2001"/>
      <c r="AM350" s="2001"/>
      <c r="AN350" s="2307"/>
      <c r="AO350" s="2307"/>
      <c r="AP350" s="2307"/>
      <c r="AQ350" s="2307"/>
      <c r="AR350" s="2307"/>
      <c r="AS350" s="2307"/>
      <c r="AT350" s="2307"/>
      <c r="AU350" s="2307"/>
      <c r="AV350" s="2307"/>
      <c r="AW350" s="2001"/>
      <c r="AX350" s="2001"/>
      <c r="AY350" s="2001"/>
      <c r="AZ350" s="2307"/>
      <c r="BA350" s="2001"/>
      <c r="BB350" s="2001"/>
      <c r="BC350" s="2001"/>
    </row>
    <row r="351" s="1986" customFormat="1" customHeight="1" spans="1:55">
      <c r="A351" s="1991"/>
      <c r="B351" s="1992"/>
      <c r="D351" s="1993"/>
      <c r="E351" s="1992"/>
      <c r="F351" s="1992"/>
      <c r="G351" s="1990"/>
      <c r="N351" s="1994"/>
      <c r="O351" s="1995"/>
      <c r="P351" s="1992"/>
      <c r="S351" s="1996"/>
      <c r="T351" s="1996"/>
      <c r="U351" s="1996"/>
      <c r="V351" s="1992"/>
      <c r="W351" s="1997"/>
      <c r="Z351" s="1998"/>
      <c r="AA351" s="2294" t="s">
        <v>1443</v>
      </c>
      <c r="AB351" s="1999"/>
      <c r="AC351" s="1999"/>
      <c r="AD351" s="2000"/>
      <c r="AE351" s="1992"/>
      <c r="AF351" s="1992"/>
      <c r="AH351" s="2001"/>
      <c r="AI351" s="2001"/>
      <c r="AJ351" s="2001"/>
      <c r="AK351" s="2307"/>
      <c r="AL351" s="2001"/>
      <c r="AM351" s="2001"/>
      <c r="AN351" s="2307"/>
      <c r="AO351" s="2307"/>
      <c r="AP351" s="2307"/>
      <c r="AQ351" s="2307"/>
      <c r="AR351" s="2307"/>
      <c r="AS351" s="2307"/>
      <c r="AT351" s="2307"/>
      <c r="AU351" s="2307"/>
      <c r="AV351" s="2307"/>
      <c r="AW351" s="2001"/>
      <c r="AX351" s="2001"/>
      <c r="AY351" s="2001"/>
      <c r="AZ351" s="2307"/>
      <c r="BA351" s="2001"/>
      <c r="BB351" s="2001"/>
      <c r="BC351" s="2001"/>
    </row>
    <row r="352" customHeight="1" spans="10:56">
      <c r="J352" s="1986">
        <f>SUBTOTAL(9,J4:J351)</f>
        <v>921576</v>
      </c>
      <c r="W352" s="2278"/>
      <c r="Y352" s="1986">
        <f>SUBTOTAL(9,Y149:Y351)</f>
        <v>1033.1413</v>
      </c>
      <c r="Z352" s="1998">
        <f>SUBTOTAL(9,Z97:Z351)</f>
        <v>11101843.671075</v>
      </c>
      <c r="AA352" s="2296"/>
      <c r="AD352" s="2297"/>
      <c r="AE352" s="2298"/>
      <c r="BA352" s="1057"/>
      <c r="BB352" s="1057"/>
      <c r="BC352" s="1057"/>
      <c r="BD352" s="1057"/>
    </row>
    <row r="353" customHeight="1" spans="27:56">
      <c r="AA353" s="1998"/>
      <c r="BA353" s="1057"/>
      <c r="BB353" s="1057"/>
      <c r="BC353" s="1057"/>
      <c r="BD353" s="1057"/>
    </row>
    <row r="354" customHeight="1" spans="23:35">
      <c r="W354" s="1992"/>
      <c r="Z354" s="1996"/>
      <c r="AA354" s="1996"/>
      <c r="AB354" s="1996"/>
      <c r="AC354" s="1992"/>
      <c r="AD354" s="1997"/>
      <c r="AE354" s="1986"/>
      <c r="AF354" s="1986"/>
      <c r="AG354" s="1998"/>
      <c r="AH354" s="1998"/>
      <c r="AI354" s="1999"/>
    </row>
    <row r="355" customHeight="1" spans="12:35">
      <c r="L355" s="1992"/>
      <c r="M355" s="1992"/>
      <c r="W355" s="1992"/>
      <c r="Z355" s="1996"/>
      <c r="AA355" s="1996"/>
      <c r="AB355" s="1996"/>
      <c r="AC355" s="1992"/>
      <c r="AD355" s="1997"/>
      <c r="AE355" s="1986"/>
      <c r="AF355" s="1986"/>
      <c r="AG355" s="1998"/>
      <c r="AH355" s="1999"/>
      <c r="AI355" s="1999"/>
    </row>
    <row r="361" customHeight="1" spans="10:11">
      <c r="J361" s="1992"/>
      <c r="K361" s="1992"/>
    </row>
    <row r="362" customHeight="1" spans="8:9">
      <c r="H362" s="1992"/>
      <c r="I362" s="1992"/>
    </row>
    <row r="366" customHeight="1" spans="5:9">
      <c r="E366" s="1992" t="s">
        <v>1444</v>
      </c>
      <c r="H366" s="1992"/>
      <c r="I366" s="1992"/>
    </row>
    <row r="371" customHeight="1" spans="8:9">
      <c r="H371" s="1992"/>
      <c r="I371" s="1992"/>
    </row>
  </sheetData>
  <sheetProtection selectLockedCells="1" autoFilter="0"/>
  <autoFilter xmlns:etc="http://www.wps.cn/officeDocument/2017/etCustomData" ref="A3:XFD351" etc:filterBottomFollowUsedRange="0">
    <extLst/>
  </autoFilter>
  <mergeCells count="8">
    <mergeCell ref="A1:C1"/>
    <mergeCell ref="AH2:AJ2"/>
    <mergeCell ref="AK2:AM2"/>
    <mergeCell ref="AN2:AP2"/>
    <mergeCell ref="AQ2:AS2"/>
    <mergeCell ref="AT2:AV2"/>
    <mergeCell ref="AW2:AY2"/>
    <mergeCell ref="BA2:BC2"/>
  </mergeCells>
  <conditionalFormatting sqref="T62">
    <cfRule type="containsText" dxfId="0" priority="365" operator="between" text="欠">
      <formula>NOT(ISERROR(SEARCH("欠",T62)))</formula>
    </cfRule>
  </conditionalFormatting>
  <conditionalFormatting sqref="T79">
    <cfRule type="containsText" dxfId="0" priority="359" operator="between" text="欠">
      <formula>NOT(ISERROR(SEARCH("欠",T79)))</formula>
    </cfRule>
  </conditionalFormatting>
  <conditionalFormatting sqref="T81">
    <cfRule type="containsText" dxfId="0" priority="367" operator="between" text="欠">
      <formula>NOT(ISERROR(SEARCH("欠",T81)))</formula>
    </cfRule>
  </conditionalFormatting>
  <conditionalFormatting sqref="S82">
    <cfRule type="containsText" dxfId="0" priority="363" operator="between" text="欠">
      <formula>NOT(ISERROR(SEARCH("欠",S82)))</formula>
    </cfRule>
  </conditionalFormatting>
  <conditionalFormatting sqref="T82">
    <cfRule type="containsText" dxfId="0" priority="362" operator="between" text="欠">
      <formula>NOT(ISERROR(SEARCH("欠",T82)))</formula>
    </cfRule>
  </conditionalFormatting>
  <conditionalFormatting sqref="U82">
    <cfRule type="containsText" dxfId="0" priority="361" operator="between" text="欠">
      <formula>NOT(ISERROR(SEARCH("欠",U82)))</formula>
    </cfRule>
  </conditionalFormatting>
  <conditionalFormatting sqref="T83">
    <cfRule type="containsText" dxfId="0" priority="355" operator="between" text="欠">
      <formula>NOT(ISERROR(SEARCH("欠",T83)))</formula>
    </cfRule>
  </conditionalFormatting>
  <conditionalFormatting sqref="T84">
    <cfRule type="containsText" dxfId="0" priority="358" operator="between" text="欠">
      <formula>NOT(ISERROR(SEARCH("欠",T84)))</formula>
    </cfRule>
  </conditionalFormatting>
  <conditionalFormatting sqref="T92">
    <cfRule type="containsText" dxfId="0" priority="354" operator="between" text="欠">
      <formula>NOT(ISERROR(SEARCH("欠",T92)))</formula>
    </cfRule>
  </conditionalFormatting>
  <conditionalFormatting sqref="T103">
    <cfRule type="containsText" dxfId="0" priority="292" operator="between" text="欠">
      <formula>NOT(ISERROR(SEARCH("欠",T103)))</formula>
    </cfRule>
  </conditionalFormatting>
  <conditionalFormatting sqref="T104">
    <cfRule type="containsText" dxfId="0" priority="291" operator="between" text="欠">
      <formula>NOT(ISERROR(SEARCH("欠",T104)))</formula>
    </cfRule>
  </conditionalFormatting>
  <conditionalFormatting sqref="T105">
    <cfRule type="containsText" dxfId="0" priority="290" operator="between" text="欠">
      <formula>NOT(ISERROR(SEARCH("欠",T105)))</formula>
    </cfRule>
  </conditionalFormatting>
  <conditionalFormatting sqref="T106">
    <cfRule type="containsText" dxfId="0" priority="289" operator="between" text="欠">
      <formula>NOT(ISERROR(SEARCH("欠",T106)))</formula>
    </cfRule>
  </conditionalFormatting>
  <conditionalFormatting sqref="T107">
    <cfRule type="containsText" dxfId="0" priority="288" operator="between" text="欠">
      <formula>NOT(ISERROR(SEARCH("欠",T107)))</formula>
    </cfRule>
  </conditionalFormatting>
  <conditionalFormatting sqref="T108">
    <cfRule type="containsText" dxfId="0" priority="287" operator="between" text="欠">
      <formula>NOT(ISERROR(SEARCH("欠",T108)))</formula>
    </cfRule>
  </conditionalFormatting>
  <conditionalFormatting sqref="T109">
    <cfRule type="containsText" dxfId="0" priority="286" operator="between" text="欠">
      <formula>NOT(ISERROR(SEARCH("欠",T109)))</formula>
    </cfRule>
  </conditionalFormatting>
  <conditionalFormatting sqref="T110">
    <cfRule type="containsText" dxfId="0" priority="285" operator="between" text="欠">
      <formula>NOT(ISERROR(SEARCH("欠",T110)))</formula>
    </cfRule>
  </conditionalFormatting>
  <conditionalFormatting sqref="T111">
    <cfRule type="containsText" dxfId="0" priority="284" operator="between" text="欠">
      <formula>NOT(ISERROR(SEARCH("欠",T111)))</formula>
    </cfRule>
  </conditionalFormatting>
  <conditionalFormatting sqref="T112">
    <cfRule type="containsText" dxfId="0" priority="283" operator="between" text="欠">
      <formula>NOT(ISERROR(SEARCH("欠",T112)))</formula>
    </cfRule>
  </conditionalFormatting>
  <conditionalFormatting sqref="T113">
    <cfRule type="containsText" dxfId="0" priority="282" operator="between" text="欠">
      <formula>NOT(ISERROR(SEARCH("欠",T113)))</formula>
    </cfRule>
  </conditionalFormatting>
  <conditionalFormatting sqref="AD126">
    <cfRule type="containsText" dxfId="0" priority="275" operator="between" text="欠">
      <formula>NOT(ISERROR(SEARCH("欠",AD126)))</formula>
    </cfRule>
  </conditionalFormatting>
  <conditionalFormatting sqref="AD127">
    <cfRule type="containsText" dxfId="0" priority="274" operator="between" text="欠">
      <formula>NOT(ISERROR(SEARCH("欠",AD127)))</formula>
    </cfRule>
  </conditionalFormatting>
  <conditionalFormatting sqref="AD139">
    <cfRule type="containsText" dxfId="0" priority="273" operator="between" text="欠">
      <formula>NOT(ISERROR(SEARCH("欠",AD139)))</formula>
    </cfRule>
  </conditionalFormatting>
  <conditionalFormatting sqref="AD143">
    <cfRule type="containsText" dxfId="0" priority="272" operator="between" text="欠">
      <formula>NOT(ISERROR(SEARCH("欠",AD143)))</formula>
    </cfRule>
  </conditionalFormatting>
  <conditionalFormatting sqref="P144">
    <cfRule type="containsText" dxfId="0" priority="271" operator="between" text="欠">
      <formula>NOT(ISERROR(SEARCH("欠",P144)))</formula>
    </cfRule>
  </conditionalFormatting>
  <conditionalFormatting sqref="U147">
    <cfRule type="containsText" dxfId="0" priority="223" operator="between" text="欠">
      <formula>NOT(ISERROR(SEARCH("欠",U147)))</formula>
    </cfRule>
  </conditionalFormatting>
  <conditionalFormatting sqref="T149">
    <cfRule type="containsText" dxfId="0" priority="233" operator="between" text="欠">
      <formula>NOT(ISERROR(SEARCH("欠",T149)))</formula>
    </cfRule>
  </conditionalFormatting>
  <conditionalFormatting sqref="T150">
    <cfRule type="containsText" dxfId="0" priority="232" operator="between" text="欠">
      <formula>NOT(ISERROR(SEARCH("欠",T150)))</formula>
    </cfRule>
  </conditionalFormatting>
  <conditionalFormatting sqref="S155">
    <cfRule type="containsText" dxfId="0" priority="217" operator="between" text="欠">
      <formula>NOT(ISERROR(SEARCH("欠",S155)))</formula>
    </cfRule>
  </conditionalFormatting>
  <conditionalFormatting sqref="T155">
    <cfRule type="containsText" dxfId="0" priority="212" operator="between" text="欠">
      <formula>NOT(ISERROR(SEARCH("欠",T155)))</formula>
    </cfRule>
  </conditionalFormatting>
  <conditionalFormatting sqref="U155">
    <cfRule type="containsText" dxfId="0" priority="207" operator="between" text="欠">
      <formula>NOT(ISERROR(SEARCH("欠",U155)))</formula>
    </cfRule>
  </conditionalFormatting>
  <conditionalFormatting sqref="S156">
    <cfRule type="containsText" dxfId="0" priority="216" operator="between" text="欠">
      <formula>NOT(ISERROR(SEARCH("欠",S156)))</formula>
    </cfRule>
  </conditionalFormatting>
  <conditionalFormatting sqref="T156">
    <cfRule type="containsText" dxfId="0" priority="211" operator="between" text="欠">
      <formula>NOT(ISERROR(SEARCH("欠",T156)))</formula>
    </cfRule>
  </conditionalFormatting>
  <conditionalFormatting sqref="U156">
    <cfRule type="containsText" dxfId="0" priority="206" operator="between" text="欠">
      <formula>NOT(ISERROR(SEARCH("欠",U156)))</formula>
    </cfRule>
  </conditionalFormatting>
  <conditionalFormatting sqref="S157">
    <cfRule type="containsText" dxfId="0" priority="215" operator="between" text="欠">
      <formula>NOT(ISERROR(SEARCH("欠",S157)))</formula>
    </cfRule>
  </conditionalFormatting>
  <conditionalFormatting sqref="T157">
    <cfRule type="containsText" dxfId="0" priority="210" operator="between" text="欠">
      <formula>NOT(ISERROR(SEARCH("欠",T157)))</formula>
    </cfRule>
  </conditionalFormatting>
  <conditionalFormatting sqref="U157">
    <cfRule type="containsText" dxfId="0" priority="205" operator="between" text="欠">
      <formula>NOT(ISERROR(SEARCH("欠",U157)))</formula>
    </cfRule>
  </conditionalFormatting>
  <conditionalFormatting sqref="S158">
    <cfRule type="containsText" dxfId="0" priority="214" operator="between" text="欠">
      <formula>NOT(ISERROR(SEARCH("欠",S158)))</formula>
    </cfRule>
  </conditionalFormatting>
  <conditionalFormatting sqref="T158">
    <cfRule type="containsText" dxfId="0" priority="209" operator="between" text="欠">
      <formula>NOT(ISERROR(SEARCH("欠",T158)))</formula>
    </cfRule>
  </conditionalFormatting>
  <conditionalFormatting sqref="U158">
    <cfRule type="containsText" dxfId="0" priority="204" operator="between" text="欠">
      <formula>NOT(ISERROR(SEARCH("欠",U158)))</formula>
    </cfRule>
  </conditionalFormatting>
  <conditionalFormatting sqref="S159">
    <cfRule type="containsText" dxfId="0" priority="213" operator="between" text="欠">
      <formula>NOT(ISERROR(SEARCH("欠",S159)))</formula>
    </cfRule>
  </conditionalFormatting>
  <conditionalFormatting sqref="T159">
    <cfRule type="containsText" dxfId="0" priority="208" operator="between" text="欠">
      <formula>NOT(ISERROR(SEARCH("欠",T159)))</formula>
    </cfRule>
  </conditionalFormatting>
  <conditionalFormatting sqref="U159">
    <cfRule type="containsText" dxfId="0" priority="203" operator="between" text="欠">
      <formula>NOT(ISERROR(SEARCH("欠",U159)))</formula>
    </cfRule>
  </conditionalFormatting>
  <conditionalFormatting sqref="V160">
    <cfRule type="containsText" dxfId="0" priority="222" operator="between" text="欠">
      <formula>NOT(ISERROR(SEARCH("欠",V160)))</formula>
    </cfRule>
  </conditionalFormatting>
  <conditionalFormatting sqref="S163">
    <cfRule type="containsText" dxfId="0" priority="168" operator="between" text="欠">
      <formula>NOT(ISERROR(SEARCH("欠",S163)))</formula>
    </cfRule>
  </conditionalFormatting>
  <conditionalFormatting sqref="T163">
    <cfRule type="containsText" dxfId="0" priority="166" operator="between" text="欠">
      <formula>NOT(ISERROR(SEARCH("欠",T163)))</formula>
    </cfRule>
  </conditionalFormatting>
  <conditionalFormatting sqref="U163">
    <cfRule type="containsText" dxfId="0" priority="164" operator="between" text="欠">
      <formula>NOT(ISERROR(SEARCH("欠",U163)))</formula>
    </cfRule>
  </conditionalFormatting>
  <conditionalFormatting sqref="S164">
    <cfRule type="containsText" dxfId="0" priority="169" operator="between" text="欠">
      <formula>NOT(ISERROR(SEARCH("欠",S164)))</formula>
    </cfRule>
  </conditionalFormatting>
  <conditionalFormatting sqref="T164">
    <cfRule type="containsText" dxfId="0" priority="167" operator="between" text="欠">
      <formula>NOT(ISERROR(SEARCH("欠",T164)))</formula>
    </cfRule>
  </conditionalFormatting>
  <conditionalFormatting sqref="U164">
    <cfRule type="containsText" dxfId="0" priority="165" operator="between" text="欠">
      <formula>NOT(ISERROR(SEARCH("欠",U164)))</formula>
    </cfRule>
  </conditionalFormatting>
  <conditionalFormatting sqref="T165">
    <cfRule type="containsText" dxfId="0" priority="201" operator="between" text="欠">
      <formula>NOT(ISERROR(SEARCH("欠",T165)))</formula>
    </cfRule>
  </conditionalFormatting>
  <conditionalFormatting sqref="U165">
    <cfRule type="containsText" dxfId="0" priority="162" operator="between" text="欠">
      <formula>NOT(ISERROR(SEARCH("欠",U165)))</formula>
    </cfRule>
  </conditionalFormatting>
  <conditionalFormatting sqref="T176">
    <cfRule type="containsText" dxfId="0" priority="185" operator="between" text="欠">
      <formula>NOT(ISERROR(SEARCH("欠",T176)))</formula>
    </cfRule>
  </conditionalFormatting>
  <conditionalFormatting sqref="T177">
    <cfRule type="containsText" dxfId="0" priority="184" operator="between" text="欠">
      <formula>NOT(ISERROR(SEARCH("欠",T177)))</formula>
    </cfRule>
  </conditionalFormatting>
  <conditionalFormatting sqref="S184">
    <cfRule type="containsText" dxfId="0" priority="172" operator="between" text="欠">
      <formula>NOT(ISERROR(SEARCH("欠",S184)))</formula>
    </cfRule>
  </conditionalFormatting>
  <conditionalFormatting sqref="T184">
    <cfRule type="containsText" dxfId="0" priority="171" operator="between" text="欠">
      <formula>NOT(ISERROR(SEARCH("欠",T184)))</formula>
    </cfRule>
  </conditionalFormatting>
  <conditionalFormatting sqref="U184">
    <cfRule type="containsText" dxfId="0" priority="170" operator="between" text="欠">
      <formula>NOT(ISERROR(SEARCH("欠",U184)))</formula>
    </cfRule>
  </conditionalFormatting>
  <conditionalFormatting sqref="U186">
    <cfRule type="containsText" dxfId="0" priority="117" operator="between" text="欠">
      <formula>NOT(ISERROR(SEARCH("欠",U186)))</formula>
    </cfRule>
  </conditionalFormatting>
  <conditionalFormatting sqref="T188">
    <cfRule type="containsText" dxfId="0" priority="122" operator="between" text="欠">
      <formula>NOT(ISERROR(SEARCH("欠",T188)))</formula>
    </cfRule>
  </conditionalFormatting>
  <conditionalFormatting sqref="T189">
    <cfRule type="containsText" dxfId="0" priority="121" operator="between" text="欠">
      <formula>NOT(ISERROR(SEARCH("欠",T189)))</formula>
    </cfRule>
  </conditionalFormatting>
  <conditionalFormatting sqref="S198">
    <cfRule type="containsText" dxfId="0" priority="116" operator="between" text="欠">
      <formula>NOT(ISERROR(SEARCH("欠",S198)))</formula>
    </cfRule>
  </conditionalFormatting>
  <conditionalFormatting sqref="S202">
    <cfRule type="containsText" dxfId="0" priority="126" operator="between" text="欠">
      <formula>NOT(ISERROR(SEARCH("欠",S202)))</formula>
    </cfRule>
  </conditionalFormatting>
  <conditionalFormatting sqref="U202">
    <cfRule type="containsText" dxfId="0" priority="114" operator="between" text="欠">
      <formula>NOT(ISERROR(SEARCH("欠",U202)))</formula>
    </cfRule>
  </conditionalFormatting>
  <conditionalFormatting sqref="S203">
    <cfRule type="containsText" dxfId="0" priority="115" operator="between" text="欠">
      <formula>NOT(ISERROR(SEARCH("欠",S203)))</formula>
    </cfRule>
  </conditionalFormatting>
  <conditionalFormatting sqref="U203">
    <cfRule type="containsText" dxfId="0" priority="125" operator="between" text="欠">
      <formula>NOT(ISERROR(SEARCH("欠",U203)))</formula>
    </cfRule>
  </conditionalFormatting>
  <conditionalFormatting sqref="P240">
    <cfRule type="containsText" dxfId="0" priority="92" operator="between" text="欠">
      <formula>NOT(ISERROR(SEARCH("欠",P240)))</formula>
    </cfRule>
  </conditionalFormatting>
  <conditionalFormatting sqref="T240">
    <cfRule type="containsText" dxfId="0" priority="94" operator="between" text="欠">
      <formula>NOT(ISERROR(SEARCH("欠",T240)))</formula>
    </cfRule>
  </conditionalFormatting>
  <conditionalFormatting sqref="P248">
    <cfRule type="containsText" dxfId="0" priority="84" operator="between" text="欠">
      <formula>NOT(ISERROR(SEARCH("欠",P248)))</formula>
    </cfRule>
  </conditionalFormatting>
  <conditionalFormatting sqref="T248">
    <cfRule type="containsText" dxfId="0" priority="86" operator="between" text="欠">
      <formula>NOT(ISERROR(SEARCH("欠",T248)))</formula>
    </cfRule>
  </conditionalFormatting>
  <conditionalFormatting sqref="P250">
    <cfRule type="containsText" dxfId="0" priority="78" operator="between" text="欠">
      <formula>NOT(ISERROR(SEARCH("欠",P250)))</formula>
    </cfRule>
  </conditionalFormatting>
  <conditionalFormatting sqref="T250">
    <cfRule type="containsText" dxfId="0" priority="79" operator="between" text="欠">
      <formula>NOT(ISERROR(SEARCH("欠",T250)))</formula>
    </cfRule>
  </conditionalFormatting>
  <conditionalFormatting sqref="P272">
    <cfRule type="containsText" dxfId="0" priority="71" operator="between" text="欠">
      <formula>NOT(ISERROR(SEARCH("欠",P272)))</formula>
    </cfRule>
  </conditionalFormatting>
  <conditionalFormatting sqref="T272">
    <cfRule type="containsText" dxfId="0" priority="73" operator="between" text="欠">
      <formula>NOT(ISERROR(SEARCH("欠",T272)))</formula>
    </cfRule>
  </conditionalFormatting>
  <conditionalFormatting sqref="P273">
    <cfRule type="containsText" dxfId="0" priority="70" operator="between" text="欠">
      <formula>NOT(ISERROR(SEARCH("欠",P273)))</formula>
    </cfRule>
  </conditionalFormatting>
  <conditionalFormatting sqref="T273">
    <cfRule type="containsText" dxfId="0" priority="72" operator="between" text="欠">
      <formula>NOT(ISERROR(SEARCH("欠",T273)))</formula>
    </cfRule>
  </conditionalFormatting>
  <conditionalFormatting sqref="T283">
    <cfRule type="containsText" dxfId="0" priority="64" operator="between" text="欠">
      <formula>NOT(ISERROR(SEARCH("欠",T283)))</formula>
    </cfRule>
  </conditionalFormatting>
  <conditionalFormatting sqref="T284">
    <cfRule type="containsText" dxfId="0" priority="63" operator="between" text="欠">
      <formula>NOT(ISERROR(SEARCH("欠",T284)))</formula>
    </cfRule>
  </conditionalFormatting>
  <conditionalFormatting sqref="P313">
    <cfRule type="containsText" dxfId="0" priority="29" operator="between" text="欠">
      <formula>NOT(ISERROR(SEARCH("欠",P313)))</formula>
    </cfRule>
  </conditionalFormatting>
  <conditionalFormatting sqref="Q313">
    <cfRule type="containsText" dxfId="0" priority="48" operator="between" text="欠">
      <formula>NOT(ISERROR(SEARCH("欠",Q313)))</formula>
    </cfRule>
  </conditionalFormatting>
  <conditionalFormatting sqref="S313">
    <cfRule type="containsText" dxfId="0" priority="52" operator="between" text="欠">
      <formula>NOT(ISERROR(SEARCH("欠",S313)))</formula>
    </cfRule>
  </conditionalFormatting>
  <conditionalFormatting sqref="T313">
    <cfRule type="containsText" dxfId="0" priority="51" operator="between" text="欠">
      <formula>NOT(ISERROR(SEARCH("欠",T313)))</formula>
    </cfRule>
  </conditionalFormatting>
  <conditionalFormatting sqref="U313">
    <cfRule type="containsText" dxfId="0" priority="50" operator="between" text="欠">
      <formula>NOT(ISERROR(SEARCH("欠",U313)))</formula>
    </cfRule>
  </conditionalFormatting>
  <conditionalFormatting sqref="P314">
    <cfRule type="containsText" dxfId="0" priority="39" operator="between" text="欠">
      <formula>NOT(ISERROR(SEARCH("欠",P314)))</formula>
    </cfRule>
  </conditionalFormatting>
  <conditionalFormatting sqref="S314">
    <cfRule type="containsText" dxfId="0" priority="42" operator="between" text="欠">
      <formula>NOT(ISERROR(SEARCH("欠",S314)))</formula>
    </cfRule>
  </conditionalFormatting>
  <conditionalFormatting sqref="T314">
    <cfRule type="containsText" dxfId="0" priority="41" operator="between" text="欠">
      <formula>NOT(ISERROR(SEARCH("欠",T314)))</formula>
    </cfRule>
  </conditionalFormatting>
  <conditionalFormatting sqref="U314">
    <cfRule type="containsText" dxfId="0" priority="40" operator="between" text="欠">
      <formula>NOT(ISERROR(SEARCH("欠",U314)))</formula>
    </cfRule>
  </conditionalFormatting>
  <conditionalFormatting sqref="P322">
    <cfRule type="containsText" dxfId="0" priority="88" operator="between" text="欠">
      <formula>NOT(ISERROR(SEARCH("欠",P322)))</formula>
    </cfRule>
  </conditionalFormatting>
  <conditionalFormatting sqref="T322">
    <cfRule type="containsText" dxfId="0" priority="90" operator="between" text="欠">
      <formula>NOT(ISERROR(SEARCH("欠",T322)))</formula>
    </cfRule>
  </conditionalFormatting>
  <conditionalFormatting sqref="P326">
    <cfRule type="containsText" dxfId="0" priority="31" operator="between" text="欠">
      <formula>NOT(ISERROR(SEARCH("欠",P326)))</formula>
    </cfRule>
  </conditionalFormatting>
  <conditionalFormatting sqref="S326">
    <cfRule type="containsText" dxfId="0" priority="34" operator="between" text="欠">
      <formula>NOT(ISERROR(SEARCH("欠",S326)))</formula>
    </cfRule>
  </conditionalFormatting>
  <conditionalFormatting sqref="T326">
    <cfRule type="containsText" dxfId="0" priority="33" operator="between" text="欠">
      <formula>NOT(ISERROR(SEARCH("欠",T326)))</formula>
    </cfRule>
  </conditionalFormatting>
  <conditionalFormatting sqref="P339">
    <cfRule type="containsText" dxfId="0" priority="27" operator="between" text="欠">
      <formula>NOT(ISERROR(SEARCH("欠",P339)))</formula>
    </cfRule>
  </conditionalFormatting>
  <conditionalFormatting sqref="S339">
    <cfRule type="containsText" dxfId="0" priority="26" operator="between" text="欠">
      <formula>NOT(ISERROR(SEARCH("欠",S339)))</formula>
    </cfRule>
  </conditionalFormatting>
  <conditionalFormatting sqref="T339">
    <cfRule type="containsText" dxfId="0" priority="28" operator="between" text="欠">
      <formula>NOT(ISERROR(SEARCH("欠",T339)))</formula>
    </cfRule>
  </conditionalFormatting>
  <conditionalFormatting sqref="U339">
    <cfRule type="containsText" dxfId="0" priority="25" operator="between" text="欠">
      <formula>NOT(ISERROR(SEARCH("欠",U339)))</formula>
    </cfRule>
  </conditionalFormatting>
  <conditionalFormatting sqref="P340">
    <cfRule type="containsText" dxfId="0" priority="21" operator="between" text="欠">
      <formula>NOT(ISERROR(SEARCH("欠",P340)))</formula>
    </cfRule>
  </conditionalFormatting>
  <conditionalFormatting sqref="S340">
    <cfRule type="containsText" dxfId="0" priority="24" operator="between" text="欠">
      <formula>NOT(ISERROR(SEARCH("欠",S340)))</formula>
    </cfRule>
  </conditionalFormatting>
  <conditionalFormatting sqref="T340">
    <cfRule type="containsText" dxfId="0" priority="23" operator="between" text="欠">
      <formula>NOT(ISERROR(SEARCH("欠",T340)))</formula>
    </cfRule>
  </conditionalFormatting>
  <conditionalFormatting sqref="U340">
    <cfRule type="containsText" dxfId="0" priority="22" operator="between" text="欠">
      <formula>NOT(ISERROR(SEARCH("欠",U340)))</formula>
    </cfRule>
  </conditionalFormatting>
  <conditionalFormatting sqref="P341">
    <cfRule type="containsText" dxfId="0" priority="17" operator="between" text="欠">
      <formula>NOT(ISERROR(SEARCH("欠",P341)))</formula>
    </cfRule>
  </conditionalFormatting>
  <conditionalFormatting sqref="S341">
    <cfRule type="containsText" dxfId="0" priority="20" operator="between" text="欠">
      <formula>NOT(ISERROR(SEARCH("欠",S341)))</formula>
    </cfRule>
  </conditionalFormatting>
  <conditionalFormatting sqref="T341">
    <cfRule type="containsText" dxfId="0" priority="19" operator="between" text="欠">
      <formula>NOT(ISERROR(SEARCH("欠",T341)))</formula>
    </cfRule>
  </conditionalFormatting>
  <conditionalFormatting sqref="U341">
    <cfRule type="containsText" dxfId="0" priority="18" operator="between" text="欠">
      <formula>NOT(ISERROR(SEARCH("欠",U341)))</formula>
    </cfRule>
  </conditionalFormatting>
  <conditionalFormatting sqref="P342">
    <cfRule type="containsText" dxfId="0" priority="15" operator="between" text="欠">
      <formula>NOT(ISERROR(SEARCH("欠",P342)))</formula>
    </cfRule>
  </conditionalFormatting>
  <conditionalFormatting sqref="S342">
    <cfRule type="containsText" dxfId="0" priority="14" operator="between" text="欠">
      <formula>NOT(ISERROR(SEARCH("欠",S342)))</formula>
    </cfRule>
  </conditionalFormatting>
  <conditionalFormatting sqref="T342">
    <cfRule type="containsText" dxfId="0" priority="16" operator="between" text="欠">
      <formula>NOT(ISERROR(SEARCH("欠",T342)))</formula>
    </cfRule>
  </conditionalFormatting>
  <conditionalFormatting sqref="U342">
    <cfRule type="containsText" dxfId="0" priority="13" operator="between" text="欠">
      <formula>NOT(ISERROR(SEARCH("欠",U342)))</formula>
    </cfRule>
  </conditionalFormatting>
  <conditionalFormatting sqref="P343">
    <cfRule type="containsText" dxfId="0" priority="9" operator="between" text="欠">
      <formula>NOT(ISERROR(SEARCH("欠",P343)))</formula>
    </cfRule>
  </conditionalFormatting>
  <conditionalFormatting sqref="S343">
    <cfRule type="containsText" dxfId="0" priority="12" operator="between" text="欠">
      <formula>NOT(ISERROR(SEARCH("欠",S343)))</formula>
    </cfRule>
  </conditionalFormatting>
  <conditionalFormatting sqref="T343">
    <cfRule type="containsText" dxfId="0" priority="11" operator="between" text="欠">
      <formula>NOT(ISERROR(SEARCH("欠",T343)))</formula>
    </cfRule>
  </conditionalFormatting>
  <conditionalFormatting sqref="U343">
    <cfRule type="containsText" dxfId="0" priority="10" operator="between" text="欠">
      <formula>NOT(ISERROR(SEARCH("欠",U343)))</formula>
    </cfRule>
  </conditionalFormatting>
  <conditionalFormatting sqref="P344">
    <cfRule type="containsText" dxfId="0" priority="5" operator="between" text="欠">
      <formula>NOT(ISERROR(SEARCH("欠",P344)))</formula>
    </cfRule>
  </conditionalFormatting>
  <conditionalFormatting sqref="S344">
    <cfRule type="containsText" dxfId="0" priority="8" operator="between" text="欠">
      <formula>NOT(ISERROR(SEARCH("欠",S344)))</formula>
    </cfRule>
  </conditionalFormatting>
  <conditionalFormatting sqref="T344">
    <cfRule type="containsText" dxfId="0" priority="7" operator="between" text="欠">
      <formula>NOT(ISERROR(SEARCH("欠",T344)))</formula>
    </cfRule>
  </conditionalFormatting>
  <conditionalFormatting sqref="U344">
    <cfRule type="containsText" dxfId="0" priority="6" operator="between" text="欠">
      <formula>NOT(ISERROR(SEARCH("欠",U344)))</formula>
    </cfRule>
  </conditionalFormatting>
  <conditionalFormatting sqref="P345">
    <cfRule type="containsText" dxfId="0" priority="3" operator="between" text="欠">
      <formula>NOT(ISERROR(SEARCH("欠",P345)))</formula>
    </cfRule>
  </conditionalFormatting>
  <conditionalFormatting sqref="S345">
    <cfRule type="containsText" dxfId="0" priority="2" operator="between" text="欠">
      <formula>NOT(ISERROR(SEARCH("欠",S345)))</formula>
    </cfRule>
  </conditionalFormatting>
  <conditionalFormatting sqref="T345">
    <cfRule type="containsText" dxfId="0" priority="4" operator="between" text="欠">
      <formula>NOT(ISERROR(SEARCH("欠",T345)))</formula>
    </cfRule>
  </conditionalFormatting>
  <conditionalFormatting sqref="U345">
    <cfRule type="containsText" dxfId="0" priority="1" operator="between" text="欠">
      <formula>NOT(ISERROR(SEARCH("欠",U345)))</formula>
    </cfRule>
  </conditionalFormatting>
  <conditionalFormatting sqref="P283:P284">
    <cfRule type="containsText" dxfId="0" priority="62" operator="between" text="欠">
      <formula>NOT(ISERROR(SEARCH("欠",P283)))</formula>
    </cfRule>
  </conditionalFormatting>
  <conditionalFormatting sqref="P334:P335">
    <cfRule type="containsText" dxfId="0" priority="37" operator="between" text="欠">
      <formula>NOT(ISERROR(SEARCH("欠",P334)))</formula>
    </cfRule>
  </conditionalFormatting>
  <conditionalFormatting sqref="Q299:Q310">
    <cfRule type="containsText" dxfId="0" priority="43" operator="between" text="欠">
      <formula>NOT(ISERROR(SEARCH("欠",Q299)))</formula>
    </cfRule>
  </conditionalFormatting>
  <conditionalFormatting sqref="Q311:Q312">
    <cfRule type="containsText" dxfId="0" priority="30" operator="between" text="欠">
      <formula>NOT(ISERROR(SEARCH("欠",Q311)))</formula>
    </cfRule>
  </conditionalFormatting>
  <conditionalFormatting sqref="S149:S150">
    <cfRule type="containsText" dxfId="0" priority="235" operator="between" text="欠">
      <formula>NOT(ISERROR(SEARCH("欠",S149)))</formula>
    </cfRule>
  </conditionalFormatting>
  <conditionalFormatting sqref="S165:S168">
    <cfRule type="containsText" dxfId="0" priority="202" operator="between" text="欠">
      <formula>NOT(ISERROR(SEARCH("欠",S165)))</formula>
    </cfRule>
  </conditionalFormatting>
  <conditionalFormatting sqref="S169:S173">
    <cfRule type="containsText" dxfId="0" priority="196" operator="between" text="欠">
      <formula>NOT(ISERROR(SEARCH("欠",S169)))</formula>
    </cfRule>
  </conditionalFormatting>
  <conditionalFormatting sqref="S178:S183">
    <cfRule type="containsText" dxfId="0" priority="136" operator="between" text="欠">
      <formula>NOT(ISERROR(SEARCH("欠",S178)))</formula>
    </cfRule>
  </conditionalFormatting>
  <conditionalFormatting sqref="S199:S200">
    <cfRule type="containsText" dxfId="0" priority="118" operator="between" text="欠">
      <formula>NOT(ISERROR(SEARCH("欠",S199)))</formula>
    </cfRule>
  </conditionalFormatting>
  <conditionalFormatting sqref="S248:S249">
    <cfRule type="containsText" dxfId="0" priority="87" operator="between" text="欠">
      <formula>NOT(ISERROR(SEARCH("欠",S248)))</formula>
    </cfRule>
  </conditionalFormatting>
  <conditionalFormatting sqref="S250:S251">
    <cfRule type="containsText" dxfId="0" priority="77" operator="between" text="欠">
      <formula>NOT(ISERROR(SEARCH("欠",S250)))</formula>
    </cfRule>
  </conditionalFormatting>
  <conditionalFormatting sqref="S283:S284">
    <cfRule type="containsText" dxfId="0" priority="66" operator="between" text="欠">
      <formula>NOT(ISERROR(SEARCH("欠",S283)))</formula>
    </cfRule>
  </conditionalFormatting>
  <conditionalFormatting sqref="S334:S335">
    <cfRule type="containsText" dxfId="0" priority="36" operator="between" text="欠">
      <formula>NOT(ISERROR(SEARCH("欠",S334)))</formula>
    </cfRule>
  </conditionalFormatting>
  <conditionalFormatting sqref="T64:T65">
    <cfRule type="containsText" dxfId="0" priority="364" operator="between" text="欠">
      <formula>NOT(ISERROR(SEARCH("欠",T64)))</formula>
    </cfRule>
  </conditionalFormatting>
  <conditionalFormatting sqref="T85:T86">
    <cfRule type="containsText" dxfId="0" priority="357" operator="between" text="欠">
      <formula>NOT(ISERROR(SEARCH("欠",T85)))</formula>
    </cfRule>
  </conditionalFormatting>
  <conditionalFormatting sqref="T93:T95">
    <cfRule type="containsText" dxfId="0" priority="353" operator="between" text="欠">
      <formula>NOT(ISERROR(SEARCH("欠",T93)))</formula>
    </cfRule>
  </conditionalFormatting>
  <conditionalFormatting sqref="T166:T168">
    <cfRule type="containsText" dxfId="0" priority="191" operator="between" text="欠">
      <formula>NOT(ISERROR(SEARCH("欠",T166)))</formula>
    </cfRule>
  </conditionalFormatting>
  <conditionalFormatting sqref="T169:T173">
    <cfRule type="containsText" dxfId="0" priority="188" operator="between" text="欠">
      <formula>NOT(ISERROR(SEARCH("欠",T169)))</formula>
    </cfRule>
  </conditionalFormatting>
  <conditionalFormatting sqref="T174:T175">
    <cfRule type="containsText" dxfId="0" priority="186" operator="between" text="欠">
      <formula>NOT(ISERROR(SEARCH("欠",T174)))</formula>
    </cfRule>
  </conditionalFormatting>
  <conditionalFormatting sqref="T178:T183">
    <cfRule type="containsText" dxfId="0" priority="135" operator="between" text="欠">
      <formula>NOT(ISERROR(SEARCH("欠",T178)))</formula>
    </cfRule>
  </conditionalFormatting>
  <conditionalFormatting sqref="T202:T203">
    <cfRule type="containsText" dxfId="0" priority="127" operator="between" text="欠">
      <formula>NOT(ISERROR(SEARCH("欠",T202)))</formula>
    </cfRule>
  </conditionalFormatting>
  <conditionalFormatting sqref="T334:T335">
    <cfRule type="containsText" dxfId="0" priority="38" operator="between" text="欠">
      <formula>NOT(ISERROR(SEARCH("欠",T334)))</formula>
    </cfRule>
  </conditionalFormatting>
  <conditionalFormatting sqref="U126:U127">
    <cfRule type="containsText" dxfId="0" priority="279" operator="between" text="欠">
      <formula>NOT(ISERROR(SEARCH("欠",U126)))</formula>
    </cfRule>
  </conditionalFormatting>
  <conditionalFormatting sqref="U149:U150">
    <cfRule type="containsText" dxfId="0" priority="231" operator="between" text="欠">
      <formula>NOT(ISERROR(SEARCH("欠",U149)))</formula>
    </cfRule>
  </conditionalFormatting>
  <conditionalFormatting sqref="U166:U168">
    <cfRule type="containsText" dxfId="0" priority="137" operator="between" text="欠">
      <formula>NOT(ISERROR(SEARCH("欠",U166)))</formula>
    </cfRule>
  </conditionalFormatting>
  <conditionalFormatting sqref="U169:U173">
    <cfRule type="containsText" dxfId="0" priority="180" operator="between" text="欠">
      <formula>NOT(ISERROR(SEARCH("欠",U169)))</formula>
    </cfRule>
  </conditionalFormatting>
  <conditionalFormatting sqref="U174:U175">
    <cfRule type="containsText" dxfId="0" priority="159" operator="between" text="欠">
      <formula>NOT(ISERROR(SEARCH("欠",U174)))</formula>
    </cfRule>
  </conditionalFormatting>
  <conditionalFormatting sqref="U176:U177">
    <cfRule type="containsText" dxfId="0" priority="177" operator="between" text="欠">
      <formula>NOT(ISERROR(SEARCH("欠",U176)))</formula>
    </cfRule>
  </conditionalFormatting>
  <conditionalFormatting sqref="U178:U183">
    <cfRule type="containsText" dxfId="0" priority="134" operator="between" text="欠">
      <formula>NOT(ISERROR(SEARCH("欠",U178)))</formula>
    </cfRule>
  </conditionalFormatting>
  <conditionalFormatting sqref="U226:U228">
    <cfRule type="containsText" dxfId="0" priority="107" operator="between" text="欠">
      <formula>NOT(ISERROR(SEARCH("欠",U226)))</formula>
    </cfRule>
  </conditionalFormatting>
  <conditionalFormatting sqref="U248:U249">
    <cfRule type="containsText" dxfId="0" priority="85" operator="between" text="欠">
      <formula>NOT(ISERROR(SEARCH("欠",U248)))</formula>
    </cfRule>
  </conditionalFormatting>
  <conditionalFormatting sqref="U250:U251">
    <cfRule type="containsText" dxfId="0" priority="76" operator="between" text="欠">
      <formula>NOT(ISERROR(SEARCH("欠",U250)))</formula>
    </cfRule>
  </conditionalFormatting>
  <conditionalFormatting sqref="U272:U275">
    <cfRule type="containsText" dxfId="0" priority="69" operator="between" text="欠">
      <formula>NOT(ISERROR(SEARCH("欠",U272)))</formula>
    </cfRule>
  </conditionalFormatting>
  <conditionalFormatting sqref="U277:U280">
    <cfRule type="containsText" dxfId="0" priority="58" operator="between" text="欠">
      <formula>NOT(ISERROR(SEARCH("欠",U277)))</formula>
    </cfRule>
  </conditionalFormatting>
  <conditionalFormatting sqref="U283:U284">
    <cfRule type="containsText" dxfId="0" priority="60" operator="between" text="欠">
      <formula>NOT(ISERROR(SEARCH("欠",U283)))</formula>
    </cfRule>
  </conditionalFormatting>
  <conditionalFormatting sqref="U334:U335">
    <cfRule type="containsText" dxfId="0" priority="35" operator="between" text="欠">
      <formula>NOT(ISERROR(SEARCH("欠",U334)))</formula>
    </cfRule>
  </conditionalFormatting>
  <conditionalFormatting sqref="V133:V134">
    <cfRule type="containsText" dxfId="0" priority="280" operator="between" text="欠">
      <formula>NOT(ISERROR(SEARCH("欠",V133)))</formula>
    </cfRule>
  </conditionalFormatting>
  <conditionalFormatting sqref="AD146:AD148">
    <cfRule type="containsText" dxfId="0" priority="252" operator="between" text="欠">
      <formula>NOT(ISERROR(SEARCH("欠",AD146)))</formula>
    </cfRule>
  </conditionalFormatting>
  <conditionalFormatting sqref="S4:U60 S66:U77 S63:U63 S96 U96">
    <cfRule type="containsText" dxfId="0" priority="370" operator="between" text="欠">
      <formula>NOT(ISERROR(SEARCH("欠",S4)))</formula>
    </cfRule>
  </conditionalFormatting>
  <conditionalFormatting sqref="S62 U80:U81 U64:U65 S64:S65 U62 S61:U61">
    <cfRule type="containsText" dxfId="0" priority="366" operator="between" text="欠">
      <formula>NOT(ISERROR(SEARCH("欠",S61)))</formula>
    </cfRule>
  </conditionalFormatting>
  <conditionalFormatting sqref="S78:U78 S83:S95 S151:S154 S160 S147 U92:U95 S135:S138 S115:S132 U79 U83:U87 S140:S145 S97:S110 S79">
    <cfRule type="containsText" dxfId="0" priority="360" operator="between" text="欠">
      <formula>NOT(ISERROR(SEARCH("欠",S78)))</formula>
    </cfRule>
  </conditionalFormatting>
  <conditionalFormatting sqref="S80:T80 S81">
    <cfRule type="containsText" dxfId="0" priority="368" operator="between" text="欠">
      <formula>NOT(ISERROR(SEARCH("欠",S80)))</formula>
    </cfRule>
  </conditionalFormatting>
  <conditionalFormatting sqref="T87:T91 T135:T141 T143 T115:T132 T146:T148">
    <cfRule type="containsText" dxfId="0" priority="356" operator="between" text="欠">
      <formula>NOT(ISERROR(SEARCH("欠",T87)))</formula>
    </cfRule>
  </conditionalFormatting>
  <conditionalFormatting sqref="U88:U91 U135:U141 U115:U125 U128:U132 U143">
    <cfRule type="containsText" dxfId="0" priority="352" operator="between" text="欠">
      <formula>NOT(ISERROR(SEARCH("欠",U88)))</formula>
    </cfRule>
  </conditionalFormatting>
  <conditionalFormatting sqref="T96:T102 T142">
    <cfRule type="containsText" dxfId="0" priority="350" operator="between" text="欠">
      <formula>NOT(ISERROR(SEARCH("欠",T96)))</formula>
    </cfRule>
  </conditionalFormatting>
  <conditionalFormatting sqref="U97:U114 U133:U134 U142">
    <cfRule type="containsText" dxfId="0" priority="351" operator="between" text="欠">
      <formula>NOT(ISERROR(SEARCH("欠",U97)))</formula>
    </cfRule>
  </conditionalFormatting>
  <conditionalFormatting sqref="T114 T133:T134">
    <cfRule type="containsText" dxfId="0" priority="281" operator="between" text="欠">
      <formula>NOT(ISERROR(SEARCH("欠",T114)))</formula>
    </cfRule>
  </conditionalFormatting>
  <conditionalFormatting sqref="T160 T144:T145 T151:T154">
    <cfRule type="containsText" dxfId="0" priority="277" operator="between" text="欠">
      <formula>NOT(ISERROR(SEARCH("欠",T144)))</formula>
    </cfRule>
  </conditionalFormatting>
  <conditionalFormatting sqref="U151:U154 U144:U145">
    <cfRule type="containsText" dxfId="0" priority="276" operator="between" text="欠">
      <formula>NOT(ISERROR(SEARCH("欠",U144)))</formula>
    </cfRule>
  </conditionalFormatting>
  <conditionalFormatting sqref="S148 S146">
    <cfRule type="containsText" dxfId="0" priority="224" operator="between" text="欠">
      <formula>NOT(ISERROR(SEARCH("欠",S146)))</formula>
    </cfRule>
  </conditionalFormatting>
  <conditionalFormatting sqref="U160:U162 U148 U146 U185 U346:U347">
    <cfRule type="containsText" dxfId="0" priority="266" operator="between" text="欠">
      <formula>NOT(ISERROR(SEARCH("欠",U146)))</formula>
    </cfRule>
  </conditionalFormatting>
  <conditionalFormatting sqref="P161:P162 P346:P347">
    <cfRule type="containsText" dxfId="0" priority="253" operator="between" text="欠">
      <formula>NOT(ISERROR(SEARCH("欠",P161)))</formula>
    </cfRule>
  </conditionalFormatting>
  <conditionalFormatting sqref="S161:S162 S185 S346:S347">
    <cfRule type="containsText" dxfId="0" priority="259" operator="between" text="欠">
      <formula>NOT(ISERROR(SEARCH("欠",S161)))</formula>
    </cfRule>
  </conditionalFormatting>
  <conditionalFormatting sqref="T161:T162 T185 T346:T347">
    <cfRule type="containsText" dxfId="0" priority="263" operator="between" text="欠">
      <formula>NOT(ISERROR(SEARCH("欠",T161)))</formula>
    </cfRule>
  </conditionalFormatting>
  <conditionalFormatting sqref="S174:S177 S195:S197 S187 S193">
    <cfRule type="containsText" dxfId="0" priority="160" operator="between" text="欠">
      <formula>NOT(ISERROR(SEARCH("欠",S174)))</formula>
    </cfRule>
  </conditionalFormatting>
  <conditionalFormatting sqref="S186 S190:S192">
    <cfRule type="containsText" dxfId="0" priority="157" operator="between" text="欠">
      <formula>NOT(ISERROR(SEARCH("欠",S186)))</formula>
    </cfRule>
  </conditionalFormatting>
  <conditionalFormatting sqref="T186:T187 T190:T200">
    <cfRule type="containsText" dxfId="0" priority="158" operator="between" text="欠">
      <formula>NOT(ISERROR(SEARCH("欠",T186)))</formula>
    </cfRule>
  </conditionalFormatting>
  <conditionalFormatting sqref="U195:U200 U190:U193 U187">
    <cfRule type="containsText" dxfId="0" priority="156" operator="between" text="欠">
      <formula>NOT(ISERROR(SEARCH("欠",U187)))</formula>
    </cfRule>
  </conditionalFormatting>
  <conditionalFormatting sqref="S188:S189 S194">
    <cfRule type="containsText" dxfId="0" priority="124" operator="between" text="欠">
      <formula>NOT(ISERROR(SEARCH("欠",S188)))</formula>
    </cfRule>
  </conditionalFormatting>
  <conditionalFormatting sqref="U188:U189 U194">
    <cfRule type="containsText" dxfId="0" priority="120" operator="between" text="欠">
      <formula>NOT(ISERROR(SEARCH("欠",U188)))</formula>
    </cfRule>
  </conditionalFormatting>
  <conditionalFormatting sqref="S204 S201">
    <cfRule type="containsText" dxfId="0" priority="133" operator="between" text="欠">
      <formula>NOT(ISERROR(SEARCH("欠",S201)))</formula>
    </cfRule>
  </conditionalFormatting>
  <conditionalFormatting sqref="T204 T201">
    <cfRule type="containsText" dxfId="0" priority="132" operator="between" text="欠">
      <formula>NOT(ISERROR(SEARCH("欠",T201)))</formula>
    </cfRule>
  </conditionalFormatting>
  <conditionalFormatting sqref="U204 U201">
    <cfRule type="containsText" dxfId="0" priority="131" operator="between" text="欠">
      <formula>NOT(ISERROR(SEARCH("欠",U201)))</formula>
    </cfRule>
  </conditionalFormatting>
  <conditionalFormatting sqref="S205:S239 S285:S297 S315:S320 S281:S282 S244:S247 S252:S271 S276 S299:S312 S327:S333 S336:S338">
    <cfRule type="containsText" dxfId="0" priority="113" operator="between" text="欠">
      <formula>NOT(ISERROR(SEARCH("欠",S205)))</formula>
    </cfRule>
  </conditionalFormatting>
  <conditionalFormatting sqref="T205:T239 T251:T271 T249 T285:T297 T299:T300 T241:T247 T274:T282 T338">
    <cfRule type="containsText" dxfId="0" priority="112" operator="between" text="欠">
      <formula>NOT(ISERROR(SEARCH("欠",T205)))</formula>
    </cfRule>
  </conditionalFormatting>
  <conditionalFormatting sqref="U205:U225 U244:U245 U285:U297 U308:U309 U230:U239 U299:U303 U338">
    <cfRule type="containsText" dxfId="0" priority="111" operator="between" text="欠">
      <formula>NOT(ISERROR(SEARCH("欠",U205)))</formula>
    </cfRule>
  </conditionalFormatting>
  <conditionalFormatting sqref="P208:P239 P251:P271 P249 P285:P297 P241:P247 P274:P282 P338">
    <cfRule type="containsText" dxfId="0" priority="110" operator="between" text="欠">
      <formula>NOT(ISERROR(SEARCH("欠",P208)))</formula>
    </cfRule>
  </conditionalFormatting>
  <conditionalFormatting sqref="U229 U257:U271">
    <cfRule type="containsText" dxfId="0" priority="108" operator="between" text="欠">
      <formula>NOT(ISERROR(SEARCH("欠",U229)))</formula>
    </cfRule>
  </conditionalFormatting>
  <conditionalFormatting sqref="S240:S243 S321:S325 S298">
    <cfRule type="containsText" dxfId="0" priority="95" operator="between" text="欠">
      <formula>NOT(ISERROR(SEARCH("欠",S240)))</formula>
    </cfRule>
  </conditionalFormatting>
  <conditionalFormatting sqref="U240:U243 U310:U312 U304:U307 U298 U315:U333 U336:U337">
    <cfRule type="containsText" dxfId="0" priority="93" operator="between" text="欠">
      <formula>NOT(ISERROR(SEARCH("欠",U240)))</formula>
    </cfRule>
  </conditionalFormatting>
  <conditionalFormatting sqref="U246:U247 U252:U256 U281:U282 U276">
    <cfRule type="containsText" dxfId="0" priority="105" operator="between" text="欠">
      <formula>NOT(ISERROR(SEARCH("欠",U246)))</formula>
    </cfRule>
  </conditionalFormatting>
  <conditionalFormatting sqref="S277:S280 S272:S275">
    <cfRule type="containsText" dxfId="0" priority="75" operator="between" text="欠">
      <formula>NOT(ISERROR(SEARCH("欠",S272)))</formula>
    </cfRule>
  </conditionalFormatting>
  <conditionalFormatting sqref="P298 P321 P323:P325 P327:P333 P336:P337">
    <cfRule type="containsText" dxfId="0" priority="96" operator="between" text="欠">
      <formula>NOT(ISERROR(SEARCH("欠",P298)))</formula>
    </cfRule>
  </conditionalFormatting>
  <conditionalFormatting sqref="T301:T312 T327:T333 T336:T337 T298 T315:T321 T323:T325">
    <cfRule type="containsText" dxfId="0" priority="98" operator="between" text="欠">
      <formula>NOT(ISERROR(SEARCH("欠",T298)))</formula>
    </cfRule>
  </conditionalFormatting>
  <conditionalFormatting sqref="P315:P320 P299:P312">
    <cfRule type="containsText" dxfId="0" priority="57" operator="between" text="欠">
      <formula>NOT(ISERROR(SEARCH("欠",P299)))</formula>
    </cfRule>
  </conditionalFormatting>
  <pageMargins left="0" right="0.08" top="0.39" bottom="0.51" header="0.5" footer="0.5"/>
  <pageSetup paperSize="9" scale="70" orientation="landscape" horizontalDpi="600"/>
  <headerFooter alignWithMargins="0" scaleWithDoc="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FD437"/>
  <sheetViews>
    <sheetView zoomScale="60" zoomScaleNormal="60" workbookViewId="0">
      <pane xSplit="15" ySplit="3" topLeftCell="P95" activePane="bottomRight" state="frozen"/>
      <selection/>
      <selection pane="topRight"/>
      <selection pane="bottomLeft"/>
      <selection pane="bottomRight" activeCell="X101" sqref="X99:X101"/>
    </sheetView>
  </sheetViews>
  <sheetFormatPr defaultColWidth="9" defaultRowHeight="23" customHeight="1"/>
  <cols>
    <col min="1" max="1" width="20.3333333333333" style="1668" customWidth="1"/>
    <col min="2" max="2" width="18.4333333333333" style="1669" customWidth="1"/>
    <col min="3" max="3" width="8.56666666666667" style="1670" customWidth="1"/>
    <col min="4" max="4" width="14.425" style="1670" customWidth="1"/>
    <col min="5" max="5" width="12.3166666666667" style="1669" customWidth="1"/>
    <col min="6" max="6" width="14.1" style="1669" customWidth="1"/>
    <col min="7" max="7" width="13.375" style="1669" customWidth="1"/>
    <col min="8" max="8" width="15.3166666666667" style="1670" customWidth="1"/>
    <col min="9" max="9" width="10.625" style="1670" customWidth="1"/>
    <col min="10" max="10" width="9.29166666666667" style="1670" customWidth="1"/>
    <col min="11" max="11" width="7" style="1670" customWidth="1"/>
    <col min="12" max="12" width="9.125" style="1670" customWidth="1"/>
    <col min="13" max="13" width="7.85" style="1670" customWidth="1"/>
    <col min="14" max="14" width="16.1416666666667" style="1671" customWidth="1"/>
    <col min="15" max="15" width="15.575" style="1672" customWidth="1"/>
    <col min="16" max="16" width="13.9916666666667" style="1673" customWidth="1"/>
    <col min="17" max="17" width="10" style="1674" customWidth="1"/>
    <col min="18" max="18" width="12.2833333333333" style="1674" customWidth="1"/>
    <col min="19" max="19" width="13.2916666666667" style="1673" customWidth="1"/>
    <col min="20" max="20" width="8.03333333333333" style="1673" customWidth="1"/>
    <col min="21" max="21" width="21.5666666666667" style="1673" customWidth="1"/>
    <col min="22" max="22" width="21.85" style="1673" customWidth="1"/>
    <col min="23" max="23" width="27.7583333333333" style="1675" customWidth="1"/>
    <col min="24" max="24" width="9.28333333333333" style="1670" customWidth="1"/>
    <col min="25" max="25" width="12.5" style="1676" customWidth="1" outlineLevel="1"/>
    <col min="26" max="26" width="15" style="1677" customWidth="1" outlineLevel="1"/>
    <col min="27" max="27" width="13.85" style="1678" customWidth="1"/>
    <col min="28" max="29" width="11.25" style="1679" customWidth="1"/>
    <col min="30" max="30" width="7.325" style="1680" customWidth="1"/>
    <col min="31" max="32" width="10.5" style="1670" customWidth="1"/>
    <col min="33" max="35" width="7.125" style="1670" customWidth="1"/>
    <col min="36" max="37" width="11.1416666666667" style="1681" customWidth="1"/>
    <col min="38" max="38" width="23.425" style="1681" customWidth="1"/>
    <col min="39" max="40" width="10.5666666666667" style="1681" customWidth="1"/>
    <col min="41" max="43" width="8.43333333333333" style="1682" customWidth="1"/>
    <col min="44" max="45" width="9" style="1670"/>
    <col min="46" max="47" width="9.375" style="1670" customWidth="1"/>
    <col min="48" max="48" width="10.7083333333333" style="1670" customWidth="1"/>
    <col min="49" max="65" width="9" style="1670"/>
    <col min="66" max="97" width="22.6666666666667" style="1670"/>
    <col min="98" max="109" width="9" style="1670"/>
    <col min="110" max="129" width="9" style="1662"/>
    <col min="130" max="16353" width="22.6666666666667" style="1662"/>
    <col min="16354" max="16372" width="9" style="1662"/>
    <col min="16373" max="16384" width="9" style="1667"/>
  </cols>
  <sheetData>
    <row r="1" s="1662" customFormat="1" ht="36" customHeight="1" spans="1:16384">
      <c r="A1" s="1683" t="s">
        <v>1445</v>
      </c>
      <c r="B1" s="1684"/>
      <c r="C1" s="1684"/>
      <c r="D1" s="1684"/>
      <c r="E1" s="1684"/>
      <c r="F1" s="1684"/>
      <c r="G1" s="1684"/>
      <c r="H1" s="1684"/>
      <c r="I1" s="1684"/>
      <c r="J1" s="1684"/>
      <c r="K1" s="1684"/>
      <c r="L1" s="1684"/>
      <c r="M1" s="1684"/>
      <c r="N1" s="1671"/>
      <c r="O1" s="1672"/>
      <c r="P1" s="1698"/>
      <c r="Q1" s="1712"/>
      <c r="R1" s="1713"/>
      <c r="S1" s="1698"/>
      <c r="T1" s="1698"/>
      <c r="U1" s="1698"/>
      <c r="V1" s="1701"/>
      <c r="W1" s="1714"/>
      <c r="X1" s="1684"/>
      <c r="Y1" s="1730"/>
      <c r="Z1" s="1684"/>
      <c r="AA1" s="1731"/>
      <c r="AB1" s="1679"/>
      <c r="AC1" s="1679"/>
      <c r="AD1" s="1680"/>
      <c r="AE1" s="1684"/>
      <c r="AF1" s="1684"/>
      <c r="AG1" s="1684"/>
      <c r="AH1" s="1684"/>
      <c r="AI1" s="1684"/>
      <c r="AJ1" s="1747"/>
      <c r="AK1" s="1747"/>
      <c r="AL1" s="1747"/>
      <c r="AM1" s="1747"/>
      <c r="AN1" s="1747"/>
      <c r="AO1" s="1757"/>
      <c r="AP1" s="1757"/>
      <c r="AQ1" s="1757"/>
      <c r="AR1" s="1670"/>
      <c r="AS1" s="1670"/>
      <c r="AT1" s="1670"/>
      <c r="AU1" s="1670"/>
      <c r="AV1" s="1670"/>
      <c r="AW1" s="1670"/>
      <c r="AX1" s="1670"/>
      <c r="AY1" s="1670"/>
      <c r="AZ1" s="1670"/>
      <c r="BA1" s="1670"/>
      <c r="BB1" s="1670"/>
      <c r="BC1" s="1670"/>
      <c r="BD1" s="1670"/>
      <c r="BE1" s="1670"/>
      <c r="BF1" s="1670"/>
      <c r="BG1" s="1670"/>
      <c r="BH1" s="1670"/>
      <c r="BI1" s="1670"/>
      <c r="BJ1" s="1670"/>
      <c r="BK1" s="1670"/>
      <c r="BL1" s="1670"/>
      <c r="BM1" s="1670"/>
      <c r="BN1" s="1670"/>
      <c r="BO1" s="1670"/>
      <c r="BP1" s="1670"/>
      <c r="BQ1" s="1670"/>
      <c r="BR1" s="1670"/>
      <c r="BS1" s="1670"/>
      <c r="BT1" s="1670"/>
      <c r="BU1" s="1670"/>
      <c r="BV1" s="1670"/>
      <c r="BW1" s="1670"/>
      <c r="BX1" s="1670"/>
      <c r="BY1" s="1670"/>
      <c r="BZ1" s="1670"/>
      <c r="CA1" s="1670"/>
      <c r="CB1" s="1670"/>
      <c r="CC1" s="1670"/>
      <c r="CD1" s="1670"/>
      <c r="CE1" s="1670"/>
      <c r="CF1" s="1670"/>
      <c r="CG1" s="1670"/>
      <c r="CH1" s="1670"/>
      <c r="CI1" s="1670"/>
      <c r="CJ1" s="1670"/>
      <c r="CK1" s="1670"/>
      <c r="CL1" s="1670"/>
      <c r="CM1" s="1670"/>
      <c r="CN1" s="1670"/>
      <c r="CO1" s="1670"/>
      <c r="CP1" s="1670"/>
      <c r="CQ1" s="1670"/>
      <c r="CR1" s="1670"/>
      <c r="CS1" s="1670"/>
      <c r="CT1" s="1670"/>
      <c r="CU1" s="1670"/>
      <c r="CV1" s="1670"/>
      <c r="CW1" s="1670"/>
      <c r="CX1" s="1670"/>
      <c r="CY1" s="1670"/>
      <c r="CZ1" s="1670"/>
      <c r="DA1" s="1670"/>
      <c r="DB1" s="1670"/>
      <c r="DC1" s="1670"/>
      <c r="DD1" s="1670"/>
      <c r="DE1" s="1670"/>
      <c r="XES1" s="1667"/>
      <c r="XET1" s="1667"/>
      <c r="XEU1" s="1667"/>
      <c r="XEV1" s="1667"/>
      <c r="XEW1" s="1667"/>
      <c r="XEX1" s="1667"/>
      <c r="XEY1" s="1667"/>
      <c r="XEZ1" s="1667"/>
      <c r="XFA1" s="1667"/>
      <c r="XFB1" s="1667"/>
      <c r="XFC1" s="1667"/>
      <c r="XFD1" s="1667"/>
    </row>
    <row r="2" s="1662" customFormat="1" customHeight="1" spans="1:16384">
      <c r="A2" s="1685">
        <f>鴨子、鱷魚、金魚排期!A2</f>
        <v>44982</v>
      </c>
      <c r="B2" s="1686"/>
      <c r="C2" s="1687"/>
      <c r="D2" s="1686"/>
      <c r="E2" s="1686"/>
      <c r="F2" s="1686"/>
      <c r="G2" s="1686"/>
      <c r="H2" s="1688"/>
      <c r="I2" s="1699"/>
      <c r="J2" s="1684"/>
      <c r="K2" s="1687"/>
      <c r="L2" s="1687"/>
      <c r="M2" s="1700"/>
      <c r="N2" s="1671"/>
      <c r="O2" s="1672"/>
      <c r="P2" s="1701"/>
      <c r="Q2" s="1712"/>
      <c r="R2" s="1712"/>
      <c r="S2" s="1701"/>
      <c r="T2" s="1701"/>
      <c r="U2" s="1701"/>
      <c r="V2" s="1701"/>
      <c r="W2" s="1714"/>
      <c r="X2" s="1686"/>
      <c r="Y2" s="1732"/>
      <c r="Z2" s="1733"/>
      <c r="AA2" s="1734"/>
      <c r="AB2" s="1679"/>
      <c r="AC2" s="1679"/>
      <c r="AD2" s="1680"/>
      <c r="AE2" s="1687"/>
      <c r="AF2" s="1687"/>
      <c r="AG2" s="1687"/>
      <c r="AH2" s="1687"/>
      <c r="AI2" s="1687"/>
      <c r="AJ2" s="1748">
        <v>7163</v>
      </c>
      <c r="AK2" s="1749"/>
      <c r="AL2" s="1749"/>
      <c r="AM2" s="1749"/>
      <c r="AN2" s="1749"/>
      <c r="AO2" s="1758"/>
      <c r="AP2" s="1758"/>
      <c r="AQ2" s="1759"/>
      <c r="AR2" s="1760" t="s">
        <v>1446</v>
      </c>
      <c r="AS2" s="1761" t="s">
        <v>1447</v>
      </c>
      <c r="AT2" s="1762">
        <v>7166</v>
      </c>
      <c r="AU2" s="1763"/>
      <c r="AV2" s="1764"/>
      <c r="AW2" s="1670"/>
      <c r="AX2" s="1670"/>
      <c r="AY2" s="1670"/>
      <c r="AZ2" s="1670"/>
      <c r="BA2" s="1670"/>
      <c r="BB2" s="1670"/>
      <c r="BC2" s="1670"/>
      <c r="BD2" s="1670"/>
      <c r="BE2" s="1670"/>
      <c r="BF2" s="1670"/>
      <c r="BG2" s="1670"/>
      <c r="BH2" s="1670"/>
      <c r="BI2" s="1670"/>
      <c r="BJ2" s="1670"/>
      <c r="BK2" s="1670"/>
      <c r="BL2" s="1670"/>
      <c r="BM2" s="1670"/>
      <c r="BN2" s="1670"/>
      <c r="BO2" s="1670"/>
      <c r="BP2" s="1670"/>
      <c r="BQ2" s="1670"/>
      <c r="BR2" s="1670"/>
      <c r="BS2" s="1670"/>
      <c r="BT2" s="1670"/>
      <c r="BU2" s="1670"/>
      <c r="BV2" s="1670"/>
      <c r="BW2" s="1670"/>
      <c r="BX2" s="1670"/>
      <c r="BY2" s="1670"/>
      <c r="BZ2" s="1670"/>
      <c r="CA2" s="1670"/>
      <c r="CB2" s="1670"/>
      <c r="CC2" s="1670"/>
      <c r="CD2" s="1670"/>
      <c r="CE2" s="1670"/>
      <c r="CF2" s="1670"/>
      <c r="CG2" s="1670"/>
      <c r="CH2" s="1670"/>
      <c r="CI2" s="1670"/>
      <c r="CJ2" s="1670"/>
      <c r="CK2" s="1670"/>
      <c r="CL2" s="1670"/>
      <c r="CM2" s="1670"/>
      <c r="CN2" s="1670"/>
      <c r="CO2" s="1670"/>
      <c r="CP2" s="1670"/>
      <c r="CQ2" s="1670"/>
      <c r="CR2" s="1670"/>
      <c r="CS2" s="1670"/>
      <c r="CT2" s="1670"/>
      <c r="CU2" s="1670"/>
      <c r="CV2" s="1670"/>
      <c r="CW2" s="1670"/>
      <c r="CX2" s="1670"/>
      <c r="CY2" s="1670"/>
      <c r="CZ2" s="1670"/>
      <c r="DA2" s="1670"/>
      <c r="DB2" s="1670"/>
      <c r="DC2" s="1670"/>
      <c r="DD2" s="1670"/>
      <c r="DE2" s="1670"/>
      <c r="XES2" s="1667"/>
      <c r="XET2" s="1667"/>
      <c r="XEU2" s="1667"/>
      <c r="XEV2" s="1667"/>
      <c r="XEW2" s="1667"/>
      <c r="XEX2" s="1667"/>
      <c r="XEY2" s="1667"/>
      <c r="XEZ2" s="1667"/>
      <c r="XFA2" s="1667"/>
      <c r="XFB2" s="1667"/>
      <c r="XFC2" s="1667"/>
      <c r="XFD2" s="1667"/>
    </row>
    <row r="3" s="1662" customFormat="1" ht="42" customHeight="1" spans="1:16384">
      <c r="A3" s="1689" t="s">
        <v>8</v>
      </c>
      <c r="B3" s="1690" t="s">
        <v>9</v>
      </c>
      <c r="C3" s="1690" t="s">
        <v>10</v>
      </c>
      <c r="D3" s="1691" t="s">
        <v>11</v>
      </c>
      <c r="E3" s="1690" t="s">
        <v>1448</v>
      </c>
      <c r="F3" s="1691" t="s">
        <v>1449</v>
      </c>
      <c r="G3" s="1692" t="s">
        <v>14</v>
      </c>
      <c r="H3" s="1691" t="s">
        <v>15</v>
      </c>
      <c r="I3" s="1690" t="s">
        <v>16</v>
      </c>
      <c r="J3" s="1691" t="s">
        <v>1450</v>
      </c>
      <c r="K3" s="1690" t="s">
        <v>1451</v>
      </c>
      <c r="L3" s="1690" t="s">
        <v>1451</v>
      </c>
      <c r="M3" s="1689" t="s">
        <v>19</v>
      </c>
      <c r="N3" s="1702" t="s">
        <v>20</v>
      </c>
      <c r="O3" s="1702" t="s">
        <v>21</v>
      </c>
      <c r="P3" s="1703" t="s">
        <v>22</v>
      </c>
      <c r="Q3" s="1703" t="s">
        <v>23</v>
      </c>
      <c r="R3" s="1715" t="s">
        <v>1452</v>
      </c>
      <c r="S3" s="1703" t="s">
        <v>1453</v>
      </c>
      <c r="T3" s="1703" t="s">
        <v>26</v>
      </c>
      <c r="U3" s="1703" t="s">
        <v>1454</v>
      </c>
      <c r="V3" s="1703" t="s">
        <v>28</v>
      </c>
      <c r="W3" s="1716" t="s">
        <v>29</v>
      </c>
      <c r="X3" s="1717" t="s">
        <v>1455</v>
      </c>
      <c r="Y3" s="1735" t="s">
        <v>1456</v>
      </c>
      <c r="Z3" s="1736" t="s">
        <v>1457</v>
      </c>
      <c r="AA3" s="1716" t="s">
        <v>33</v>
      </c>
      <c r="AB3" s="1737" t="s">
        <v>34</v>
      </c>
      <c r="AC3" s="1737" t="s">
        <v>35</v>
      </c>
      <c r="AD3" s="1737" t="s">
        <v>1458</v>
      </c>
      <c r="AE3" s="1738" t="s">
        <v>37</v>
      </c>
      <c r="AF3" s="1716" t="s">
        <v>38</v>
      </c>
      <c r="AG3" s="1689" t="s">
        <v>1459</v>
      </c>
      <c r="AH3" s="1689" t="s">
        <v>1460</v>
      </c>
      <c r="AI3" s="1750" t="s">
        <v>1461</v>
      </c>
      <c r="AJ3" s="1751" t="s">
        <v>1462</v>
      </c>
      <c r="AK3" s="1752" t="s">
        <v>1463</v>
      </c>
      <c r="AL3" s="1753" t="s">
        <v>1464</v>
      </c>
      <c r="AM3" s="1753" t="s">
        <v>1465</v>
      </c>
      <c r="AN3" s="1752" t="s">
        <v>1466</v>
      </c>
      <c r="AO3" s="1765" t="s">
        <v>1467</v>
      </c>
      <c r="AP3" s="1765" t="s">
        <v>1468</v>
      </c>
      <c r="AQ3" s="1766" t="s">
        <v>1469</v>
      </c>
      <c r="AR3" s="1767" t="s">
        <v>1470</v>
      </c>
      <c r="AS3" s="1768" t="s">
        <v>1470</v>
      </c>
      <c r="AT3" s="1769" t="s">
        <v>1471</v>
      </c>
      <c r="AU3" s="1769" t="s">
        <v>1472</v>
      </c>
      <c r="AV3" s="1770" t="s">
        <v>1473</v>
      </c>
      <c r="AW3" s="1776"/>
      <c r="AX3" s="1776"/>
      <c r="AY3" s="1776"/>
      <c r="AZ3" s="1776"/>
      <c r="BA3" s="1776"/>
      <c r="BB3" s="1776"/>
      <c r="BC3" s="1776"/>
      <c r="BD3" s="1776"/>
      <c r="BE3" s="1776"/>
      <c r="BF3" s="1776"/>
      <c r="BG3" s="1776"/>
      <c r="BH3" s="1776"/>
      <c r="BI3" s="1776"/>
      <c r="BJ3" s="1776"/>
      <c r="BK3" s="1776"/>
      <c r="BL3" s="1776"/>
      <c r="BM3" s="1776"/>
      <c r="BN3" s="1776"/>
      <c r="BO3" s="1776"/>
      <c r="BP3" s="1776"/>
      <c r="BQ3" s="1776"/>
      <c r="BR3" s="1776"/>
      <c r="BS3" s="1776"/>
      <c r="BT3" s="1776"/>
      <c r="BU3" s="1776"/>
      <c r="BV3" s="1776"/>
      <c r="BW3" s="1776"/>
      <c r="BX3" s="1776"/>
      <c r="BY3" s="1776"/>
      <c r="BZ3" s="1776"/>
      <c r="CA3" s="1776"/>
      <c r="CB3" s="1776"/>
      <c r="CC3" s="1776"/>
      <c r="CD3" s="1776"/>
      <c r="CE3" s="1776"/>
      <c r="CF3" s="1776"/>
      <c r="CG3" s="1776"/>
      <c r="CH3" s="1776"/>
      <c r="CI3" s="1776"/>
      <c r="CJ3" s="1776"/>
      <c r="CK3" s="1776"/>
      <c r="CL3" s="1776"/>
      <c r="CM3" s="1776"/>
      <c r="CN3" s="1776"/>
      <c r="CO3" s="1776"/>
      <c r="CP3" s="1776"/>
      <c r="CQ3" s="1776"/>
      <c r="CR3" s="1776"/>
      <c r="CS3" s="1776"/>
      <c r="CT3" s="1776"/>
      <c r="CU3" s="1776"/>
      <c r="CV3" s="1776"/>
      <c r="CW3" s="1776"/>
      <c r="CX3" s="1776"/>
      <c r="CY3" s="1776"/>
      <c r="CZ3" s="1776"/>
      <c r="DA3" s="1776"/>
      <c r="DB3" s="1776"/>
      <c r="DC3" s="1776"/>
      <c r="DD3" s="1776"/>
      <c r="DE3" s="1776"/>
      <c r="DF3" s="1778"/>
      <c r="DG3" s="1778"/>
      <c r="DH3" s="1778"/>
      <c r="DI3" s="1778"/>
      <c r="DJ3" s="1778"/>
      <c r="DK3" s="1778"/>
      <c r="DL3" s="1778"/>
      <c r="DM3" s="1778"/>
      <c r="DN3" s="1778"/>
      <c r="DO3" s="1778"/>
      <c r="DP3" s="1778"/>
      <c r="DQ3" s="1778"/>
      <c r="DR3" s="1778"/>
      <c r="DS3" s="1778"/>
      <c r="DT3" s="1778"/>
      <c r="DU3" s="1778"/>
      <c r="DV3" s="1778"/>
      <c r="DW3" s="1778"/>
      <c r="DX3" s="1778"/>
      <c r="DY3" s="1778"/>
      <c r="DZ3" s="1778"/>
      <c r="EA3" s="1778"/>
      <c r="EB3" s="1778"/>
      <c r="EC3" s="1778"/>
      <c r="ED3" s="1778"/>
      <c r="EE3" s="1778"/>
      <c r="EF3" s="1778"/>
      <c r="EG3" s="1778"/>
      <c r="EH3" s="1778"/>
      <c r="EI3" s="1778"/>
      <c r="EJ3" s="1778"/>
      <c r="EK3" s="1778"/>
      <c r="EL3" s="1778"/>
      <c r="EM3" s="1778"/>
      <c r="EN3" s="1778"/>
      <c r="EO3" s="1778"/>
      <c r="EP3" s="1778"/>
      <c r="EQ3" s="1778"/>
      <c r="ER3" s="1778"/>
      <c r="ES3" s="1778"/>
      <c r="ET3" s="1778"/>
      <c r="EU3" s="1778"/>
      <c r="EV3" s="1778"/>
      <c r="EW3" s="1778"/>
      <c r="EX3" s="1778"/>
      <c r="EY3" s="1778"/>
      <c r="EZ3" s="1778"/>
      <c r="FA3" s="1778"/>
      <c r="FB3" s="1778"/>
      <c r="FC3" s="1778"/>
      <c r="FD3" s="1778"/>
      <c r="FE3" s="1778"/>
      <c r="FF3" s="1778"/>
      <c r="FG3" s="1778"/>
      <c r="FH3" s="1778"/>
      <c r="FI3" s="1778"/>
      <c r="FJ3" s="1778"/>
      <c r="FK3" s="1778"/>
      <c r="FL3" s="1778"/>
      <c r="FM3" s="1778"/>
      <c r="FN3" s="1778"/>
      <c r="FO3" s="1778"/>
      <c r="FP3" s="1778"/>
      <c r="FQ3" s="1778"/>
      <c r="FR3" s="1778"/>
      <c r="FS3" s="1778"/>
      <c r="FT3" s="1778"/>
      <c r="FU3" s="1778"/>
      <c r="FV3" s="1778"/>
      <c r="FW3" s="1778"/>
      <c r="FX3" s="1778"/>
      <c r="FY3" s="1778"/>
      <c r="FZ3" s="1778"/>
      <c r="GA3" s="1778"/>
      <c r="XES3" s="1667"/>
      <c r="XET3" s="1667"/>
      <c r="XEU3" s="1667"/>
      <c r="XEV3" s="1667"/>
      <c r="XEW3" s="1667"/>
      <c r="XEX3" s="1667"/>
      <c r="XEY3" s="1667"/>
      <c r="XEZ3" s="1667"/>
      <c r="XFA3" s="1667"/>
      <c r="XFB3" s="1667"/>
      <c r="XFC3" s="1667"/>
      <c r="XFD3" s="1667"/>
    </row>
    <row r="4" s="1663" customFormat="1" ht="36" customHeight="1" spans="1:16384">
      <c r="A4" s="1693">
        <v>45608</v>
      </c>
      <c r="B4" s="1694" t="s">
        <v>1474</v>
      </c>
      <c r="C4" s="1695" t="s">
        <v>398</v>
      </c>
      <c r="D4" s="1696">
        <v>4500151018</v>
      </c>
      <c r="E4" s="1694" t="s">
        <v>1475</v>
      </c>
      <c r="F4" s="1696" t="s">
        <v>1476</v>
      </c>
      <c r="G4" s="1697" t="s">
        <v>1477</v>
      </c>
      <c r="H4" s="1697" t="s">
        <v>1478</v>
      </c>
      <c r="I4" s="1704" t="s">
        <v>1479</v>
      </c>
      <c r="J4" s="1697">
        <v>240</v>
      </c>
      <c r="K4" s="1697">
        <v>0</v>
      </c>
      <c r="L4" s="1697">
        <v>24</v>
      </c>
      <c r="M4" s="1705">
        <f t="shared" ref="M4:M42" si="0">J4/L4</f>
        <v>10</v>
      </c>
      <c r="N4" s="1706">
        <v>45651</v>
      </c>
      <c r="O4" s="1707">
        <v>45647</v>
      </c>
      <c r="P4" s="1708"/>
      <c r="Q4" s="1708" t="s">
        <v>1480</v>
      </c>
      <c r="R4" s="1708"/>
      <c r="S4" s="1710" t="s">
        <v>127</v>
      </c>
      <c r="T4" s="1710"/>
      <c r="U4" s="1710" t="s">
        <v>1481</v>
      </c>
      <c r="V4" s="1718" t="s">
        <v>1482</v>
      </c>
      <c r="W4" s="1719" t="s">
        <v>1483</v>
      </c>
      <c r="X4" s="1720" t="s">
        <v>517</v>
      </c>
      <c r="Y4" s="1739">
        <v>1.4655</v>
      </c>
      <c r="Z4" s="1740">
        <f t="shared" ref="Z4:Z42" si="1">Y4*J4</f>
        <v>351.72</v>
      </c>
      <c r="AA4" s="1741" t="s">
        <v>1484</v>
      </c>
      <c r="AB4" s="1741">
        <v>240</v>
      </c>
      <c r="AC4" s="1741">
        <f>AB4-J4</f>
        <v>0</v>
      </c>
      <c r="AD4" s="1741" t="s">
        <v>1485</v>
      </c>
      <c r="AE4" s="1742" t="s">
        <v>63</v>
      </c>
      <c r="AF4" s="1742" t="s">
        <v>38</v>
      </c>
      <c r="AG4" s="1720">
        <f>J4/3</f>
        <v>80</v>
      </c>
      <c r="AH4" s="1720">
        <f>J4/3</f>
        <v>80</v>
      </c>
      <c r="AI4" s="1754">
        <f>J4/3</f>
        <v>80</v>
      </c>
      <c r="AJ4" s="1755"/>
      <c r="AK4" s="1756">
        <f>J4</f>
        <v>240</v>
      </c>
      <c r="AL4" s="1756">
        <f>J4</f>
        <v>240</v>
      </c>
      <c r="AM4" s="1756"/>
      <c r="AN4" s="1756"/>
      <c r="AO4" s="1771"/>
      <c r="AP4" s="1771"/>
      <c r="AQ4" s="1772"/>
      <c r="AR4" s="1773"/>
      <c r="AS4" s="1754"/>
      <c r="AT4" s="1773"/>
      <c r="AU4" s="1774"/>
      <c r="AV4" s="1775"/>
      <c r="AW4" s="1777"/>
      <c r="AX4" s="1777"/>
      <c r="AY4" s="1777"/>
      <c r="AZ4" s="1777"/>
      <c r="BA4" s="1777"/>
      <c r="BB4" s="1777"/>
      <c r="BC4" s="1777"/>
      <c r="BD4" s="1777"/>
      <c r="BE4" s="1777"/>
      <c r="BF4" s="1777"/>
      <c r="BG4" s="1777"/>
      <c r="BH4" s="1777"/>
      <c r="BI4" s="1777"/>
      <c r="BJ4" s="1777"/>
      <c r="BK4" s="1777"/>
      <c r="BL4" s="1777"/>
      <c r="BM4" s="1777"/>
      <c r="BN4" s="1777"/>
      <c r="BO4" s="1777"/>
      <c r="BP4" s="1777"/>
      <c r="BQ4" s="1777"/>
      <c r="BR4" s="1777"/>
      <c r="BS4" s="1777"/>
      <c r="BT4" s="1777"/>
      <c r="BU4" s="1777"/>
      <c r="BV4" s="1777"/>
      <c r="BW4" s="1777"/>
      <c r="BX4" s="1777"/>
      <c r="BY4" s="1777"/>
      <c r="BZ4" s="1777"/>
      <c r="CA4" s="1777"/>
      <c r="CB4" s="1777"/>
      <c r="CC4" s="1777"/>
      <c r="CD4" s="1777"/>
      <c r="CE4" s="1777"/>
      <c r="CF4" s="1777"/>
      <c r="CG4" s="1777"/>
      <c r="CH4" s="1777"/>
      <c r="CI4" s="1777"/>
      <c r="CJ4" s="1777"/>
      <c r="CK4" s="1777"/>
      <c r="CL4" s="1777"/>
      <c r="CM4" s="1777"/>
      <c r="CN4" s="1777"/>
      <c r="CO4" s="1777"/>
      <c r="CP4" s="1777"/>
      <c r="CQ4" s="1777"/>
      <c r="CR4" s="1777"/>
      <c r="CS4" s="1777"/>
      <c r="CT4" s="1777"/>
      <c r="CU4" s="1777"/>
      <c r="CV4" s="1777"/>
      <c r="CW4" s="1777"/>
      <c r="CX4" s="1777"/>
      <c r="CY4" s="1777"/>
      <c r="CZ4" s="1777"/>
      <c r="DA4" s="1777"/>
      <c r="DB4" s="1777"/>
      <c r="DC4" s="1777"/>
      <c r="DD4" s="1777"/>
      <c r="DE4" s="1777"/>
      <c r="DF4" s="1777"/>
      <c r="DG4" s="1777"/>
      <c r="DH4" s="1777"/>
      <c r="DI4" s="1777"/>
      <c r="DJ4" s="1777"/>
      <c r="DK4" s="1777"/>
      <c r="DL4" s="1777"/>
      <c r="DM4" s="1777"/>
      <c r="DN4" s="1777"/>
      <c r="DO4" s="1777"/>
      <c r="DP4" s="1777"/>
      <c r="DQ4" s="1777"/>
      <c r="DR4" s="1777"/>
      <c r="DS4" s="1777"/>
      <c r="DT4" s="1777"/>
      <c r="DU4" s="1777"/>
      <c r="DV4" s="1777"/>
      <c r="DW4" s="1777"/>
      <c r="DX4" s="1779"/>
      <c r="DY4" s="1779"/>
      <c r="DZ4" s="1779"/>
      <c r="EA4" s="1779"/>
      <c r="EB4" s="1779"/>
      <c r="EC4" s="1779"/>
      <c r="ED4" s="1779"/>
      <c r="EE4" s="1779"/>
      <c r="EF4" s="1779"/>
      <c r="EG4" s="1779"/>
      <c r="EH4" s="1779"/>
      <c r="EI4" s="1779"/>
      <c r="EJ4" s="1779"/>
      <c r="EK4" s="1779"/>
      <c r="EL4" s="1779"/>
      <c r="EM4" s="1779"/>
      <c r="EN4" s="1779"/>
      <c r="EO4" s="1779"/>
      <c r="EP4" s="1779"/>
      <c r="EQ4" s="1779"/>
      <c r="ER4" s="1779"/>
      <c r="ES4" s="1779"/>
      <c r="ET4" s="1779"/>
      <c r="EU4" s="1779"/>
      <c r="EV4" s="1779"/>
      <c r="EW4" s="1779"/>
      <c r="EX4" s="1779"/>
      <c r="EY4" s="1779"/>
      <c r="EZ4" s="1779"/>
      <c r="FA4" s="1779"/>
      <c r="FB4" s="1779"/>
      <c r="FC4" s="1779"/>
      <c r="FD4" s="1779"/>
      <c r="FE4" s="1779"/>
      <c r="FF4" s="1779"/>
      <c r="FG4" s="1779"/>
      <c r="FH4" s="1779"/>
      <c r="FI4" s="1779"/>
      <c r="FJ4" s="1779"/>
      <c r="FK4" s="1779"/>
      <c r="FL4" s="1779"/>
      <c r="FM4" s="1779"/>
      <c r="FN4" s="1779"/>
      <c r="FO4" s="1779"/>
      <c r="FP4" s="1779"/>
      <c r="FQ4" s="1779"/>
      <c r="FR4" s="1779"/>
      <c r="FS4" s="1779"/>
      <c r="FT4" s="1779"/>
      <c r="FU4" s="1779"/>
      <c r="FV4" s="1779"/>
      <c r="FW4" s="1779"/>
      <c r="FX4" s="1779"/>
      <c r="FY4" s="1779"/>
      <c r="FZ4" s="1779"/>
      <c r="GA4" s="1779"/>
      <c r="XES4" s="1780"/>
      <c r="XET4" s="1780"/>
      <c r="XEU4" s="1780"/>
      <c r="XEV4" s="1780"/>
      <c r="XEW4" s="1780"/>
      <c r="XEX4" s="1780"/>
      <c r="XEY4" s="1780"/>
      <c r="XEZ4" s="1780"/>
      <c r="XFA4" s="1780"/>
      <c r="XFB4" s="1780"/>
      <c r="XFC4" s="1780"/>
      <c r="XFD4" s="1780"/>
    </row>
    <row r="5" s="1663" customFormat="1" ht="36" customHeight="1" spans="1:16384">
      <c r="A5" s="1693">
        <v>45608</v>
      </c>
      <c r="B5" s="1694" t="s">
        <v>1486</v>
      </c>
      <c r="C5" s="1695" t="s">
        <v>398</v>
      </c>
      <c r="D5" s="1696">
        <v>4500150978</v>
      </c>
      <c r="E5" s="1694" t="s">
        <v>1487</v>
      </c>
      <c r="F5" s="1696" t="s">
        <v>1488</v>
      </c>
      <c r="G5" s="1697" t="s">
        <v>1489</v>
      </c>
      <c r="H5" s="1697" t="s">
        <v>1490</v>
      </c>
      <c r="I5" s="1704" t="s">
        <v>1491</v>
      </c>
      <c r="J5" s="1697">
        <v>18</v>
      </c>
      <c r="K5" s="1697">
        <v>0</v>
      </c>
      <c r="L5" s="1697">
        <v>18</v>
      </c>
      <c r="M5" s="1709">
        <f t="shared" si="0"/>
        <v>1</v>
      </c>
      <c r="N5" s="1706">
        <v>45653</v>
      </c>
      <c r="O5" s="1707">
        <v>45649</v>
      </c>
      <c r="P5" s="1708"/>
      <c r="Q5" s="1708" t="s">
        <v>1480</v>
      </c>
      <c r="R5" s="1708" t="s">
        <v>1492</v>
      </c>
      <c r="S5" s="1710" t="s">
        <v>1493</v>
      </c>
      <c r="T5" s="1710"/>
      <c r="U5" s="1710" t="s">
        <v>1494</v>
      </c>
      <c r="V5" s="1721" t="s">
        <v>1495</v>
      </c>
      <c r="W5" s="1719" t="s">
        <v>1496</v>
      </c>
      <c r="X5" s="1720" t="s">
        <v>1497</v>
      </c>
      <c r="Y5" s="1743">
        <v>3.5384</v>
      </c>
      <c r="Z5" s="1744">
        <f t="shared" si="1"/>
        <v>63.6912</v>
      </c>
      <c r="AA5" s="1741" t="s">
        <v>1498</v>
      </c>
      <c r="AB5" s="1741">
        <v>18</v>
      </c>
      <c r="AC5" s="1741">
        <f>AB5-J5</f>
        <v>0</v>
      </c>
      <c r="AD5" s="1741" t="s">
        <v>1499</v>
      </c>
      <c r="AE5" s="1742" t="s">
        <v>63</v>
      </c>
      <c r="AF5" s="1742" t="s">
        <v>38</v>
      </c>
      <c r="AG5" s="1720">
        <f t="shared" ref="AG5:AG10" si="2">J5</f>
        <v>18</v>
      </c>
      <c r="AH5" s="1720">
        <f t="shared" ref="AH5:AH10" si="3">J5</f>
        <v>18</v>
      </c>
      <c r="AI5" s="1754">
        <f t="shared" ref="AI5:AI10" si="4">J5</f>
        <v>18</v>
      </c>
      <c r="AJ5" s="1755"/>
      <c r="AK5" s="1756"/>
      <c r="AL5" s="1756">
        <f>J5</f>
        <v>18</v>
      </c>
      <c r="AM5" s="1756"/>
      <c r="AN5" s="1756"/>
      <c r="AO5" s="1771"/>
      <c r="AP5" s="1771"/>
      <c r="AQ5" s="1772"/>
      <c r="AR5" s="1773"/>
      <c r="AS5" s="1754"/>
      <c r="AT5" s="1773"/>
      <c r="AU5" s="1774">
        <f t="shared" ref="AU5:AU10" si="5">J5</f>
        <v>18</v>
      </c>
      <c r="AV5" s="1775"/>
      <c r="AW5" s="1777"/>
      <c r="AX5" s="1777"/>
      <c r="AY5" s="1777"/>
      <c r="AZ5" s="1777"/>
      <c r="BA5" s="1777"/>
      <c r="BB5" s="1777"/>
      <c r="BC5" s="1777"/>
      <c r="BD5" s="1777"/>
      <c r="BE5" s="1777"/>
      <c r="BF5" s="1777"/>
      <c r="BG5" s="1777"/>
      <c r="BH5" s="1777"/>
      <c r="BI5" s="1777"/>
      <c r="BJ5" s="1777"/>
      <c r="BK5" s="1777"/>
      <c r="BL5" s="1777"/>
      <c r="BM5" s="1777"/>
      <c r="BN5" s="1777"/>
      <c r="BO5" s="1777"/>
      <c r="BP5" s="1777"/>
      <c r="BQ5" s="1777"/>
      <c r="BR5" s="1777"/>
      <c r="BS5" s="1777"/>
      <c r="BT5" s="1777"/>
      <c r="BU5" s="1777"/>
      <c r="BV5" s="1777"/>
      <c r="BW5" s="1777"/>
      <c r="BX5" s="1777"/>
      <c r="BY5" s="1777"/>
      <c r="BZ5" s="1777"/>
      <c r="CA5" s="1777"/>
      <c r="CB5" s="1777"/>
      <c r="CC5" s="1777"/>
      <c r="CD5" s="1777"/>
      <c r="CE5" s="1777"/>
      <c r="CF5" s="1777"/>
      <c r="CG5" s="1777"/>
      <c r="CH5" s="1777"/>
      <c r="CI5" s="1777"/>
      <c r="CJ5" s="1777"/>
      <c r="CK5" s="1777"/>
      <c r="CL5" s="1777"/>
      <c r="CM5" s="1777"/>
      <c r="CN5" s="1777"/>
      <c r="CO5" s="1777"/>
      <c r="CP5" s="1777"/>
      <c r="CQ5" s="1777"/>
      <c r="CR5" s="1777"/>
      <c r="CS5" s="1777"/>
      <c r="CT5" s="1777"/>
      <c r="CU5" s="1777"/>
      <c r="CV5" s="1777"/>
      <c r="CW5" s="1777"/>
      <c r="CX5" s="1777"/>
      <c r="CY5" s="1777"/>
      <c r="CZ5" s="1777"/>
      <c r="DA5" s="1777"/>
      <c r="DB5" s="1777"/>
      <c r="DC5" s="1777"/>
      <c r="DD5" s="1777"/>
      <c r="DE5" s="1777"/>
      <c r="DF5" s="1777"/>
      <c r="DG5" s="1777"/>
      <c r="DH5" s="1777"/>
      <c r="DI5" s="1777"/>
      <c r="DJ5" s="1777"/>
      <c r="DK5" s="1777"/>
      <c r="DL5" s="1777"/>
      <c r="DM5" s="1777"/>
      <c r="DN5" s="1777"/>
      <c r="DO5" s="1777"/>
      <c r="DP5" s="1777"/>
      <c r="DQ5" s="1777"/>
      <c r="DR5" s="1777"/>
      <c r="DS5" s="1777"/>
      <c r="DT5" s="1777"/>
      <c r="DU5" s="1777"/>
      <c r="DV5" s="1777"/>
      <c r="DW5" s="1777"/>
      <c r="DX5" s="1779"/>
      <c r="DY5" s="1779"/>
      <c r="DZ5" s="1779"/>
      <c r="EA5" s="1779"/>
      <c r="EB5" s="1779"/>
      <c r="EC5" s="1779"/>
      <c r="ED5" s="1779"/>
      <c r="EE5" s="1779"/>
      <c r="EF5" s="1779"/>
      <c r="EG5" s="1779"/>
      <c r="EH5" s="1779"/>
      <c r="EI5" s="1779"/>
      <c r="EJ5" s="1779"/>
      <c r="EK5" s="1779"/>
      <c r="EL5" s="1779"/>
      <c r="EM5" s="1779"/>
      <c r="EN5" s="1779"/>
      <c r="EO5" s="1779"/>
      <c r="EP5" s="1779"/>
      <c r="EQ5" s="1779"/>
      <c r="ER5" s="1779"/>
      <c r="ES5" s="1779"/>
      <c r="ET5" s="1779"/>
      <c r="EU5" s="1779"/>
      <c r="EV5" s="1779"/>
      <c r="EW5" s="1779"/>
      <c r="EX5" s="1779"/>
      <c r="EY5" s="1779"/>
      <c r="EZ5" s="1779"/>
      <c r="FA5" s="1779"/>
      <c r="FB5" s="1779"/>
      <c r="FC5" s="1779"/>
      <c r="FD5" s="1779"/>
      <c r="FE5" s="1779"/>
      <c r="FF5" s="1779"/>
      <c r="FG5" s="1779"/>
      <c r="FH5" s="1779"/>
      <c r="FI5" s="1779"/>
      <c r="FJ5" s="1779"/>
      <c r="FK5" s="1779"/>
      <c r="FL5" s="1779"/>
      <c r="FM5" s="1779"/>
      <c r="FN5" s="1779"/>
      <c r="FO5" s="1779"/>
      <c r="FP5" s="1779"/>
      <c r="FQ5" s="1779"/>
      <c r="FR5" s="1779"/>
      <c r="FS5" s="1779"/>
      <c r="FT5" s="1779"/>
      <c r="FU5" s="1779"/>
      <c r="FV5" s="1779"/>
      <c r="FW5" s="1779"/>
      <c r="FX5" s="1779"/>
      <c r="FY5" s="1779"/>
      <c r="FZ5" s="1779"/>
      <c r="GA5" s="1779"/>
      <c r="XES5" s="1780"/>
      <c r="XET5" s="1780"/>
      <c r="XEU5" s="1780"/>
      <c r="XEV5" s="1780"/>
      <c r="XEW5" s="1780"/>
      <c r="XEX5" s="1780"/>
      <c r="XEY5" s="1780"/>
      <c r="XEZ5" s="1780"/>
      <c r="XFA5" s="1780"/>
      <c r="XFB5" s="1780"/>
      <c r="XFC5" s="1780"/>
      <c r="XFD5" s="1780"/>
    </row>
    <row r="6" s="1663" customFormat="1" ht="36" customHeight="1" spans="1:16384">
      <c r="A6" s="1693">
        <v>45623</v>
      </c>
      <c r="B6" s="1694" t="s">
        <v>209</v>
      </c>
      <c r="C6" s="1695" t="s">
        <v>91</v>
      </c>
      <c r="D6" s="1696">
        <v>4500152379</v>
      </c>
      <c r="E6" s="1694" t="s">
        <v>1500</v>
      </c>
      <c r="F6" s="1696" t="s">
        <v>225</v>
      </c>
      <c r="G6" s="1697" t="s">
        <v>1489</v>
      </c>
      <c r="H6" s="1697" t="s">
        <v>1490</v>
      </c>
      <c r="I6" s="1704" t="s">
        <v>1491</v>
      </c>
      <c r="J6" s="1697">
        <v>216</v>
      </c>
      <c r="K6" s="1697">
        <v>0</v>
      </c>
      <c r="L6" s="1697">
        <v>18</v>
      </c>
      <c r="M6" s="1709">
        <f t="shared" si="0"/>
        <v>12</v>
      </c>
      <c r="N6" s="1706">
        <v>45664</v>
      </c>
      <c r="O6" s="1707">
        <v>45660</v>
      </c>
      <c r="P6" s="1708"/>
      <c r="Q6" s="1708" t="s">
        <v>1480</v>
      </c>
      <c r="R6" s="1708"/>
      <c r="S6" s="1710">
        <v>45623</v>
      </c>
      <c r="T6" s="1710"/>
      <c r="U6" s="1710" t="s">
        <v>1501</v>
      </c>
      <c r="V6" s="1721" t="s">
        <v>1495</v>
      </c>
      <c r="W6" s="1719" t="s">
        <v>1502</v>
      </c>
      <c r="X6" s="1720" t="s">
        <v>220</v>
      </c>
      <c r="Y6" s="1743">
        <v>3.5711</v>
      </c>
      <c r="Z6" s="1744">
        <f t="shared" si="1"/>
        <v>771.3576</v>
      </c>
      <c r="AA6" s="1741" t="s">
        <v>221</v>
      </c>
      <c r="AB6" s="1741">
        <v>216</v>
      </c>
      <c r="AC6" s="1741">
        <f t="shared" ref="AC6:AC39" si="6">AB6-J6</f>
        <v>0</v>
      </c>
      <c r="AD6" s="1741" t="s">
        <v>1499</v>
      </c>
      <c r="AE6" s="1742" t="s">
        <v>63</v>
      </c>
      <c r="AF6" s="1742" t="s">
        <v>38</v>
      </c>
      <c r="AG6" s="1720">
        <f t="shared" si="2"/>
        <v>216</v>
      </c>
      <c r="AH6" s="1720">
        <f t="shared" si="3"/>
        <v>216</v>
      </c>
      <c r="AI6" s="1754">
        <f t="shared" si="4"/>
        <v>216</v>
      </c>
      <c r="AJ6" s="1755"/>
      <c r="AK6" s="1756"/>
      <c r="AL6" s="1756">
        <f t="shared" ref="AL6:AL18" si="7">J6</f>
        <v>216</v>
      </c>
      <c r="AM6" s="1756"/>
      <c r="AN6" s="1756"/>
      <c r="AO6" s="1771"/>
      <c r="AP6" s="1771"/>
      <c r="AQ6" s="1772"/>
      <c r="AR6" s="1773"/>
      <c r="AS6" s="1754"/>
      <c r="AT6" s="1773"/>
      <c r="AU6" s="1774">
        <f t="shared" si="5"/>
        <v>216</v>
      </c>
      <c r="AV6" s="1775"/>
      <c r="AW6" s="1777"/>
      <c r="AX6" s="1777"/>
      <c r="AY6" s="1777"/>
      <c r="AZ6" s="1777"/>
      <c r="BA6" s="1777"/>
      <c r="BB6" s="1777"/>
      <c r="BC6" s="1777"/>
      <c r="BD6" s="1777"/>
      <c r="BE6" s="1777"/>
      <c r="BF6" s="1777"/>
      <c r="BG6" s="1777"/>
      <c r="BH6" s="1777"/>
      <c r="BI6" s="1777"/>
      <c r="BJ6" s="1777"/>
      <c r="BK6" s="1777"/>
      <c r="BL6" s="1777"/>
      <c r="BM6" s="1777"/>
      <c r="BN6" s="1777"/>
      <c r="BO6" s="1777"/>
      <c r="BP6" s="1777"/>
      <c r="BQ6" s="1777"/>
      <c r="BR6" s="1777"/>
      <c r="BS6" s="1777"/>
      <c r="BT6" s="1777"/>
      <c r="BU6" s="1777"/>
      <c r="BV6" s="1777"/>
      <c r="BW6" s="1777"/>
      <c r="BX6" s="1777"/>
      <c r="BY6" s="1777"/>
      <c r="BZ6" s="1777"/>
      <c r="CA6" s="1777"/>
      <c r="CB6" s="1777"/>
      <c r="CC6" s="1777"/>
      <c r="CD6" s="1777"/>
      <c r="CE6" s="1777"/>
      <c r="CF6" s="1777"/>
      <c r="CG6" s="1777"/>
      <c r="CH6" s="1777"/>
      <c r="CI6" s="1777"/>
      <c r="CJ6" s="1777"/>
      <c r="CK6" s="1777"/>
      <c r="CL6" s="1777"/>
      <c r="CM6" s="1777"/>
      <c r="CN6" s="1777"/>
      <c r="CO6" s="1777"/>
      <c r="CP6" s="1777"/>
      <c r="CQ6" s="1777"/>
      <c r="CR6" s="1777"/>
      <c r="CS6" s="1777"/>
      <c r="CT6" s="1777"/>
      <c r="CU6" s="1777"/>
      <c r="CV6" s="1777"/>
      <c r="CW6" s="1777"/>
      <c r="CX6" s="1777"/>
      <c r="CY6" s="1777"/>
      <c r="CZ6" s="1777"/>
      <c r="DA6" s="1777"/>
      <c r="DB6" s="1777"/>
      <c r="DC6" s="1777"/>
      <c r="DD6" s="1777"/>
      <c r="DE6" s="1777"/>
      <c r="DF6" s="1777"/>
      <c r="DG6" s="1777"/>
      <c r="DH6" s="1777"/>
      <c r="DI6" s="1777"/>
      <c r="DJ6" s="1777"/>
      <c r="DK6" s="1777"/>
      <c r="DL6" s="1777"/>
      <c r="DM6" s="1777"/>
      <c r="DN6" s="1777"/>
      <c r="DO6" s="1777"/>
      <c r="DP6" s="1777"/>
      <c r="DQ6" s="1777"/>
      <c r="DR6" s="1777"/>
      <c r="DS6" s="1777"/>
      <c r="DT6" s="1777"/>
      <c r="DU6" s="1777"/>
      <c r="DV6" s="1777"/>
      <c r="DW6" s="1777"/>
      <c r="DX6" s="1779"/>
      <c r="DY6" s="1779"/>
      <c r="DZ6" s="1779"/>
      <c r="EA6" s="1779"/>
      <c r="EB6" s="1779"/>
      <c r="EC6" s="1779"/>
      <c r="ED6" s="1779"/>
      <c r="EE6" s="1779"/>
      <c r="EF6" s="1779"/>
      <c r="EG6" s="1779"/>
      <c r="EH6" s="1779"/>
      <c r="EI6" s="1779"/>
      <c r="EJ6" s="1779"/>
      <c r="EK6" s="1779"/>
      <c r="EL6" s="1779"/>
      <c r="EM6" s="1779"/>
      <c r="EN6" s="1779"/>
      <c r="EO6" s="1779"/>
      <c r="EP6" s="1779"/>
      <c r="EQ6" s="1779"/>
      <c r="ER6" s="1779"/>
      <c r="ES6" s="1779"/>
      <c r="ET6" s="1779"/>
      <c r="EU6" s="1779"/>
      <c r="EV6" s="1779"/>
      <c r="EW6" s="1779"/>
      <c r="EX6" s="1779"/>
      <c r="EY6" s="1779"/>
      <c r="EZ6" s="1779"/>
      <c r="FA6" s="1779"/>
      <c r="FB6" s="1779"/>
      <c r="FC6" s="1779"/>
      <c r="FD6" s="1779"/>
      <c r="FE6" s="1779"/>
      <c r="FF6" s="1779"/>
      <c r="FG6" s="1779"/>
      <c r="FH6" s="1779"/>
      <c r="FI6" s="1779"/>
      <c r="FJ6" s="1779"/>
      <c r="FK6" s="1779"/>
      <c r="FL6" s="1779"/>
      <c r="FM6" s="1779"/>
      <c r="FN6" s="1779"/>
      <c r="FO6" s="1779"/>
      <c r="FP6" s="1779"/>
      <c r="FQ6" s="1779"/>
      <c r="FR6" s="1779"/>
      <c r="FS6" s="1779"/>
      <c r="FT6" s="1779"/>
      <c r="FU6" s="1779"/>
      <c r="FV6" s="1779"/>
      <c r="FW6" s="1779"/>
      <c r="FX6" s="1779"/>
      <c r="FY6" s="1779"/>
      <c r="FZ6" s="1779"/>
      <c r="GA6" s="1779"/>
      <c r="XES6" s="1780"/>
      <c r="XET6" s="1780"/>
      <c r="XEU6" s="1780"/>
      <c r="XEV6" s="1780"/>
      <c r="XEW6" s="1780"/>
      <c r="XEX6" s="1780"/>
      <c r="XEY6" s="1780"/>
      <c r="XEZ6" s="1780"/>
      <c r="XFA6" s="1780"/>
      <c r="XFB6" s="1780"/>
      <c r="XFC6" s="1780"/>
      <c r="XFD6" s="1780"/>
    </row>
    <row r="7" s="1663" customFormat="1" ht="36" customHeight="1" spans="1:16384">
      <c r="A7" s="1693">
        <v>45623</v>
      </c>
      <c r="B7" s="1694" t="s">
        <v>209</v>
      </c>
      <c r="C7" s="1695" t="s">
        <v>91</v>
      </c>
      <c r="D7" s="1696">
        <v>4500152657</v>
      </c>
      <c r="E7" s="1694" t="s">
        <v>1503</v>
      </c>
      <c r="F7" s="1696" t="s">
        <v>1504</v>
      </c>
      <c r="G7" s="1697" t="s">
        <v>1489</v>
      </c>
      <c r="H7" s="1697" t="s">
        <v>1490</v>
      </c>
      <c r="I7" s="1704" t="s">
        <v>1491</v>
      </c>
      <c r="J7" s="1697">
        <v>180</v>
      </c>
      <c r="K7" s="1697">
        <v>0</v>
      </c>
      <c r="L7" s="1697">
        <v>18</v>
      </c>
      <c r="M7" s="1709">
        <f t="shared" si="0"/>
        <v>10</v>
      </c>
      <c r="N7" s="1706">
        <v>45664</v>
      </c>
      <c r="O7" s="1707">
        <v>45660</v>
      </c>
      <c r="P7" s="1708"/>
      <c r="Q7" s="1708" t="s">
        <v>1480</v>
      </c>
      <c r="R7" s="1708"/>
      <c r="S7" s="1710">
        <v>45623</v>
      </c>
      <c r="T7" s="1710"/>
      <c r="U7" s="1710" t="s">
        <v>1501</v>
      </c>
      <c r="V7" s="1721" t="s">
        <v>1495</v>
      </c>
      <c r="W7" s="1719" t="s">
        <v>1502</v>
      </c>
      <c r="X7" s="1720" t="s">
        <v>220</v>
      </c>
      <c r="Y7" s="1743">
        <v>3.5711</v>
      </c>
      <c r="Z7" s="1744">
        <f t="shared" si="1"/>
        <v>642.798</v>
      </c>
      <c r="AA7" s="1741" t="s">
        <v>229</v>
      </c>
      <c r="AB7" s="1741">
        <v>180</v>
      </c>
      <c r="AC7" s="1741">
        <f t="shared" si="6"/>
        <v>0</v>
      </c>
      <c r="AD7" s="1741" t="s">
        <v>1499</v>
      </c>
      <c r="AE7" s="1742" t="s">
        <v>63</v>
      </c>
      <c r="AF7" s="1742" t="s">
        <v>38</v>
      </c>
      <c r="AG7" s="1720">
        <f t="shared" si="2"/>
        <v>180</v>
      </c>
      <c r="AH7" s="1720">
        <f t="shared" si="3"/>
        <v>180</v>
      </c>
      <c r="AI7" s="1754">
        <f t="shared" si="4"/>
        <v>180</v>
      </c>
      <c r="AJ7" s="1755"/>
      <c r="AK7" s="1756"/>
      <c r="AL7" s="1756">
        <f t="shared" si="7"/>
        <v>180</v>
      </c>
      <c r="AM7" s="1756"/>
      <c r="AN7" s="1756"/>
      <c r="AO7" s="1771"/>
      <c r="AP7" s="1771"/>
      <c r="AQ7" s="1772"/>
      <c r="AR7" s="1773"/>
      <c r="AS7" s="1754"/>
      <c r="AT7" s="1773"/>
      <c r="AU7" s="1774">
        <f t="shared" si="5"/>
        <v>180</v>
      </c>
      <c r="AV7" s="1775"/>
      <c r="AW7" s="1777"/>
      <c r="AX7" s="1777"/>
      <c r="AY7" s="1777"/>
      <c r="AZ7" s="1777"/>
      <c r="BA7" s="1777"/>
      <c r="BB7" s="1777"/>
      <c r="BC7" s="1777"/>
      <c r="BD7" s="1777"/>
      <c r="BE7" s="1777"/>
      <c r="BF7" s="1777"/>
      <c r="BG7" s="1777"/>
      <c r="BH7" s="1777"/>
      <c r="BI7" s="1777"/>
      <c r="BJ7" s="1777"/>
      <c r="BK7" s="1777"/>
      <c r="BL7" s="1777"/>
      <c r="BM7" s="1777"/>
      <c r="BN7" s="1777"/>
      <c r="BO7" s="1777"/>
      <c r="BP7" s="1777"/>
      <c r="BQ7" s="1777"/>
      <c r="BR7" s="1777"/>
      <c r="BS7" s="1777"/>
      <c r="BT7" s="1777"/>
      <c r="BU7" s="1777"/>
      <c r="BV7" s="1777"/>
      <c r="BW7" s="1777"/>
      <c r="BX7" s="1777"/>
      <c r="BY7" s="1777"/>
      <c r="BZ7" s="1777"/>
      <c r="CA7" s="1777"/>
      <c r="CB7" s="1777"/>
      <c r="CC7" s="1777"/>
      <c r="CD7" s="1777"/>
      <c r="CE7" s="1777"/>
      <c r="CF7" s="1777"/>
      <c r="CG7" s="1777"/>
      <c r="CH7" s="1777"/>
      <c r="CI7" s="1777"/>
      <c r="CJ7" s="1777"/>
      <c r="CK7" s="1777"/>
      <c r="CL7" s="1777"/>
      <c r="CM7" s="1777"/>
      <c r="CN7" s="1777"/>
      <c r="CO7" s="1777"/>
      <c r="CP7" s="1777"/>
      <c r="CQ7" s="1777"/>
      <c r="CR7" s="1777"/>
      <c r="CS7" s="1777"/>
      <c r="CT7" s="1777"/>
      <c r="CU7" s="1777"/>
      <c r="CV7" s="1777"/>
      <c r="CW7" s="1777"/>
      <c r="CX7" s="1777"/>
      <c r="CY7" s="1777"/>
      <c r="CZ7" s="1777"/>
      <c r="DA7" s="1777"/>
      <c r="DB7" s="1777"/>
      <c r="DC7" s="1777"/>
      <c r="DD7" s="1777"/>
      <c r="DE7" s="1777"/>
      <c r="DF7" s="1777"/>
      <c r="DG7" s="1777"/>
      <c r="DH7" s="1777"/>
      <c r="DI7" s="1777"/>
      <c r="DJ7" s="1777"/>
      <c r="DK7" s="1777"/>
      <c r="DL7" s="1777"/>
      <c r="DM7" s="1777"/>
      <c r="DN7" s="1777"/>
      <c r="DO7" s="1777"/>
      <c r="DP7" s="1777"/>
      <c r="DQ7" s="1777"/>
      <c r="DR7" s="1777"/>
      <c r="DS7" s="1777"/>
      <c r="DT7" s="1777"/>
      <c r="DU7" s="1777"/>
      <c r="DV7" s="1777"/>
      <c r="DW7" s="1777"/>
      <c r="DX7" s="1779"/>
      <c r="DY7" s="1779"/>
      <c r="DZ7" s="1779"/>
      <c r="EA7" s="1779"/>
      <c r="EB7" s="1779"/>
      <c r="EC7" s="1779"/>
      <c r="ED7" s="1779"/>
      <c r="EE7" s="1779"/>
      <c r="EF7" s="1779"/>
      <c r="EG7" s="1779"/>
      <c r="EH7" s="1779"/>
      <c r="EI7" s="1779"/>
      <c r="EJ7" s="1779"/>
      <c r="EK7" s="1779"/>
      <c r="EL7" s="1779"/>
      <c r="EM7" s="1779"/>
      <c r="EN7" s="1779"/>
      <c r="EO7" s="1779"/>
      <c r="EP7" s="1779"/>
      <c r="EQ7" s="1779"/>
      <c r="ER7" s="1779"/>
      <c r="ES7" s="1779"/>
      <c r="ET7" s="1779"/>
      <c r="EU7" s="1779"/>
      <c r="EV7" s="1779"/>
      <c r="EW7" s="1779"/>
      <c r="EX7" s="1779"/>
      <c r="EY7" s="1779"/>
      <c r="EZ7" s="1779"/>
      <c r="FA7" s="1779"/>
      <c r="FB7" s="1779"/>
      <c r="FC7" s="1779"/>
      <c r="FD7" s="1779"/>
      <c r="FE7" s="1779"/>
      <c r="FF7" s="1779"/>
      <c r="FG7" s="1779"/>
      <c r="FH7" s="1779"/>
      <c r="FI7" s="1779"/>
      <c r="FJ7" s="1779"/>
      <c r="FK7" s="1779"/>
      <c r="FL7" s="1779"/>
      <c r="FM7" s="1779"/>
      <c r="FN7" s="1779"/>
      <c r="FO7" s="1779"/>
      <c r="FP7" s="1779"/>
      <c r="FQ7" s="1779"/>
      <c r="FR7" s="1779"/>
      <c r="FS7" s="1779"/>
      <c r="FT7" s="1779"/>
      <c r="FU7" s="1779"/>
      <c r="FV7" s="1779"/>
      <c r="FW7" s="1779"/>
      <c r="FX7" s="1779"/>
      <c r="FY7" s="1779"/>
      <c r="FZ7" s="1779"/>
      <c r="GA7" s="1779"/>
      <c r="XES7" s="1780"/>
      <c r="XET7" s="1780"/>
      <c r="XEU7" s="1780"/>
      <c r="XEV7" s="1780"/>
      <c r="XEW7" s="1780"/>
      <c r="XEX7" s="1780"/>
      <c r="XEY7" s="1780"/>
      <c r="XEZ7" s="1780"/>
      <c r="XFA7" s="1780"/>
      <c r="XFB7" s="1780"/>
      <c r="XFC7" s="1780"/>
      <c r="XFD7" s="1780"/>
    </row>
    <row r="8" s="1663" customFormat="1" ht="36" customHeight="1" spans="1:16384">
      <c r="A8" s="1693">
        <v>45623</v>
      </c>
      <c r="B8" s="1694" t="s">
        <v>209</v>
      </c>
      <c r="C8" s="1695" t="s">
        <v>91</v>
      </c>
      <c r="D8" s="1696">
        <v>4500152439</v>
      </c>
      <c r="E8" s="1694" t="s">
        <v>1505</v>
      </c>
      <c r="F8" s="1696" t="s">
        <v>1506</v>
      </c>
      <c r="G8" s="1697" t="s">
        <v>1489</v>
      </c>
      <c r="H8" s="1697" t="s">
        <v>1490</v>
      </c>
      <c r="I8" s="1704" t="s">
        <v>1491</v>
      </c>
      <c r="J8" s="1697">
        <v>792</v>
      </c>
      <c r="K8" s="1697">
        <v>0</v>
      </c>
      <c r="L8" s="1697">
        <v>18</v>
      </c>
      <c r="M8" s="1709">
        <f t="shared" si="0"/>
        <v>44</v>
      </c>
      <c r="N8" s="1706">
        <v>45666</v>
      </c>
      <c r="O8" s="1707">
        <v>45663</v>
      </c>
      <c r="P8" s="1708"/>
      <c r="Q8" s="1708" t="s">
        <v>1480</v>
      </c>
      <c r="R8" s="1708"/>
      <c r="S8" s="1710">
        <v>45623</v>
      </c>
      <c r="T8" s="1710"/>
      <c r="U8" s="1710" t="s">
        <v>1501</v>
      </c>
      <c r="V8" s="1721" t="s">
        <v>1495</v>
      </c>
      <c r="W8" s="1719" t="s">
        <v>1507</v>
      </c>
      <c r="X8" s="1720" t="s">
        <v>220</v>
      </c>
      <c r="Y8" s="1743">
        <v>3.5384</v>
      </c>
      <c r="Z8" s="1744">
        <f t="shared" si="1"/>
        <v>2802.4128</v>
      </c>
      <c r="AA8" s="1741" t="s">
        <v>1508</v>
      </c>
      <c r="AB8" s="1741">
        <v>792</v>
      </c>
      <c r="AC8" s="1741">
        <f t="shared" si="6"/>
        <v>0</v>
      </c>
      <c r="AD8" s="1741" t="s">
        <v>1499</v>
      </c>
      <c r="AE8" s="1742" t="s">
        <v>63</v>
      </c>
      <c r="AF8" s="1742" t="s">
        <v>38</v>
      </c>
      <c r="AG8" s="1720">
        <f t="shared" si="2"/>
        <v>792</v>
      </c>
      <c r="AH8" s="1720">
        <f t="shared" si="3"/>
        <v>792</v>
      </c>
      <c r="AI8" s="1754">
        <f t="shared" si="4"/>
        <v>792</v>
      </c>
      <c r="AJ8" s="1755"/>
      <c r="AK8" s="1756"/>
      <c r="AL8" s="1756">
        <f t="shared" si="7"/>
        <v>792</v>
      </c>
      <c r="AM8" s="1756"/>
      <c r="AN8" s="1756"/>
      <c r="AO8" s="1771"/>
      <c r="AP8" s="1771"/>
      <c r="AQ8" s="1772"/>
      <c r="AR8" s="1773"/>
      <c r="AS8" s="1754"/>
      <c r="AT8" s="1773"/>
      <c r="AU8" s="1774">
        <f t="shared" si="5"/>
        <v>792</v>
      </c>
      <c r="AV8" s="1775"/>
      <c r="AW8" s="1777"/>
      <c r="AX8" s="1777"/>
      <c r="AY8" s="1777"/>
      <c r="AZ8" s="1777"/>
      <c r="BA8" s="1777"/>
      <c r="BB8" s="1777"/>
      <c r="BC8" s="1777"/>
      <c r="BD8" s="1777"/>
      <c r="BE8" s="1777"/>
      <c r="BF8" s="1777"/>
      <c r="BG8" s="1777"/>
      <c r="BH8" s="1777"/>
      <c r="BI8" s="1777"/>
      <c r="BJ8" s="1777"/>
      <c r="BK8" s="1777"/>
      <c r="BL8" s="1777"/>
      <c r="BM8" s="1777"/>
      <c r="BN8" s="1777"/>
      <c r="BO8" s="1777"/>
      <c r="BP8" s="1777"/>
      <c r="BQ8" s="1777"/>
      <c r="BR8" s="1777"/>
      <c r="BS8" s="1777"/>
      <c r="BT8" s="1777"/>
      <c r="BU8" s="1777"/>
      <c r="BV8" s="1777"/>
      <c r="BW8" s="1777"/>
      <c r="BX8" s="1777"/>
      <c r="BY8" s="1777"/>
      <c r="BZ8" s="1777"/>
      <c r="CA8" s="1777"/>
      <c r="CB8" s="1777"/>
      <c r="CC8" s="1777"/>
      <c r="CD8" s="1777"/>
      <c r="CE8" s="1777"/>
      <c r="CF8" s="1777"/>
      <c r="CG8" s="1777"/>
      <c r="CH8" s="1777"/>
      <c r="CI8" s="1777"/>
      <c r="CJ8" s="1777"/>
      <c r="CK8" s="1777"/>
      <c r="CL8" s="1777"/>
      <c r="CM8" s="1777"/>
      <c r="CN8" s="1777"/>
      <c r="CO8" s="1777"/>
      <c r="CP8" s="1777"/>
      <c r="CQ8" s="1777"/>
      <c r="CR8" s="1777"/>
      <c r="CS8" s="1777"/>
      <c r="CT8" s="1777"/>
      <c r="CU8" s="1777"/>
      <c r="CV8" s="1777"/>
      <c r="CW8" s="1777"/>
      <c r="CX8" s="1777"/>
      <c r="CY8" s="1777"/>
      <c r="CZ8" s="1777"/>
      <c r="DA8" s="1777"/>
      <c r="DB8" s="1777"/>
      <c r="DC8" s="1777"/>
      <c r="DD8" s="1777"/>
      <c r="DE8" s="1777"/>
      <c r="DF8" s="1777"/>
      <c r="DG8" s="1777"/>
      <c r="DH8" s="1777"/>
      <c r="DI8" s="1777"/>
      <c r="DJ8" s="1777"/>
      <c r="DK8" s="1777"/>
      <c r="DL8" s="1777"/>
      <c r="DM8" s="1777"/>
      <c r="DN8" s="1777"/>
      <c r="DO8" s="1777"/>
      <c r="DP8" s="1777"/>
      <c r="DQ8" s="1777"/>
      <c r="DR8" s="1777"/>
      <c r="DS8" s="1777"/>
      <c r="DT8" s="1777"/>
      <c r="DU8" s="1777"/>
      <c r="DV8" s="1777"/>
      <c r="DW8" s="1777"/>
      <c r="DX8" s="1779"/>
      <c r="DY8" s="1779"/>
      <c r="DZ8" s="1779"/>
      <c r="EA8" s="1779"/>
      <c r="EB8" s="1779"/>
      <c r="EC8" s="1779"/>
      <c r="ED8" s="1779"/>
      <c r="EE8" s="1779"/>
      <c r="EF8" s="1779"/>
      <c r="EG8" s="1779"/>
      <c r="EH8" s="1779"/>
      <c r="EI8" s="1779"/>
      <c r="EJ8" s="1779"/>
      <c r="EK8" s="1779"/>
      <c r="EL8" s="1779"/>
      <c r="EM8" s="1779"/>
      <c r="EN8" s="1779"/>
      <c r="EO8" s="1779"/>
      <c r="EP8" s="1779"/>
      <c r="EQ8" s="1779"/>
      <c r="ER8" s="1779"/>
      <c r="ES8" s="1779"/>
      <c r="ET8" s="1779"/>
      <c r="EU8" s="1779"/>
      <c r="EV8" s="1779"/>
      <c r="EW8" s="1779"/>
      <c r="EX8" s="1779"/>
      <c r="EY8" s="1779"/>
      <c r="EZ8" s="1779"/>
      <c r="FA8" s="1779"/>
      <c r="FB8" s="1779"/>
      <c r="FC8" s="1779"/>
      <c r="FD8" s="1779"/>
      <c r="FE8" s="1779"/>
      <c r="FF8" s="1779"/>
      <c r="FG8" s="1779"/>
      <c r="FH8" s="1779"/>
      <c r="FI8" s="1779"/>
      <c r="FJ8" s="1779"/>
      <c r="FK8" s="1779"/>
      <c r="FL8" s="1779"/>
      <c r="FM8" s="1779"/>
      <c r="FN8" s="1779"/>
      <c r="FO8" s="1779"/>
      <c r="FP8" s="1779"/>
      <c r="FQ8" s="1779"/>
      <c r="FR8" s="1779"/>
      <c r="FS8" s="1779"/>
      <c r="FT8" s="1779"/>
      <c r="FU8" s="1779"/>
      <c r="FV8" s="1779"/>
      <c r="FW8" s="1779"/>
      <c r="FX8" s="1779"/>
      <c r="FY8" s="1779"/>
      <c r="FZ8" s="1779"/>
      <c r="GA8" s="1779"/>
      <c r="XES8" s="1780"/>
      <c r="XET8" s="1780"/>
      <c r="XEU8" s="1780"/>
      <c r="XEV8" s="1780"/>
      <c r="XEW8" s="1780"/>
      <c r="XEX8" s="1780"/>
      <c r="XEY8" s="1780"/>
      <c r="XEZ8" s="1780"/>
      <c r="XFA8" s="1780"/>
      <c r="XFB8" s="1780"/>
      <c r="XFC8" s="1780"/>
      <c r="XFD8" s="1780"/>
    </row>
    <row r="9" s="1663" customFormat="1" ht="36" customHeight="1" spans="1:16384">
      <c r="A9" s="1693">
        <v>45623</v>
      </c>
      <c r="B9" s="1694" t="s">
        <v>1486</v>
      </c>
      <c r="C9" s="1695" t="s">
        <v>398</v>
      </c>
      <c r="D9" s="1696">
        <v>4500152544</v>
      </c>
      <c r="E9" s="1694" t="s">
        <v>1509</v>
      </c>
      <c r="F9" s="1696" t="s">
        <v>1510</v>
      </c>
      <c r="G9" s="1697" t="s">
        <v>1489</v>
      </c>
      <c r="H9" s="1697" t="s">
        <v>1490</v>
      </c>
      <c r="I9" s="1704" t="s">
        <v>1491</v>
      </c>
      <c r="J9" s="1697">
        <v>18</v>
      </c>
      <c r="K9" s="1697">
        <v>0</v>
      </c>
      <c r="L9" s="1697">
        <v>18</v>
      </c>
      <c r="M9" s="1709">
        <f t="shared" si="0"/>
        <v>1</v>
      </c>
      <c r="N9" s="1706">
        <v>45670</v>
      </c>
      <c r="O9" s="1707">
        <v>45666</v>
      </c>
      <c r="P9" s="1708"/>
      <c r="Q9" s="1708" t="s">
        <v>1480</v>
      </c>
      <c r="R9" s="1722" t="s">
        <v>1511</v>
      </c>
      <c r="S9" s="1710">
        <v>45623</v>
      </c>
      <c r="T9" s="1710"/>
      <c r="U9" s="1710" t="s">
        <v>1501</v>
      </c>
      <c r="V9" s="1721" t="s">
        <v>1495</v>
      </c>
      <c r="W9" s="1719" t="s">
        <v>1512</v>
      </c>
      <c r="X9" s="1720" t="s">
        <v>1497</v>
      </c>
      <c r="Y9" s="1743">
        <v>3.5384</v>
      </c>
      <c r="Z9" s="1744">
        <f t="shared" si="1"/>
        <v>63.6912</v>
      </c>
      <c r="AA9" s="1741" t="s">
        <v>1513</v>
      </c>
      <c r="AB9" s="1741">
        <v>18</v>
      </c>
      <c r="AC9" s="1741">
        <f t="shared" si="6"/>
        <v>0</v>
      </c>
      <c r="AD9" s="1741" t="s">
        <v>1499</v>
      </c>
      <c r="AE9" s="1742" t="s">
        <v>63</v>
      </c>
      <c r="AF9" s="1742" t="s">
        <v>38</v>
      </c>
      <c r="AG9" s="1720">
        <f t="shared" si="2"/>
        <v>18</v>
      </c>
      <c r="AH9" s="1720">
        <f t="shared" si="3"/>
        <v>18</v>
      </c>
      <c r="AI9" s="1754">
        <f t="shared" si="4"/>
        <v>18</v>
      </c>
      <c r="AJ9" s="1755"/>
      <c r="AK9" s="1756"/>
      <c r="AL9" s="1756">
        <f t="shared" si="7"/>
        <v>18</v>
      </c>
      <c r="AM9" s="1756"/>
      <c r="AN9" s="1756"/>
      <c r="AO9" s="1771"/>
      <c r="AP9" s="1771"/>
      <c r="AQ9" s="1772"/>
      <c r="AR9" s="1773"/>
      <c r="AS9" s="1754"/>
      <c r="AT9" s="1773"/>
      <c r="AU9" s="1774">
        <f t="shared" si="5"/>
        <v>18</v>
      </c>
      <c r="AV9" s="1775"/>
      <c r="AW9" s="1777"/>
      <c r="AX9" s="1777"/>
      <c r="AY9" s="1777"/>
      <c r="AZ9" s="1777"/>
      <c r="BA9" s="1777"/>
      <c r="BB9" s="1777"/>
      <c r="BC9" s="1777"/>
      <c r="BD9" s="1777"/>
      <c r="BE9" s="1777"/>
      <c r="BF9" s="1777"/>
      <c r="BG9" s="1777"/>
      <c r="BH9" s="1777"/>
      <c r="BI9" s="1777"/>
      <c r="BJ9" s="1777"/>
      <c r="BK9" s="1777"/>
      <c r="BL9" s="1777"/>
      <c r="BM9" s="1777"/>
      <c r="BN9" s="1777"/>
      <c r="BO9" s="1777"/>
      <c r="BP9" s="1777"/>
      <c r="BQ9" s="1777"/>
      <c r="BR9" s="1777"/>
      <c r="BS9" s="1777"/>
      <c r="BT9" s="1777"/>
      <c r="BU9" s="1777"/>
      <c r="BV9" s="1777"/>
      <c r="BW9" s="1777"/>
      <c r="BX9" s="1777"/>
      <c r="BY9" s="1777"/>
      <c r="BZ9" s="1777"/>
      <c r="CA9" s="1777"/>
      <c r="CB9" s="1777"/>
      <c r="CC9" s="1777"/>
      <c r="CD9" s="1777"/>
      <c r="CE9" s="1777"/>
      <c r="CF9" s="1777"/>
      <c r="CG9" s="1777"/>
      <c r="CH9" s="1777"/>
      <c r="CI9" s="1777"/>
      <c r="CJ9" s="1777"/>
      <c r="CK9" s="1777"/>
      <c r="CL9" s="1777"/>
      <c r="CM9" s="1777"/>
      <c r="CN9" s="1777"/>
      <c r="CO9" s="1777"/>
      <c r="CP9" s="1777"/>
      <c r="CQ9" s="1777"/>
      <c r="CR9" s="1777"/>
      <c r="CS9" s="1777"/>
      <c r="CT9" s="1777"/>
      <c r="CU9" s="1777"/>
      <c r="CV9" s="1777"/>
      <c r="CW9" s="1777"/>
      <c r="CX9" s="1777"/>
      <c r="CY9" s="1777"/>
      <c r="CZ9" s="1777"/>
      <c r="DA9" s="1777"/>
      <c r="DB9" s="1777"/>
      <c r="DC9" s="1777"/>
      <c r="DD9" s="1777"/>
      <c r="DE9" s="1777"/>
      <c r="DF9" s="1777"/>
      <c r="DG9" s="1777"/>
      <c r="DH9" s="1777"/>
      <c r="DI9" s="1777"/>
      <c r="DJ9" s="1777"/>
      <c r="DK9" s="1777"/>
      <c r="DL9" s="1777"/>
      <c r="DM9" s="1777"/>
      <c r="DN9" s="1777"/>
      <c r="DO9" s="1777"/>
      <c r="DP9" s="1777"/>
      <c r="DQ9" s="1777"/>
      <c r="DR9" s="1777"/>
      <c r="DS9" s="1777"/>
      <c r="DT9" s="1777"/>
      <c r="DU9" s="1777"/>
      <c r="DV9" s="1777"/>
      <c r="DW9" s="1777"/>
      <c r="DX9" s="1779"/>
      <c r="DY9" s="1779"/>
      <c r="DZ9" s="1779"/>
      <c r="EA9" s="1779"/>
      <c r="EB9" s="1779"/>
      <c r="EC9" s="1779"/>
      <c r="ED9" s="1779"/>
      <c r="EE9" s="1779"/>
      <c r="EF9" s="1779"/>
      <c r="EG9" s="1779"/>
      <c r="EH9" s="1779"/>
      <c r="EI9" s="1779"/>
      <c r="EJ9" s="1779"/>
      <c r="EK9" s="1779"/>
      <c r="EL9" s="1779"/>
      <c r="EM9" s="1779"/>
      <c r="EN9" s="1779"/>
      <c r="EO9" s="1779"/>
      <c r="EP9" s="1779"/>
      <c r="EQ9" s="1779"/>
      <c r="ER9" s="1779"/>
      <c r="ES9" s="1779"/>
      <c r="ET9" s="1779"/>
      <c r="EU9" s="1779"/>
      <c r="EV9" s="1779"/>
      <c r="EW9" s="1779"/>
      <c r="EX9" s="1779"/>
      <c r="EY9" s="1779"/>
      <c r="EZ9" s="1779"/>
      <c r="FA9" s="1779"/>
      <c r="FB9" s="1779"/>
      <c r="FC9" s="1779"/>
      <c r="FD9" s="1779"/>
      <c r="FE9" s="1779"/>
      <c r="FF9" s="1779"/>
      <c r="FG9" s="1779"/>
      <c r="FH9" s="1779"/>
      <c r="FI9" s="1779"/>
      <c r="FJ9" s="1779"/>
      <c r="FK9" s="1779"/>
      <c r="FL9" s="1779"/>
      <c r="FM9" s="1779"/>
      <c r="FN9" s="1779"/>
      <c r="FO9" s="1779"/>
      <c r="FP9" s="1779"/>
      <c r="FQ9" s="1779"/>
      <c r="FR9" s="1779"/>
      <c r="FS9" s="1779"/>
      <c r="FT9" s="1779"/>
      <c r="FU9" s="1779"/>
      <c r="FV9" s="1779"/>
      <c r="FW9" s="1779"/>
      <c r="FX9" s="1779"/>
      <c r="FY9" s="1779"/>
      <c r="FZ9" s="1779"/>
      <c r="GA9" s="1779"/>
      <c r="XES9" s="1780"/>
      <c r="XET9" s="1780"/>
      <c r="XEU9" s="1780"/>
      <c r="XEV9" s="1780"/>
      <c r="XEW9" s="1780"/>
      <c r="XEX9" s="1780"/>
      <c r="XEY9" s="1780"/>
      <c r="XEZ9" s="1780"/>
      <c r="XFA9" s="1780"/>
      <c r="XFB9" s="1780"/>
      <c r="XFC9" s="1780"/>
      <c r="XFD9" s="1780"/>
    </row>
    <row r="10" s="1663" customFormat="1" ht="36" customHeight="1" spans="1:16384">
      <c r="A10" s="1693">
        <v>45623</v>
      </c>
      <c r="B10" s="1694" t="s">
        <v>1486</v>
      </c>
      <c r="C10" s="1695" t="s">
        <v>398</v>
      </c>
      <c r="D10" s="1696">
        <v>4500152544</v>
      </c>
      <c r="E10" s="1694" t="s">
        <v>1514</v>
      </c>
      <c r="F10" s="1696" t="s">
        <v>1515</v>
      </c>
      <c r="G10" s="1697" t="s">
        <v>1489</v>
      </c>
      <c r="H10" s="1697" t="s">
        <v>1490</v>
      </c>
      <c r="I10" s="1704" t="s">
        <v>1491</v>
      </c>
      <c r="J10" s="1697">
        <v>18</v>
      </c>
      <c r="K10" s="1697">
        <v>0</v>
      </c>
      <c r="L10" s="1697">
        <v>18</v>
      </c>
      <c r="M10" s="1709">
        <f t="shared" si="0"/>
        <v>1</v>
      </c>
      <c r="N10" s="1706">
        <v>45670</v>
      </c>
      <c r="O10" s="1707">
        <v>45666</v>
      </c>
      <c r="P10" s="1708"/>
      <c r="Q10" s="1708" t="s">
        <v>1480</v>
      </c>
      <c r="R10" s="1722" t="s">
        <v>1511</v>
      </c>
      <c r="S10" s="1710">
        <v>45623</v>
      </c>
      <c r="T10" s="1710"/>
      <c r="U10" s="1710" t="s">
        <v>1501</v>
      </c>
      <c r="V10" s="1721" t="s">
        <v>1495</v>
      </c>
      <c r="W10" s="1719" t="s">
        <v>1512</v>
      </c>
      <c r="X10" s="1720" t="s">
        <v>1497</v>
      </c>
      <c r="Y10" s="1743">
        <v>3.5384</v>
      </c>
      <c r="Z10" s="1744">
        <f t="shared" si="1"/>
        <v>63.6912</v>
      </c>
      <c r="AA10" s="1741" t="s">
        <v>1513</v>
      </c>
      <c r="AB10" s="1741">
        <v>18</v>
      </c>
      <c r="AC10" s="1741">
        <f t="shared" si="6"/>
        <v>0</v>
      </c>
      <c r="AD10" s="1741" t="s">
        <v>1499</v>
      </c>
      <c r="AE10" s="1742" t="s">
        <v>63</v>
      </c>
      <c r="AF10" s="1742" t="s">
        <v>38</v>
      </c>
      <c r="AG10" s="1720">
        <f t="shared" si="2"/>
        <v>18</v>
      </c>
      <c r="AH10" s="1720">
        <f t="shared" si="3"/>
        <v>18</v>
      </c>
      <c r="AI10" s="1754">
        <f t="shared" si="4"/>
        <v>18</v>
      </c>
      <c r="AJ10" s="1755"/>
      <c r="AK10" s="1756"/>
      <c r="AL10" s="1756">
        <f t="shared" si="7"/>
        <v>18</v>
      </c>
      <c r="AM10" s="1756"/>
      <c r="AN10" s="1756"/>
      <c r="AO10" s="1771"/>
      <c r="AP10" s="1771"/>
      <c r="AQ10" s="1772"/>
      <c r="AR10" s="1773"/>
      <c r="AS10" s="1754"/>
      <c r="AT10" s="1773"/>
      <c r="AU10" s="1774">
        <f t="shared" si="5"/>
        <v>18</v>
      </c>
      <c r="AV10" s="1775"/>
      <c r="AW10" s="1777"/>
      <c r="AX10" s="1777"/>
      <c r="AY10" s="1777"/>
      <c r="AZ10" s="1777"/>
      <c r="BA10" s="1777"/>
      <c r="BB10" s="1777"/>
      <c r="BC10" s="1777"/>
      <c r="BD10" s="1777"/>
      <c r="BE10" s="1777"/>
      <c r="BF10" s="1777"/>
      <c r="BG10" s="1777"/>
      <c r="BH10" s="1777"/>
      <c r="BI10" s="1777"/>
      <c r="BJ10" s="1777"/>
      <c r="BK10" s="1777"/>
      <c r="BL10" s="1777"/>
      <c r="BM10" s="1777"/>
      <c r="BN10" s="1777"/>
      <c r="BO10" s="1777"/>
      <c r="BP10" s="1777"/>
      <c r="BQ10" s="1777"/>
      <c r="BR10" s="1777"/>
      <c r="BS10" s="1777"/>
      <c r="BT10" s="1777"/>
      <c r="BU10" s="1777"/>
      <c r="BV10" s="1777"/>
      <c r="BW10" s="1777"/>
      <c r="BX10" s="1777"/>
      <c r="BY10" s="1777"/>
      <c r="BZ10" s="1777"/>
      <c r="CA10" s="1777"/>
      <c r="CB10" s="1777"/>
      <c r="CC10" s="1777"/>
      <c r="CD10" s="1777"/>
      <c r="CE10" s="1777"/>
      <c r="CF10" s="1777"/>
      <c r="CG10" s="1777"/>
      <c r="CH10" s="1777"/>
      <c r="CI10" s="1777"/>
      <c r="CJ10" s="1777"/>
      <c r="CK10" s="1777"/>
      <c r="CL10" s="1777"/>
      <c r="CM10" s="1777"/>
      <c r="CN10" s="1777"/>
      <c r="CO10" s="1777"/>
      <c r="CP10" s="1777"/>
      <c r="CQ10" s="1777"/>
      <c r="CR10" s="1777"/>
      <c r="CS10" s="1777"/>
      <c r="CT10" s="1777"/>
      <c r="CU10" s="1777"/>
      <c r="CV10" s="1777"/>
      <c r="CW10" s="1777"/>
      <c r="CX10" s="1777"/>
      <c r="CY10" s="1777"/>
      <c r="CZ10" s="1777"/>
      <c r="DA10" s="1777"/>
      <c r="DB10" s="1777"/>
      <c r="DC10" s="1777"/>
      <c r="DD10" s="1777"/>
      <c r="DE10" s="1777"/>
      <c r="DF10" s="1777"/>
      <c r="DG10" s="1777"/>
      <c r="DH10" s="1777"/>
      <c r="DI10" s="1777"/>
      <c r="DJ10" s="1777"/>
      <c r="DK10" s="1777"/>
      <c r="DL10" s="1777"/>
      <c r="DM10" s="1777"/>
      <c r="DN10" s="1777"/>
      <c r="DO10" s="1777"/>
      <c r="DP10" s="1777"/>
      <c r="DQ10" s="1777"/>
      <c r="DR10" s="1777"/>
      <c r="DS10" s="1777"/>
      <c r="DT10" s="1777"/>
      <c r="DU10" s="1777"/>
      <c r="DV10" s="1777"/>
      <c r="DW10" s="1777"/>
      <c r="DX10" s="1779"/>
      <c r="DY10" s="1779"/>
      <c r="DZ10" s="1779"/>
      <c r="EA10" s="1779"/>
      <c r="EB10" s="1779"/>
      <c r="EC10" s="1779"/>
      <c r="ED10" s="1779"/>
      <c r="EE10" s="1779"/>
      <c r="EF10" s="1779"/>
      <c r="EG10" s="1779"/>
      <c r="EH10" s="1779"/>
      <c r="EI10" s="1779"/>
      <c r="EJ10" s="1779"/>
      <c r="EK10" s="1779"/>
      <c r="EL10" s="1779"/>
      <c r="EM10" s="1779"/>
      <c r="EN10" s="1779"/>
      <c r="EO10" s="1779"/>
      <c r="EP10" s="1779"/>
      <c r="EQ10" s="1779"/>
      <c r="ER10" s="1779"/>
      <c r="ES10" s="1779"/>
      <c r="ET10" s="1779"/>
      <c r="EU10" s="1779"/>
      <c r="EV10" s="1779"/>
      <c r="EW10" s="1779"/>
      <c r="EX10" s="1779"/>
      <c r="EY10" s="1779"/>
      <c r="EZ10" s="1779"/>
      <c r="FA10" s="1779"/>
      <c r="FB10" s="1779"/>
      <c r="FC10" s="1779"/>
      <c r="FD10" s="1779"/>
      <c r="FE10" s="1779"/>
      <c r="FF10" s="1779"/>
      <c r="FG10" s="1779"/>
      <c r="FH10" s="1779"/>
      <c r="FI10" s="1779"/>
      <c r="FJ10" s="1779"/>
      <c r="FK10" s="1779"/>
      <c r="FL10" s="1779"/>
      <c r="FM10" s="1779"/>
      <c r="FN10" s="1779"/>
      <c r="FO10" s="1779"/>
      <c r="FP10" s="1779"/>
      <c r="FQ10" s="1779"/>
      <c r="FR10" s="1779"/>
      <c r="FS10" s="1779"/>
      <c r="FT10" s="1779"/>
      <c r="FU10" s="1779"/>
      <c r="FV10" s="1779"/>
      <c r="FW10" s="1779"/>
      <c r="FX10" s="1779"/>
      <c r="FY10" s="1779"/>
      <c r="FZ10" s="1779"/>
      <c r="GA10" s="1779"/>
      <c r="XES10" s="1780"/>
      <c r="XET10" s="1780"/>
      <c r="XEU10" s="1780"/>
      <c r="XEV10" s="1780"/>
      <c r="XEW10" s="1780"/>
      <c r="XEX10" s="1780"/>
      <c r="XEY10" s="1780"/>
      <c r="XEZ10" s="1780"/>
      <c r="XFA10" s="1780"/>
      <c r="XFB10" s="1780"/>
      <c r="XFC10" s="1780"/>
      <c r="XFD10" s="1780"/>
    </row>
    <row r="11" s="1663" customFormat="1" ht="36" customHeight="1" spans="1:16384">
      <c r="A11" s="1693">
        <v>45558</v>
      </c>
      <c r="B11" s="1694" t="s">
        <v>1516</v>
      </c>
      <c r="C11" s="1695" t="s">
        <v>91</v>
      </c>
      <c r="D11" s="1696">
        <v>4500145922</v>
      </c>
      <c r="E11" s="1694">
        <v>10858892</v>
      </c>
      <c r="F11" s="1696" t="s">
        <v>1517</v>
      </c>
      <c r="G11" s="1697" t="s">
        <v>1518</v>
      </c>
      <c r="H11" s="1697" t="s">
        <v>1519</v>
      </c>
      <c r="I11" s="1704" t="s">
        <v>1479</v>
      </c>
      <c r="J11" s="1697">
        <v>510</v>
      </c>
      <c r="K11" s="1697">
        <v>0</v>
      </c>
      <c r="L11" s="1697">
        <v>6</v>
      </c>
      <c r="M11" s="1705">
        <f t="shared" si="0"/>
        <v>85</v>
      </c>
      <c r="N11" s="1706">
        <v>45693</v>
      </c>
      <c r="O11" s="1707">
        <v>45689</v>
      </c>
      <c r="P11" s="1708"/>
      <c r="Q11" s="1708" t="s">
        <v>1480</v>
      </c>
      <c r="R11" s="1708" t="s">
        <v>228</v>
      </c>
      <c r="S11" s="1710" t="s">
        <v>1520</v>
      </c>
      <c r="T11" s="1710"/>
      <c r="U11" s="1710" t="s">
        <v>1521</v>
      </c>
      <c r="V11" s="1721" t="s">
        <v>1522</v>
      </c>
      <c r="W11" s="1719" t="s">
        <v>1523</v>
      </c>
      <c r="X11" s="1720" t="s">
        <v>407</v>
      </c>
      <c r="Y11" s="1739">
        <v>1.6244</v>
      </c>
      <c r="Z11" s="1740">
        <f t="shared" si="1"/>
        <v>828.444</v>
      </c>
      <c r="AA11" s="1741" t="s">
        <v>1524</v>
      </c>
      <c r="AB11" s="1741">
        <v>510</v>
      </c>
      <c r="AC11" s="1741">
        <f t="shared" si="6"/>
        <v>0</v>
      </c>
      <c r="AD11" s="1745" t="s">
        <v>1485</v>
      </c>
      <c r="AE11" s="1742" t="s">
        <v>63</v>
      </c>
      <c r="AF11" s="1742" t="s">
        <v>38</v>
      </c>
      <c r="AG11" s="1720">
        <f t="shared" ref="AG11:AG17" si="8">J11/3</f>
        <v>170</v>
      </c>
      <c r="AH11" s="1720">
        <f t="shared" ref="AH11:AH17" si="9">J11/3</f>
        <v>170</v>
      </c>
      <c r="AI11" s="1754">
        <f t="shared" ref="AI11:AI17" si="10">J11/3</f>
        <v>170</v>
      </c>
      <c r="AJ11" s="1755">
        <f>J11</f>
        <v>510</v>
      </c>
      <c r="AK11" s="1756"/>
      <c r="AL11" s="1756">
        <f t="shared" si="7"/>
        <v>510</v>
      </c>
      <c r="AM11" s="1756">
        <f>J11/6</f>
        <v>85</v>
      </c>
      <c r="AN11" s="1756"/>
      <c r="AO11" s="1771"/>
      <c r="AP11" s="1771"/>
      <c r="AQ11" s="1772"/>
      <c r="AR11" s="1773"/>
      <c r="AS11" s="1754"/>
      <c r="AT11" s="1773"/>
      <c r="AU11" s="1774"/>
      <c r="AV11" s="1775"/>
      <c r="AW11" s="1777"/>
      <c r="AX11" s="1777"/>
      <c r="AY11" s="1777"/>
      <c r="AZ11" s="1777"/>
      <c r="BA11" s="1777"/>
      <c r="BB11" s="1777"/>
      <c r="BC11" s="1777"/>
      <c r="BD11" s="1777"/>
      <c r="BE11" s="1777"/>
      <c r="BF11" s="1777"/>
      <c r="BG11" s="1777"/>
      <c r="BH11" s="1777"/>
      <c r="BI11" s="1777"/>
      <c r="BJ11" s="1777"/>
      <c r="BK11" s="1777"/>
      <c r="BL11" s="1777"/>
      <c r="BM11" s="1777"/>
      <c r="BN11" s="1777"/>
      <c r="BO11" s="1777"/>
      <c r="BP11" s="1777"/>
      <c r="BQ11" s="1777"/>
      <c r="BR11" s="1777"/>
      <c r="BS11" s="1777"/>
      <c r="BT11" s="1777"/>
      <c r="BU11" s="1777"/>
      <c r="BV11" s="1777"/>
      <c r="BW11" s="1777"/>
      <c r="BX11" s="1777"/>
      <c r="BY11" s="1777"/>
      <c r="BZ11" s="1777"/>
      <c r="CA11" s="1777"/>
      <c r="CB11" s="1777"/>
      <c r="CC11" s="1777"/>
      <c r="CD11" s="1777"/>
      <c r="CE11" s="1777"/>
      <c r="CF11" s="1777"/>
      <c r="CG11" s="1777"/>
      <c r="CH11" s="1777"/>
      <c r="CI11" s="1777"/>
      <c r="CJ11" s="1777"/>
      <c r="CK11" s="1777"/>
      <c r="CL11" s="1777"/>
      <c r="CM11" s="1777"/>
      <c r="CN11" s="1777"/>
      <c r="CO11" s="1777"/>
      <c r="CP11" s="1777"/>
      <c r="CQ11" s="1777"/>
      <c r="CR11" s="1777"/>
      <c r="CS11" s="1777"/>
      <c r="CT11" s="1777"/>
      <c r="CU11" s="1777"/>
      <c r="CV11" s="1777"/>
      <c r="CW11" s="1777"/>
      <c r="CX11" s="1777"/>
      <c r="CY11" s="1777"/>
      <c r="CZ11" s="1777"/>
      <c r="DA11" s="1777"/>
      <c r="DB11" s="1777"/>
      <c r="DC11" s="1777"/>
      <c r="DD11" s="1777"/>
      <c r="DE11" s="1777"/>
      <c r="DF11" s="1777"/>
      <c r="DG11" s="1777"/>
      <c r="DH11" s="1777"/>
      <c r="DI11" s="1777"/>
      <c r="DJ11" s="1777"/>
      <c r="DK11" s="1777"/>
      <c r="DL11" s="1777"/>
      <c r="DM11" s="1777"/>
      <c r="DN11" s="1777"/>
      <c r="DO11" s="1777"/>
      <c r="DP11" s="1777"/>
      <c r="DQ11" s="1777"/>
      <c r="DR11" s="1777"/>
      <c r="DS11" s="1777"/>
      <c r="DT11" s="1777"/>
      <c r="DU11" s="1777"/>
      <c r="DV11" s="1777"/>
      <c r="DW11" s="1777"/>
      <c r="DX11" s="1779"/>
      <c r="DY11" s="1779"/>
      <c r="DZ11" s="1779"/>
      <c r="EA11" s="1779"/>
      <c r="EB11" s="1779"/>
      <c r="EC11" s="1779"/>
      <c r="ED11" s="1779"/>
      <c r="EE11" s="1779"/>
      <c r="EF11" s="1779"/>
      <c r="EG11" s="1779"/>
      <c r="EH11" s="1779"/>
      <c r="EI11" s="1779"/>
      <c r="EJ11" s="1779"/>
      <c r="EK11" s="1779"/>
      <c r="EL11" s="1779"/>
      <c r="EM11" s="1779"/>
      <c r="EN11" s="1779"/>
      <c r="EO11" s="1779"/>
      <c r="EP11" s="1779"/>
      <c r="EQ11" s="1779"/>
      <c r="ER11" s="1779"/>
      <c r="ES11" s="1779"/>
      <c r="ET11" s="1779"/>
      <c r="EU11" s="1779"/>
      <c r="EV11" s="1779"/>
      <c r="EW11" s="1779"/>
      <c r="EX11" s="1779"/>
      <c r="EY11" s="1779"/>
      <c r="EZ11" s="1779"/>
      <c r="FA11" s="1779"/>
      <c r="FB11" s="1779"/>
      <c r="FC11" s="1779"/>
      <c r="FD11" s="1779"/>
      <c r="FE11" s="1779"/>
      <c r="FF11" s="1779"/>
      <c r="FG11" s="1779"/>
      <c r="FH11" s="1779"/>
      <c r="FI11" s="1779"/>
      <c r="FJ11" s="1779"/>
      <c r="FK11" s="1779"/>
      <c r="FL11" s="1779"/>
      <c r="FM11" s="1779"/>
      <c r="FN11" s="1779"/>
      <c r="FO11" s="1779"/>
      <c r="FP11" s="1779"/>
      <c r="FQ11" s="1779"/>
      <c r="FR11" s="1779"/>
      <c r="FS11" s="1779"/>
      <c r="FT11" s="1779"/>
      <c r="FU11" s="1779"/>
      <c r="FV11" s="1779"/>
      <c r="FW11" s="1779"/>
      <c r="FX11" s="1779"/>
      <c r="FY11" s="1779"/>
      <c r="FZ11" s="1779"/>
      <c r="GA11" s="1779"/>
      <c r="XES11" s="1780"/>
      <c r="XET11" s="1780"/>
      <c r="XEU11" s="1780"/>
      <c r="XEV11" s="1780"/>
      <c r="XEW11" s="1780"/>
      <c r="XEX11" s="1780"/>
      <c r="XEY11" s="1780"/>
      <c r="XEZ11" s="1780"/>
      <c r="XFA11" s="1780"/>
      <c r="XFB11" s="1780"/>
      <c r="XFC11" s="1780"/>
      <c r="XFD11" s="1780"/>
    </row>
    <row r="12" s="1663" customFormat="1" ht="36" customHeight="1" spans="1:16384">
      <c r="A12" s="1693">
        <v>45558</v>
      </c>
      <c r="B12" s="1694" t="s">
        <v>1516</v>
      </c>
      <c r="C12" s="1695" t="s">
        <v>91</v>
      </c>
      <c r="D12" s="1696">
        <v>4500145919</v>
      </c>
      <c r="E12" s="1694">
        <v>10858893</v>
      </c>
      <c r="F12" s="1696" t="s">
        <v>1525</v>
      </c>
      <c r="G12" s="1697" t="s">
        <v>1518</v>
      </c>
      <c r="H12" s="1697" t="s">
        <v>1519</v>
      </c>
      <c r="I12" s="1704" t="s">
        <v>1479</v>
      </c>
      <c r="J12" s="1697">
        <v>570</v>
      </c>
      <c r="K12" s="1697">
        <v>0</v>
      </c>
      <c r="L12" s="1697">
        <v>6</v>
      </c>
      <c r="M12" s="1705">
        <f t="shared" si="0"/>
        <v>95</v>
      </c>
      <c r="N12" s="1706">
        <v>45693</v>
      </c>
      <c r="O12" s="1707">
        <v>45689</v>
      </c>
      <c r="P12" s="1708"/>
      <c r="Q12" s="1708" t="s">
        <v>1480</v>
      </c>
      <c r="R12" s="1708" t="s">
        <v>1526</v>
      </c>
      <c r="S12" s="1710" t="s">
        <v>1520</v>
      </c>
      <c r="T12" s="1710"/>
      <c r="U12" s="1710" t="s">
        <v>1521</v>
      </c>
      <c r="V12" s="1721" t="s">
        <v>1522</v>
      </c>
      <c r="W12" s="1719" t="s">
        <v>1523</v>
      </c>
      <c r="X12" s="1720" t="s">
        <v>407</v>
      </c>
      <c r="Y12" s="1739">
        <v>1.6244</v>
      </c>
      <c r="Z12" s="1740">
        <f t="shared" si="1"/>
        <v>925.908</v>
      </c>
      <c r="AA12" s="1741" t="s">
        <v>1527</v>
      </c>
      <c r="AB12" s="1741">
        <v>570</v>
      </c>
      <c r="AC12" s="1741">
        <f t="shared" si="6"/>
        <v>0</v>
      </c>
      <c r="AD12" s="1745" t="s">
        <v>1485</v>
      </c>
      <c r="AE12" s="1742" t="s">
        <v>63</v>
      </c>
      <c r="AF12" s="1742" t="s">
        <v>38</v>
      </c>
      <c r="AG12" s="1720">
        <f t="shared" si="8"/>
        <v>190</v>
      </c>
      <c r="AH12" s="1720">
        <f t="shared" si="9"/>
        <v>190</v>
      </c>
      <c r="AI12" s="1754">
        <f t="shared" si="10"/>
        <v>190</v>
      </c>
      <c r="AJ12" s="1755">
        <f>J12</f>
        <v>570</v>
      </c>
      <c r="AK12" s="1756"/>
      <c r="AL12" s="1756">
        <f t="shared" si="7"/>
        <v>570</v>
      </c>
      <c r="AM12" s="1756">
        <f>J12/6</f>
        <v>95</v>
      </c>
      <c r="AN12" s="1756"/>
      <c r="AO12" s="1771"/>
      <c r="AP12" s="1771"/>
      <c r="AQ12" s="1772"/>
      <c r="AR12" s="1773"/>
      <c r="AS12" s="1754"/>
      <c r="AT12" s="1773"/>
      <c r="AU12" s="1774"/>
      <c r="AV12" s="1775"/>
      <c r="AW12" s="1777"/>
      <c r="AX12" s="1777"/>
      <c r="AY12" s="1777"/>
      <c r="AZ12" s="1777"/>
      <c r="BA12" s="1777"/>
      <c r="BB12" s="1777"/>
      <c r="BC12" s="1777"/>
      <c r="BD12" s="1777"/>
      <c r="BE12" s="1777"/>
      <c r="BF12" s="1777"/>
      <c r="BG12" s="1777"/>
      <c r="BH12" s="1777"/>
      <c r="BI12" s="1777"/>
      <c r="BJ12" s="1777"/>
      <c r="BK12" s="1777"/>
      <c r="BL12" s="1777"/>
      <c r="BM12" s="1777"/>
      <c r="BN12" s="1777"/>
      <c r="BO12" s="1777"/>
      <c r="BP12" s="1777"/>
      <c r="BQ12" s="1777"/>
      <c r="BR12" s="1777"/>
      <c r="BS12" s="1777"/>
      <c r="BT12" s="1777"/>
      <c r="BU12" s="1777"/>
      <c r="BV12" s="1777"/>
      <c r="BW12" s="1777"/>
      <c r="BX12" s="1777"/>
      <c r="BY12" s="1777"/>
      <c r="BZ12" s="1777"/>
      <c r="CA12" s="1777"/>
      <c r="CB12" s="1777"/>
      <c r="CC12" s="1777"/>
      <c r="CD12" s="1777"/>
      <c r="CE12" s="1777"/>
      <c r="CF12" s="1777"/>
      <c r="CG12" s="1777"/>
      <c r="CH12" s="1777"/>
      <c r="CI12" s="1777"/>
      <c r="CJ12" s="1777"/>
      <c r="CK12" s="1777"/>
      <c r="CL12" s="1777"/>
      <c r="CM12" s="1777"/>
      <c r="CN12" s="1777"/>
      <c r="CO12" s="1777"/>
      <c r="CP12" s="1777"/>
      <c r="CQ12" s="1777"/>
      <c r="CR12" s="1777"/>
      <c r="CS12" s="1777"/>
      <c r="CT12" s="1777"/>
      <c r="CU12" s="1777"/>
      <c r="CV12" s="1777"/>
      <c r="CW12" s="1777"/>
      <c r="CX12" s="1777"/>
      <c r="CY12" s="1777"/>
      <c r="CZ12" s="1777"/>
      <c r="DA12" s="1777"/>
      <c r="DB12" s="1777"/>
      <c r="DC12" s="1777"/>
      <c r="DD12" s="1777"/>
      <c r="DE12" s="1777"/>
      <c r="DF12" s="1777"/>
      <c r="DG12" s="1777"/>
      <c r="DH12" s="1777"/>
      <c r="DI12" s="1777"/>
      <c r="DJ12" s="1777"/>
      <c r="DK12" s="1777"/>
      <c r="DL12" s="1777"/>
      <c r="DM12" s="1777"/>
      <c r="DN12" s="1777"/>
      <c r="DO12" s="1777"/>
      <c r="DP12" s="1777"/>
      <c r="DQ12" s="1777"/>
      <c r="DR12" s="1777"/>
      <c r="DS12" s="1777"/>
      <c r="DT12" s="1777"/>
      <c r="DU12" s="1777"/>
      <c r="DV12" s="1777"/>
      <c r="DW12" s="1777"/>
      <c r="DX12" s="1779"/>
      <c r="DY12" s="1779"/>
      <c r="DZ12" s="1779"/>
      <c r="EA12" s="1779"/>
      <c r="EB12" s="1779"/>
      <c r="EC12" s="1779"/>
      <c r="ED12" s="1779"/>
      <c r="EE12" s="1779"/>
      <c r="EF12" s="1779"/>
      <c r="EG12" s="1779"/>
      <c r="EH12" s="1779"/>
      <c r="EI12" s="1779"/>
      <c r="EJ12" s="1779"/>
      <c r="EK12" s="1779"/>
      <c r="EL12" s="1779"/>
      <c r="EM12" s="1779"/>
      <c r="EN12" s="1779"/>
      <c r="EO12" s="1779"/>
      <c r="EP12" s="1779"/>
      <c r="EQ12" s="1779"/>
      <c r="ER12" s="1779"/>
      <c r="ES12" s="1779"/>
      <c r="ET12" s="1779"/>
      <c r="EU12" s="1779"/>
      <c r="EV12" s="1779"/>
      <c r="EW12" s="1779"/>
      <c r="EX12" s="1779"/>
      <c r="EY12" s="1779"/>
      <c r="EZ12" s="1779"/>
      <c r="FA12" s="1779"/>
      <c r="FB12" s="1779"/>
      <c r="FC12" s="1779"/>
      <c r="FD12" s="1779"/>
      <c r="FE12" s="1779"/>
      <c r="FF12" s="1779"/>
      <c r="FG12" s="1779"/>
      <c r="FH12" s="1779"/>
      <c r="FI12" s="1779"/>
      <c r="FJ12" s="1779"/>
      <c r="FK12" s="1779"/>
      <c r="FL12" s="1779"/>
      <c r="FM12" s="1779"/>
      <c r="FN12" s="1779"/>
      <c r="FO12" s="1779"/>
      <c r="FP12" s="1779"/>
      <c r="FQ12" s="1779"/>
      <c r="FR12" s="1779"/>
      <c r="FS12" s="1779"/>
      <c r="FT12" s="1779"/>
      <c r="FU12" s="1779"/>
      <c r="FV12" s="1779"/>
      <c r="FW12" s="1779"/>
      <c r="FX12" s="1779"/>
      <c r="FY12" s="1779"/>
      <c r="FZ12" s="1779"/>
      <c r="GA12" s="1779"/>
      <c r="XES12" s="1780"/>
      <c r="XET12" s="1780"/>
      <c r="XEU12" s="1780"/>
      <c r="XEV12" s="1780"/>
      <c r="XEW12" s="1780"/>
      <c r="XEX12" s="1780"/>
      <c r="XEY12" s="1780"/>
      <c r="XEZ12" s="1780"/>
      <c r="XFA12" s="1780"/>
      <c r="XFB12" s="1780"/>
      <c r="XFC12" s="1780"/>
      <c r="XFD12" s="1780"/>
    </row>
    <row r="13" s="1663" customFormat="1" ht="36" customHeight="1" spans="1:16384">
      <c r="A13" s="1693">
        <v>45558</v>
      </c>
      <c r="B13" s="1694" t="s">
        <v>1516</v>
      </c>
      <c r="C13" s="1695" t="s">
        <v>91</v>
      </c>
      <c r="D13" s="1696">
        <v>4500145925</v>
      </c>
      <c r="E13" s="1694">
        <v>10858891</v>
      </c>
      <c r="F13" s="1696" t="s">
        <v>1528</v>
      </c>
      <c r="G13" s="1697" t="s">
        <v>1518</v>
      </c>
      <c r="H13" s="1697" t="s">
        <v>1519</v>
      </c>
      <c r="I13" s="1704" t="s">
        <v>1479</v>
      </c>
      <c r="J13" s="1697">
        <v>1134</v>
      </c>
      <c r="K13" s="1697">
        <v>0</v>
      </c>
      <c r="L13" s="1697">
        <v>6</v>
      </c>
      <c r="M13" s="1705">
        <f t="shared" si="0"/>
        <v>189</v>
      </c>
      <c r="N13" s="1706">
        <v>45699</v>
      </c>
      <c r="O13" s="1707">
        <v>45695</v>
      </c>
      <c r="P13" s="1708"/>
      <c r="Q13" s="1708" t="s">
        <v>1480</v>
      </c>
      <c r="R13" s="1708" t="s">
        <v>248</v>
      </c>
      <c r="S13" s="1710" t="s">
        <v>1520</v>
      </c>
      <c r="T13" s="1710"/>
      <c r="U13" s="1710" t="s">
        <v>1521</v>
      </c>
      <c r="V13" s="1721" t="s">
        <v>1522</v>
      </c>
      <c r="W13" s="1719" t="s">
        <v>1523</v>
      </c>
      <c r="X13" s="1720" t="s">
        <v>407</v>
      </c>
      <c r="Y13" s="1739">
        <v>1.6189</v>
      </c>
      <c r="Z13" s="1740">
        <f t="shared" si="1"/>
        <v>1835.8326</v>
      </c>
      <c r="AA13" s="1741" t="s">
        <v>1529</v>
      </c>
      <c r="AB13" s="1741">
        <v>1134</v>
      </c>
      <c r="AC13" s="1741">
        <f t="shared" si="6"/>
        <v>0</v>
      </c>
      <c r="AD13" s="1745" t="s">
        <v>1485</v>
      </c>
      <c r="AE13" s="1742" t="s">
        <v>63</v>
      </c>
      <c r="AF13" s="1742" t="s">
        <v>38</v>
      </c>
      <c r="AG13" s="1720">
        <f t="shared" si="8"/>
        <v>378</v>
      </c>
      <c r="AH13" s="1720">
        <f t="shared" si="9"/>
        <v>378</v>
      </c>
      <c r="AI13" s="1754">
        <f t="shared" si="10"/>
        <v>378</v>
      </c>
      <c r="AJ13" s="1755">
        <f>J13</f>
        <v>1134</v>
      </c>
      <c r="AK13" s="1756"/>
      <c r="AL13" s="1756">
        <f t="shared" si="7"/>
        <v>1134</v>
      </c>
      <c r="AM13" s="1756">
        <f>J13/6</f>
        <v>189</v>
      </c>
      <c r="AN13" s="1756"/>
      <c r="AO13" s="1771"/>
      <c r="AP13" s="1771"/>
      <c r="AQ13" s="1772"/>
      <c r="AR13" s="1773"/>
      <c r="AS13" s="1754"/>
      <c r="AT13" s="1773"/>
      <c r="AU13" s="1774"/>
      <c r="AV13" s="1775"/>
      <c r="AW13" s="1777"/>
      <c r="AX13" s="1777"/>
      <c r="AY13" s="1777"/>
      <c r="AZ13" s="1777"/>
      <c r="BA13" s="1777"/>
      <c r="BB13" s="1777"/>
      <c r="BC13" s="1777"/>
      <c r="BD13" s="1777"/>
      <c r="BE13" s="1777"/>
      <c r="BF13" s="1777"/>
      <c r="BG13" s="1777"/>
      <c r="BH13" s="1777"/>
      <c r="BI13" s="1777"/>
      <c r="BJ13" s="1777"/>
      <c r="BK13" s="1777"/>
      <c r="BL13" s="1777"/>
      <c r="BM13" s="1777"/>
      <c r="BN13" s="1777"/>
      <c r="BO13" s="1777"/>
      <c r="BP13" s="1777"/>
      <c r="BQ13" s="1777"/>
      <c r="BR13" s="1777"/>
      <c r="BS13" s="1777"/>
      <c r="BT13" s="1777"/>
      <c r="BU13" s="1777"/>
      <c r="BV13" s="1777"/>
      <c r="BW13" s="1777"/>
      <c r="BX13" s="1777"/>
      <c r="BY13" s="1777"/>
      <c r="BZ13" s="1777"/>
      <c r="CA13" s="1777"/>
      <c r="CB13" s="1777"/>
      <c r="CC13" s="1777"/>
      <c r="CD13" s="1777"/>
      <c r="CE13" s="1777"/>
      <c r="CF13" s="1777"/>
      <c r="CG13" s="1777"/>
      <c r="CH13" s="1777"/>
      <c r="CI13" s="1777"/>
      <c r="CJ13" s="1777"/>
      <c r="CK13" s="1777"/>
      <c r="CL13" s="1777"/>
      <c r="CM13" s="1777"/>
      <c r="CN13" s="1777"/>
      <c r="CO13" s="1777"/>
      <c r="CP13" s="1777"/>
      <c r="CQ13" s="1777"/>
      <c r="CR13" s="1777"/>
      <c r="CS13" s="1777"/>
      <c r="CT13" s="1777"/>
      <c r="CU13" s="1777"/>
      <c r="CV13" s="1777"/>
      <c r="CW13" s="1777"/>
      <c r="CX13" s="1777"/>
      <c r="CY13" s="1777"/>
      <c r="CZ13" s="1777"/>
      <c r="DA13" s="1777"/>
      <c r="DB13" s="1777"/>
      <c r="DC13" s="1777"/>
      <c r="DD13" s="1777"/>
      <c r="DE13" s="1777"/>
      <c r="DF13" s="1777"/>
      <c r="DG13" s="1777"/>
      <c r="DH13" s="1777"/>
      <c r="DI13" s="1777"/>
      <c r="DJ13" s="1777"/>
      <c r="DK13" s="1777"/>
      <c r="DL13" s="1777"/>
      <c r="DM13" s="1777"/>
      <c r="DN13" s="1777"/>
      <c r="DO13" s="1777"/>
      <c r="DP13" s="1777"/>
      <c r="DQ13" s="1777"/>
      <c r="DR13" s="1777"/>
      <c r="DS13" s="1777"/>
      <c r="DT13" s="1777"/>
      <c r="DU13" s="1777"/>
      <c r="DV13" s="1777"/>
      <c r="DW13" s="1777"/>
      <c r="DX13" s="1779"/>
      <c r="DY13" s="1779"/>
      <c r="DZ13" s="1779"/>
      <c r="EA13" s="1779"/>
      <c r="EB13" s="1779"/>
      <c r="EC13" s="1779"/>
      <c r="ED13" s="1779"/>
      <c r="EE13" s="1779"/>
      <c r="EF13" s="1779"/>
      <c r="EG13" s="1779"/>
      <c r="EH13" s="1779"/>
      <c r="EI13" s="1779"/>
      <c r="EJ13" s="1779"/>
      <c r="EK13" s="1779"/>
      <c r="EL13" s="1779"/>
      <c r="EM13" s="1779"/>
      <c r="EN13" s="1779"/>
      <c r="EO13" s="1779"/>
      <c r="EP13" s="1779"/>
      <c r="EQ13" s="1779"/>
      <c r="ER13" s="1779"/>
      <c r="ES13" s="1779"/>
      <c r="ET13" s="1779"/>
      <c r="EU13" s="1779"/>
      <c r="EV13" s="1779"/>
      <c r="EW13" s="1779"/>
      <c r="EX13" s="1779"/>
      <c r="EY13" s="1779"/>
      <c r="EZ13" s="1779"/>
      <c r="FA13" s="1779"/>
      <c r="FB13" s="1779"/>
      <c r="FC13" s="1779"/>
      <c r="FD13" s="1779"/>
      <c r="FE13" s="1779"/>
      <c r="FF13" s="1779"/>
      <c r="FG13" s="1779"/>
      <c r="FH13" s="1779"/>
      <c r="FI13" s="1779"/>
      <c r="FJ13" s="1779"/>
      <c r="FK13" s="1779"/>
      <c r="FL13" s="1779"/>
      <c r="FM13" s="1779"/>
      <c r="FN13" s="1779"/>
      <c r="FO13" s="1779"/>
      <c r="FP13" s="1779"/>
      <c r="FQ13" s="1779"/>
      <c r="FR13" s="1779"/>
      <c r="FS13" s="1779"/>
      <c r="FT13" s="1779"/>
      <c r="FU13" s="1779"/>
      <c r="FV13" s="1779"/>
      <c r="FW13" s="1779"/>
      <c r="FX13" s="1779"/>
      <c r="FY13" s="1779"/>
      <c r="FZ13" s="1779"/>
      <c r="GA13" s="1779"/>
      <c r="XES13" s="1780"/>
      <c r="XET13" s="1780"/>
      <c r="XEU13" s="1780"/>
      <c r="XEV13" s="1780"/>
      <c r="XEW13" s="1780"/>
      <c r="XEX13" s="1780"/>
      <c r="XEY13" s="1780"/>
      <c r="XEZ13" s="1780"/>
      <c r="XFA13" s="1780"/>
      <c r="XFB13" s="1780"/>
      <c r="XFC13" s="1780"/>
      <c r="XFD13" s="1780"/>
    </row>
    <row r="14" s="1663" customFormat="1" ht="36" customHeight="1" spans="1:16384">
      <c r="A14" s="1693">
        <v>45643</v>
      </c>
      <c r="B14" s="1694" t="s">
        <v>1530</v>
      </c>
      <c r="C14" s="1695" t="s">
        <v>493</v>
      </c>
      <c r="D14" s="1696">
        <v>4500153297</v>
      </c>
      <c r="E14" s="1694">
        <v>30241062</v>
      </c>
      <c r="F14" s="1696" t="s">
        <v>1531</v>
      </c>
      <c r="G14" s="1695" t="s">
        <v>1532</v>
      </c>
      <c r="H14" s="1697" t="s">
        <v>1478</v>
      </c>
      <c r="I14" s="1704" t="s">
        <v>1479</v>
      </c>
      <c r="J14" s="1697">
        <v>5016</v>
      </c>
      <c r="K14" s="1697">
        <v>0</v>
      </c>
      <c r="L14" s="1697">
        <v>24</v>
      </c>
      <c r="M14" s="1705">
        <f t="shared" si="0"/>
        <v>209</v>
      </c>
      <c r="N14" s="1706">
        <v>45709</v>
      </c>
      <c r="O14" s="1707">
        <v>45705</v>
      </c>
      <c r="P14" s="1708" t="s">
        <v>1533</v>
      </c>
      <c r="Q14" s="1708" t="s">
        <v>1480</v>
      </c>
      <c r="R14" s="1708" t="s">
        <v>317</v>
      </c>
      <c r="S14" s="1710" t="s">
        <v>392</v>
      </c>
      <c r="T14" s="1710"/>
      <c r="U14" s="1710" t="s">
        <v>1534</v>
      </c>
      <c r="V14" s="1718" t="s">
        <v>1535</v>
      </c>
      <c r="W14" s="1719" t="s">
        <v>1536</v>
      </c>
      <c r="X14" s="1720" t="s">
        <v>500</v>
      </c>
      <c r="Y14" s="1739">
        <v>1.2898</v>
      </c>
      <c r="Z14" s="1740">
        <f t="shared" si="1"/>
        <v>6469.6368</v>
      </c>
      <c r="AA14" s="1741" t="s">
        <v>1537</v>
      </c>
      <c r="AB14" s="1741">
        <v>5016</v>
      </c>
      <c r="AC14" s="1741">
        <f t="shared" si="6"/>
        <v>0</v>
      </c>
      <c r="AD14" s="1741" t="s">
        <v>58</v>
      </c>
      <c r="AE14" s="1742" t="s">
        <v>63</v>
      </c>
      <c r="AF14" s="1742" t="s">
        <v>38</v>
      </c>
      <c r="AG14" s="1720">
        <f t="shared" si="8"/>
        <v>1672</v>
      </c>
      <c r="AH14" s="1720">
        <f t="shared" si="9"/>
        <v>1672</v>
      </c>
      <c r="AI14" s="1754">
        <f t="shared" si="10"/>
        <v>1672</v>
      </c>
      <c r="AJ14" s="1755"/>
      <c r="AK14" s="1756"/>
      <c r="AL14" s="1756"/>
      <c r="AM14" s="1756"/>
      <c r="AN14" s="1756"/>
      <c r="AO14" s="1771">
        <f>J14</f>
        <v>5016</v>
      </c>
      <c r="AP14" s="1771">
        <f>J14</f>
        <v>5016</v>
      </c>
      <c r="AQ14" s="1772"/>
      <c r="AR14" s="1773"/>
      <c r="AS14" s="1754"/>
      <c r="AT14" s="1773"/>
      <c r="AU14" s="1774"/>
      <c r="AV14" s="1775"/>
      <c r="AW14" s="1777"/>
      <c r="AX14" s="1777"/>
      <c r="AY14" s="1777"/>
      <c r="AZ14" s="1777"/>
      <c r="BA14" s="1777"/>
      <c r="BB14" s="1777"/>
      <c r="BC14" s="1777"/>
      <c r="BD14" s="1777"/>
      <c r="BE14" s="1777"/>
      <c r="BF14" s="1777"/>
      <c r="BG14" s="1777"/>
      <c r="BH14" s="1777"/>
      <c r="BI14" s="1777"/>
      <c r="BJ14" s="1777"/>
      <c r="BK14" s="1777"/>
      <c r="BL14" s="1777"/>
      <c r="BM14" s="1777"/>
      <c r="BN14" s="1777"/>
      <c r="BO14" s="1777"/>
      <c r="BP14" s="1777"/>
      <c r="BQ14" s="1777"/>
      <c r="BR14" s="1777"/>
      <c r="BS14" s="1777"/>
      <c r="BT14" s="1777"/>
      <c r="BU14" s="1777"/>
      <c r="BV14" s="1777"/>
      <c r="BW14" s="1777"/>
      <c r="BX14" s="1777"/>
      <c r="BY14" s="1777"/>
      <c r="BZ14" s="1777"/>
      <c r="CA14" s="1777"/>
      <c r="CB14" s="1777"/>
      <c r="CC14" s="1777"/>
      <c r="CD14" s="1777"/>
      <c r="CE14" s="1777"/>
      <c r="CF14" s="1777"/>
      <c r="CG14" s="1777"/>
      <c r="CH14" s="1777"/>
      <c r="CI14" s="1777"/>
      <c r="CJ14" s="1777"/>
      <c r="CK14" s="1777"/>
      <c r="CL14" s="1777"/>
      <c r="CM14" s="1777"/>
      <c r="CN14" s="1777"/>
      <c r="CO14" s="1777"/>
      <c r="CP14" s="1777"/>
      <c r="CQ14" s="1777"/>
      <c r="CR14" s="1777"/>
      <c r="CS14" s="1777"/>
      <c r="CT14" s="1777"/>
      <c r="CU14" s="1777"/>
      <c r="CV14" s="1777"/>
      <c r="CW14" s="1777"/>
      <c r="CX14" s="1777"/>
      <c r="CY14" s="1777"/>
      <c r="CZ14" s="1777"/>
      <c r="DA14" s="1777"/>
      <c r="DB14" s="1777"/>
      <c r="DC14" s="1777"/>
      <c r="DD14" s="1777"/>
      <c r="DE14" s="1777"/>
      <c r="DF14" s="1777"/>
      <c r="DG14" s="1777"/>
      <c r="DH14" s="1777"/>
      <c r="DI14" s="1777"/>
      <c r="DJ14" s="1777"/>
      <c r="DK14" s="1777"/>
      <c r="DL14" s="1777"/>
      <c r="DM14" s="1777"/>
      <c r="DN14" s="1777"/>
      <c r="DO14" s="1777"/>
      <c r="DP14" s="1777"/>
      <c r="DQ14" s="1777"/>
      <c r="DR14" s="1777"/>
      <c r="DS14" s="1777"/>
      <c r="DT14" s="1777"/>
      <c r="DU14" s="1777"/>
      <c r="DV14" s="1777"/>
      <c r="DW14" s="1777"/>
      <c r="DX14" s="1779"/>
      <c r="DY14" s="1779"/>
      <c r="DZ14" s="1779"/>
      <c r="EA14" s="1779"/>
      <c r="EB14" s="1779"/>
      <c r="EC14" s="1779"/>
      <c r="ED14" s="1779"/>
      <c r="EE14" s="1779"/>
      <c r="EF14" s="1779"/>
      <c r="EG14" s="1779"/>
      <c r="EH14" s="1779"/>
      <c r="EI14" s="1779"/>
      <c r="EJ14" s="1779"/>
      <c r="EK14" s="1779"/>
      <c r="EL14" s="1779"/>
      <c r="EM14" s="1779"/>
      <c r="EN14" s="1779"/>
      <c r="EO14" s="1779"/>
      <c r="EP14" s="1779"/>
      <c r="EQ14" s="1779"/>
      <c r="ER14" s="1779"/>
      <c r="ES14" s="1779"/>
      <c r="ET14" s="1779"/>
      <c r="EU14" s="1779"/>
      <c r="EV14" s="1779"/>
      <c r="EW14" s="1779"/>
      <c r="EX14" s="1779"/>
      <c r="EY14" s="1779"/>
      <c r="EZ14" s="1779"/>
      <c r="FA14" s="1779"/>
      <c r="FB14" s="1779"/>
      <c r="FC14" s="1779"/>
      <c r="FD14" s="1779"/>
      <c r="FE14" s="1779"/>
      <c r="FF14" s="1779"/>
      <c r="FG14" s="1779"/>
      <c r="FH14" s="1779"/>
      <c r="FI14" s="1779"/>
      <c r="FJ14" s="1779"/>
      <c r="FK14" s="1779"/>
      <c r="FL14" s="1779"/>
      <c r="FM14" s="1779"/>
      <c r="FN14" s="1779"/>
      <c r="FO14" s="1779"/>
      <c r="FP14" s="1779"/>
      <c r="FQ14" s="1779"/>
      <c r="FR14" s="1779"/>
      <c r="FS14" s="1779"/>
      <c r="FT14" s="1779"/>
      <c r="FU14" s="1779"/>
      <c r="FV14" s="1779"/>
      <c r="FW14" s="1779"/>
      <c r="FX14" s="1779"/>
      <c r="FY14" s="1779"/>
      <c r="FZ14" s="1779"/>
      <c r="GA14" s="1779"/>
      <c r="XES14" s="1780"/>
      <c r="XET14" s="1780"/>
      <c r="XEU14" s="1780"/>
      <c r="XEV14" s="1780"/>
      <c r="XEW14" s="1780"/>
      <c r="XEX14" s="1780"/>
      <c r="XEY14" s="1780"/>
      <c r="XEZ14" s="1780"/>
      <c r="XFA14" s="1780"/>
      <c r="XFB14" s="1780"/>
      <c r="XFC14" s="1780"/>
      <c r="XFD14" s="1780"/>
    </row>
    <row r="15" s="1663" customFormat="1" ht="36" customHeight="1" spans="1:16384">
      <c r="A15" s="1693">
        <v>45558</v>
      </c>
      <c r="B15" s="1694" t="s">
        <v>1516</v>
      </c>
      <c r="C15" s="1695" t="s">
        <v>91</v>
      </c>
      <c r="D15" s="1696">
        <v>4500145932</v>
      </c>
      <c r="E15" s="1694">
        <v>10858931</v>
      </c>
      <c r="F15" s="1696" t="s">
        <v>1538</v>
      </c>
      <c r="G15" s="1697" t="s">
        <v>1518</v>
      </c>
      <c r="H15" s="1697" t="s">
        <v>1519</v>
      </c>
      <c r="I15" s="1704" t="s">
        <v>1479</v>
      </c>
      <c r="J15" s="1697">
        <v>516</v>
      </c>
      <c r="K15" s="1697">
        <v>0</v>
      </c>
      <c r="L15" s="1697">
        <v>6</v>
      </c>
      <c r="M15" s="1705">
        <f t="shared" si="0"/>
        <v>86</v>
      </c>
      <c r="N15" s="1706">
        <v>45712</v>
      </c>
      <c r="O15" s="1707">
        <v>45708</v>
      </c>
      <c r="P15" s="1708"/>
      <c r="Q15" s="1708" t="s">
        <v>1480</v>
      </c>
      <c r="R15" s="1708" t="s">
        <v>1539</v>
      </c>
      <c r="S15" s="1710" t="s">
        <v>1520</v>
      </c>
      <c r="T15" s="1710"/>
      <c r="U15" s="1710" t="s">
        <v>1521</v>
      </c>
      <c r="V15" s="1721" t="s">
        <v>1522</v>
      </c>
      <c r="W15" s="1719" t="s">
        <v>1523</v>
      </c>
      <c r="X15" s="1720" t="s">
        <v>407</v>
      </c>
      <c r="Y15" s="1739">
        <v>1.6244</v>
      </c>
      <c r="Z15" s="1740">
        <f t="shared" si="1"/>
        <v>838.1904</v>
      </c>
      <c r="AA15" s="1741" t="s">
        <v>1540</v>
      </c>
      <c r="AB15" s="1741">
        <v>516</v>
      </c>
      <c r="AC15" s="1741">
        <f t="shared" si="6"/>
        <v>0</v>
      </c>
      <c r="AD15" s="1745" t="s">
        <v>1485</v>
      </c>
      <c r="AE15" s="1742" t="s">
        <v>63</v>
      </c>
      <c r="AF15" s="1742" t="s">
        <v>38</v>
      </c>
      <c r="AG15" s="1720">
        <f t="shared" si="8"/>
        <v>172</v>
      </c>
      <c r="AH15" s="1720">
        <f t="shared" si="9"/>
        <v>172</v>
      </c>
      <c r="AI15" s="1754">
        <f t="shared" si="10"/>
        <v>172</v>
      </c>
      <c r="AJ15" s="1755">
        <f>J15</f>
        <v>516</v>
      </c>
      <c r="AK15" s="1756"/>
      <c r="AL15" s="1756">
        <f t="shared" ref="AL15:AL31" si="11">J15</f>
        <v>516</v>
      </c>
      <c r="AM15" s="1756">
        <f>J15/6</f>
        <v>86</v>
      </c>
      <c r="AN15" s="1756"/>
      <c r="AO15" s="1771"/>
      <c r="AP15" s="1771"/>
      <c r="AQ15" s="1772"/>
      <c r="AR15" s="1773"/>
      <c r="AS15" s="1754"/>
      <c r="AT15" s="1773"/>
      <c r="AU15" s="1774"/>
      <c r="AV15" s="1775"/>
      <c r="AW15" s="1777"/>
      <c r="AX15" s="1777"/>
      <c r="AY15" s="1777"/>
      <c r="AZ15" s="1777"/>
      <c r="BA15" s="1777"/>
      <c r="BB15" s="1777"/>
      <c r="BC15" s="1777"/>
      <c r="BD15" s="1777"/>
      <c r="BE15" s="1777"/>
      <c r="BF15" s="1777"/>
      <c r="BG15" s="1777"/>
      <c r="BH15" s="1777"/>
      <c r="BI15" s="1777"/>
      <c r="BJ15" s="1777"/>
      <c r="BK15" s="1777"/>
      <c r="BL15" s="1777"/>
      <c r="BM15" s="1777"/>
      <c r="BN15" s="1777"/>
      <c r="BO15" s="1777"/>
      <c r="BP15" s="1777"/>
      <c r="BQ15" s="1777"/>
      <c r="BR15" s="1777"/>
      <c r="BS15" s="1777"/>
      <c r="BT15" s="1777"/>
      <c r="BU15" s="1777"/>
      <c r="BV15" s="1777"/>
      <c r="BW15" s="1777"/>
      <c r="BX15" s="1777"/>
      <c r="BY15" s="1777"/>
      <c r="BZ15" s="1777"/>
      <c r="CA15" s="1777"/>
      <c r="CB15" s="1777"/>
      <c r="CC15" s="1777"/>
      <c r="CD15" s="1777"/>
      <c r="CE15" s="1777"/>
      <c r="CF15" s="1777"/>
      <c r="CG15" s="1777"/>
      <c r="CH15" s="1777"/>
      <c r="CI15" s="1777"/>
      <c r="CJ15" s="1777"/>
      <c r="CK15" s="1777"/>
      <c r="CL15" s="1777"/>
      <c r="CM15" s="1777"/>
      <c r="CN15" s="1777"/>
      <c r="CO15" s="1777"/>
      <c r="CP15" s="1777"/>
      <c r="CQ15" s="1777"/>
      <c r="CR15" s="1777"/>
      <c r="CS15" s="1777"/>
      <c r="CT15" s="1777"/>
      <c r="CU15" s="1777"/>
      <c r="CV15" s="1777"/>
      <c r="CW15" s="1777"/>
      <c r="CX15" s="1777"/>
      <c r="CY15" s="1777"/>
      <c r="CZ15" s="1777"/>
      <c r="DA15" s="1777"/>
      <c r="DB15" s="1777"/>
      <c r="DC15" s="1777"/>
      <c r="DD15" s="1777"/>
      <c r="DE15" s="1777"/>
      <c r="DF15" s="1777"/>
      <c r="DG15" s="1777"/>
      <c r="DH15" s="1777"/>
      <c r="DI15" s="1777"/>
      <c r="DJ15" s="1777"/>
      <c r="DK15" s="1777"/>
      <c r="DL15" s="1777"/>
      <c r="DM15" s="1777"/>
      <c r="DN15" s="1777"/>
      <c r="DO15" s="1777"/>
      <c r="DP15" s="1777"/>
      <c r="DQ15" s="1777"/>
      <c r="DR15" s="1777"/>
      <c r="DS15" s="1777"/>
      <c r="DT15" s="1777"/>
      <c r="DU15" s="1777"/>
      <c r="DV15" s="1777"/>
      <c r="DW15" s="1777"/>
      <c r="DX15" s="1779"/>
      <c r="DY15" s="1779"/>
      <c r="DZ15" s="1779"/>
      <c r="EA15" s="1779"/>
      <c r="EB15" s="1779"/>
      <c r="EC15" s="1779"/>
      <c r="ED15" s="1779"/>
      <c r="EE15" s="1779"/>
      <c r="EF15" s="1779"/>
      <c r="EG15" s="1779"/>
      <c r="EH15" s="1779"/>
      <c r="EI15" s="1779"/>
      <c r="EJ15" s="1779"/>
      <c r="EK15" s="1779"/>
      <c r="EL15" s="1779"/>
      <c r="EM15" s="1779"/>
      <c r="EN15" s="1779"/>
      <c r="EO15" s="1779"/>
      <c r="EP15" s="1779"/>
      <c r="EQ15" s="1779"/>
      <c r="ER15" s="1779"/>
      <c r="ES15" s="1779"/>
      <c r="ET15" s="1779"/>
      <c r="EU15" s="1779"/>
      <c r="EV15" s="1779"/>
      <c r="EW15" s="1779"/>
      <c r="EX15" s="1779"/>
      <c r="EY15" s="1779"/>
      <c r="EZ15" s="1779"/>
      <c r="FA15" s="1779"/>
      <c r="FB15" s="1779"/>
      <c r="FC15" s="1779"/>
      <c r="FD15" s="1779"/>
      <c r="FE15" s="1779"/>
      <c r="FF15" s="1779"/>
      <c r="FG15" s="1779"/>
      <c r="FH15" s="1779"/>
      <c r="FI15" s="1779"/>
      <c r="FJ15" s="1779"/>
      <c r="FK15" s="1779"/>
      <c r="FL15" s="1779"/>
      <c r="FM15" s="1779"/>
      <c r="FN15" s="1779"/>
      <c r="FO15" s="1779"/>
      <c r="FP15" s="1779"/>
      <c r="FQ15" s="1779"/>
      <c r="FR15" s="1779"/>
      <c r="FS15" s="1779"/>
      <c r="FT15" s="1779"/>
      <c r="FU15" s="1779"/>
      <c r="FV15" s="1779"/>
      <c r="FW15" s="1779"/>
      <c r="FX15" s="1779"/>
      <c r="FY15" s="1779"/>
      <c r="FZ15" s="1779"/>
      <c r="GA15" s="1779"/>
      <c r="XES15" s="1780"/>
      <c r="XET15" s="1780"/>
      <c r="XEU15" s="1780"/>
      <c r="XEV15" s="1780"/>
      <c r="XEW15" s="1780"/>
      <c r="XEX15" s="1780"/>
      <c r="XEY15" s="1780"/>
      <c r="XEZ15" s="1780"/>
      <c r="XFA15" s="1780"/>
      <c r="XFB15" s="1780"/>
      <c r="XFC15" s="1780"/>
      <c r="XFD15" s="1780"/>
    </row>
    <row r="16" s="1663" customFormat="1" ht="36" customHeight="1" spans="1:16384">
      <c r="A16" s="1693">
        <v>45558</v>
      </c>
      <c r="B16" s="1694" t="s">
        <v>1516</v>
      </c>
      <c r="C16" s="1695" t="s">
        <v>91</v>
      </c>
      <c r="D16" s="1696">
        <v>4500145929</v>
      </c>
      <c r="E16" s="1694">
        <v>10858932</v>
      </c>
      <c r="F16" s="1696" t="s">
        <v>1541</v>
      </c>
      <c r="G16" s="1697" t="s">
        <v>1518</v>
      </c>
      <c r="H16" s="1697" t="s">
        <v>1519</v>
      </c>
      <c r="I16" s="1704" t="s">
        <v>1479</v>
      </c>
      <c r="J16" s="1697">
        <v>564</v>
      </c>
      <c r="K16" s="1697">
        <v>0</v>
      </c>
      <c r="L16" s="1697">
        <v>6</v>
      </c>
      <c r="M16" s="1705">
        <f t="shared" si="0"/>
        <v>94</v>
      </c>
      <c r="N16" s="1706">
        <v>45712</v>
      </c>
      <c r="O16" s="1707">
        <v>45708</v>
      </c>
      <c r="P16" s="1708"/>
      <c r="Q16" s="1708" t="s">
        <v>1480</v>
      </c>
      <c r="R16" s="1708"/>
      <c r="S16" s="1710" t="s">
        <v>1520</v>
      </c>
      <c r="T16" s="1710"/>
      <c r="U16" s="1710" t="s">
        <v>1521</v>
      </c>
      <c r="V16" s="1721" t="s">
        <v>1522</v>
      </c>
      <c r="W16" s="1719" t="s">
        <v>1523</v>
      </c>
      <c r="X16" s="1720" t="s">
        <v>407</v>
      </c>
      <c r="Y16" s="1739">
        <v>1.6244</v>
      </c>
      <c r="Z16" s="1740">
        <f t="shared" si="1"/>
        <v>916.1616</v>
      </c>
      <c r="AA16" s="1741" t="s">
        <v>1542</v>
      </c>
      <c r="AB16" s="1741">
        <v>564</v>
      </c>
      <c r="AC16" s="1741">
        <f t="shared" si="6"/>
        <v>0</v>
      </c>
      <c r="AD16" s="1745" t="s">
        <v>1485</v>
      </c>
      <c r="AE16" s="1742" t="s">
        <v>63</v>
      </c>
      <c r="AF16" s="1742" t="s">
        <v>38</v>
      </c>
      <c r="AG16" s="1720">
        <f t="shared" si="8"/>
        <v>188</v>
      </c>
      <c r="AH16" s="1720">
        <f t="shared" si="9"/>
        <v>188</v>
      </c>
      <c r="AI16" s="1754">
        <f t="shared" si="10"/>
        <v>188</v>
      </c>
      <c r="AJ16" s="1755">
        <f>J16</f>
        <v>564</v>
      </c>
      <c r="AK16" s="1756"/>
      <c r="AL16" s="1756">
        <f t="shared" si="11"/>
        <v>564</v>
      </c>
      <c r="AM16" s="1756">
        <f>J16/6</f>
        <v>94</v>
      </c>
      <c r="AN16" s="1756"/>
      <c r="AO16" s="1771"/>
      <c r="AP16" s="1771"/>
      <c r="AQ16" s="1772"/>
      <c r="AR16" s="1773"/>
      <c r="AS16" s="1754"/>
      <c r="AT16" s="1773"/>
      <c r="AU16" s="1774"/>
      <c r="AV16" s="1775"/>
      <c r="AW16" s="1777"/>
      <c r="AX16" s="1777"/>
      <c r="AY16" s="1777"/>
      <c r="AZ16" s="1777"/>
      <c r="BA16" s="1777"/>
      <c r="BB16" s="1777"/>
      <c r="BC16" s="1777"/>
      <c r="BD16" s="1777"/>
      <c r="BE16" s="1777"/>
      <c r="BF16" s="1777"/>
      <c r="BG16" s="1777"/>
      <c r="BH16" s="1777"/>
      <c r="BI16" s="1777"/>
      <c r="BJ16" s="1777"/>
      <c r="BK16" s="1777"/>
      <c r="BL16" s="1777"/>
      <c r="BM16" s="1777"/>
      <c r="BN16" s="1777"/>
      <c r="BO16" s="1777"/>
      <c r="BP16" s="1777"/>
      <c r="BQ16" s="1777"/>
      <c r="BR16" s="1777"/>
      <c r="BS16" s="1777"/>
      <c r="BT16" s="1777"/>
      <c r="BU16" s="1777"/>
      <c r="BV16" s="1777"/>
      <c r="BW16" s="1777"/>
      <c r="BX16" s="1777"/>
      <c r="BY16" s="1777"/>
      <c r="BZ16" s="1777"/>
      <c r="CA16" s="1777"/>
      <c r="CB16" s="1777"/>
      <c r="CC16" s="1777"/>
      <c r="CD16" s="1777"/>
      <c r="CE16" s="1777"/>
      <c r="CF16" s="1777"/>
      <c r="CG16" s="1777"/>
      <c r="CH16" s="1777"/>
      <c r="CI16" s="1777"/>
      <c r="CJ16" s="1777"/>
      <c r="CK16" s="1777"/>
      <c r="CL16" s="1777"/>
      <c r="CM16" s="1777"/>
      <c r="CN16" s="1777"/>
      <c r="CO16" s="1777"/>
      <c r="CP16" s="1777"/>
      <c r="CQ16" s="1777"/>
      <c r="CR16" s="1777"/>
      <c r="CS16" s="1777"/>
      <c r="CT16" s="1777"/>
      <c r="CU16" s="1777"/>
      <c r="CV16" s="1777"/>
      <c r="CW16" s="1777"/>
      <c r="CX16" s="1777"/>
      <c r="CY16" s="1777"/>
      <c r="CZ16" s="1777"/>
      <c r="DA16" s="1777"/>
      <c r="DB16" s="1777"/>
      <c r="DC16" s="1777"/>
      <c r="DD16" s="1777"/>
      <c r="DE16" s="1777"/>
      <c r="DF16" s="1777"/>
      <c r="DG16" s="1777"/>
      <c r="DH16" s="1777"/>
      <c r="DI16" s="1777"/>
      <c r="DJ16" s="1777"/>
      <c r="DK16" s="1777"/>
      <c r="DL16" s="1777"/>
      <c r="DM16" s="1777"/>
      <c r="DN16" s="1777"/>
      <c r="DO16" s="1777"/>
      <c r="DP16" s="1777"/>
      <c r="DQ16" s="1777"/>
      <c r="DR16" s="1777"/>
      <c r="DS16" s="1777"/>
      <c r="DT16" s="1777"/>
      <c r="DU16" s="1777"/>
      <c r="DV16" s="1777"/>
      <c r="DW16" s="1777"/>
      <c r="DX16" s="1779"/>
      <c r="DY16" s="1779"/>
      <c r="DZ16" s="1779"/>
      <c r="EA16" s="1779"/>
      <c r="EB16" s="1779"/>
      <c r="EC16" s="1779"/>
      <c r="ED16" s="1779"/>
      <c r="EE16" s="1779"/>
      <c r="EF16" s="1779"/>
      <c r="EG16" s="1779"/>
      <c r="EH16" s="1779"/>
      <c r="EI16" s="1779"/>
      <c r="EJ16" s="1779"/>
      <c r="EK16" s="1779"/>
      <c r="EL16" s="1779"/>
      <c r="EM16" s="1779"/>
      <c r="EN16" s="1779"/>
      <c r="EO16" s="1779"/>
      <c r="EP16" s="1779"/>
      <c r="EQ16" s="1779"/>
      <c r="ER16" s="1779"/>
      <c r="ES16" s="1779"/>
      <c r="ET16" s="1779"/>
      <c r="EU16" s="1779"/>
      <c r="EV16" s="1779"/>
      <c r="EW16" s="1779"/>
      <c r="EX16" s="1779"/>
      <c r="EY16" s="1779"/>
      <c r="EZ16" s="1779"/>
      <c r="FA16" s="1779"/>
      <c r="FB16" s="1779"/>
      <c r="FC16" s="1779"/>
      <c r="FD16" s="1779"/>
      <c r="FE16" s="1779"/>
      <c r="FF16" s="1779"/>
      <c r="FG16" s="1779"/>
      <c r="FH16" s="1779"/>
      <c r="FI16" s="1779"/>
      <c r="FJ16" s="1779"/>
      <c r="FK16" s="1779"/>
      <c r="FL16" s="1779"/>
      <c r="FM16" s="1779"/>
      <c r="FN16" s="1779"/>
      <c r="FO16" s="1779"/>
      <c r="FP16" s="1779"/>
      <c r="FQ16" s="1779"/>
      <c r="FR16" s="1779"/>
      <c r="FS16" s="1779"/>
      <c r="FT16" s="1779"/>
      <c r="FU16" s="1779"/>
      <c r="FV16" s="1779"/>
      <c r="FW16" s="1779"/>
      <c r="FX16" s="1779"/>
      <c r="FY16" s="1779"/>
      <c r="FZ16" s="1779"/>
      <c r="GA16" s="1779"/>
      <c r="XES16" s="1780"/>
      <c r="XET16" s="1780"/>
      <c r="XEU16" s="1780"/>
      <c r="XEV16" s="1780"/>
      <c r="XEW16" s="1780"/>
      <c r="XEX16" s="1780"/>
      <c r="XEY16" s="1780"/>
      <c r="XEZ16" s="1780"/>
      <c r="XFA16" s="1780"/>
      <c r="XFB16" s="1780"/>
      <c r="XFC16" s="1780"/>
      <c r="XFD16" s="1780"/>
    </row>
    <row r="17" s="1663" customFormat="1" ht="36" customHeight="1" spans="1:16384">
      <c r="A17" s="1693">
        <v>45631</v>
      </c>
      <c r="B17" s="1694" t="s">
        <v>397</v>
      </c>
      <c r="C17" s="1695" t="s">
        <v>398</v>
      </c>
      <c r="D17" s="1696">
        <v>4500153261</v>
      </c>
      <c r="E17" s="1694">
        <v>3501527611</v>
      </c>
      <c r="F17" s="1696" t="s">
        <v>1543</v>
      </c>
      <c r="G17" s="1697" t="s">
        <v>1544</v>
      </c>
      <c r="H17" s="1697" t="s">
        <v>1519</v>
      </c>
      <c r="I17" s="1704" t="s">
        <v>1479</v>
      </c>
      <c r="J17" s="1697">
        <v>1002</v>
      </c>
      <c r="K17" s="1697">
        <v>0</v>
      </c>
      <c r="L17" s="1697">
        <v>6</v>
      </c>
      <c r="M17" s="1705">
        <f t="shared" si="0"/>
        <v>167</v>
      </c>
      <c r="N17" s="1706">
        <v>45714</v>
      </c>
      <c r="O17" s="1707">
        <v>45710</v>
      </c>
      <c r="P17" s="1708" t="s">
        <v>1545</v>
      </c>
      <c r="Q17" s="1708" t="s">
        <v>1480</v>
      </c>
      <c r="R17" s="1708" t="s">
        <v>403</v>
      </c>
      <c r="S17" s="1710" t="s">
        <v>404</v>
      </c>
      <c r="T17" s="1710"/>
      <c r="U17" s="1710" t="s">
        <v>1546</v>
      </c>
      <c r="V17" s="1721" t="s">
        <v>1547</v>
      </c>
      <c r="W17" s="1719" t="s">
        <v>1548</v>
      </c>
      <c r="X17" s="1720" t="s">
        <v>407</v>
      </c>
      <c r="Y17" s="1739">
        <v>1.6189</v>
      </c>
      <c r="Z17" s="1740">
        <f t="shared" si="1"/>
        <v>1622.1378</v>
      </c>
      <c r="AA17" s="1741" t="s">
        <v>408</v>
      </c>
      <c r="AB17" s="1741">
        <v>1002</v>
      </c>
      <c r="AC17" s="1741">
        <f t="shared" si="6"/>
        <v>0</v>
      </c>
      <c r="AD17" s="1741" t="s">
        <v>1499</v>
      </c>
      <c r="AE17" s="1742" t="s">
        <v>63</v>
      </c>
      <c r="AF17" s="1742" t="s">
        <v>38</v>
      </c>
      <c r="AG17" s="1720">
        <f t="shared" si="8"/>
        <v>334</v>
      </c>
      <c r="AH17" s="1720">
        <f t="shared" si="9"/>
        <v>334</v>
      </c>
      <c r="AI17" s="1754">
        <f t="shared" si="10"/>
        <v>334</v>
      </c>
      <c r="AJ17" s="1755"/>
      <c r="AK17" s="1756">
        <f>J17</f>
        <v>1002</v>
      </c>
      <c r="AL17" s="1756">
        <f t="shared" si="11"/>
        <v>1002</v>
      </c>
      <c r="AM17" s="1756">
        <f>J17/6</f>
        <v>167</v>
      </c>
      <c r="AN17" s="1756"/>
      <c r="AO17" s="1771"/>
      <c r="AP17" s="1771"/>
      <c r="AQ17" s="1772"/>
      <c r="AR17" s="1773"/>
      <c r="AS17" s="1754"/>
      <c r="AT17" s="1773"/>
      <c r="AU17" s="1774"/>
      <c r="AV17" s="1775"/>
      <c r="AW17" s="1777"/>
      <c r="AX17" s="1777"/>
      <c r="AY17" s="1777"/>
      <c r="AZ17" s="1777"/>
      <c r="BA17" s="1777"/>
      <c r="BB17" s="1777"/>
      <c r="BC17" s="1777"/>
      <c r="BD17" s="1777"/>
      <c r="BE17" s="1777"/>
      <c r="BF17" s="1777"/>
      <c r="BG17" s="1777"/>
      <c r="BH17" s="1777"/>
      <c r="BI17" s="1777"/>
      <c r="BJ17" s="1777"/>
      <c r="BK17" s="1777"/>
      <c r="BL17" s="1777"/>
      <c r="BM17" s="1777"/>
      <c r="BN17" s="1777"/>
      <c r="BO17" s="1777"/>
      <c r="BP17" s="1777"/>
      <c r="BQ17" s="1777"/>
      <c r="BR17" s="1777"/>
      <c r="BS17" s="1777"/>
      <c r="BT17" s="1777"/>
      <c r="BU17" s="1777"/>
      <c r="BV17" s="1777"/>
      <c r="BW17" s="1777"/>
      <c r="BX17" s="1777"/>
      <c r="BY17" s="1777"/>
      <c r="BZ17" s="1777"/>
      <c r="CA17" s="1777"/>
      <c r="CB17" s="1777"/>
      <c r="CC17" s="1777"/>
      <c r="CD17" s="1777"/>
      <c r="CE17" s="1777"/>
      <c r="CF17" s="1777"/>
      <c r="CG17" s="1777"/>
      <c r="CH17" s="1777"/>
      <c r="CI17" s="1777"/>
      <c r="CJ17" s="1777"/>
      <c r="CK17" s="1777"/>
      <c r="CL17" s="1777"/>
      <c r="CM17" s="1777"/>
      <c r="CN17" s="1777"/>
      <c r="CO17" s="1777"/>
      <c r="CP17" s="1777"/>
      <c r="CQ17" s="1777"/>
      <c r="CR17" s="1777"/>
      <c r="CS17" s="1777"/>
      <c r="CT17" s="1777"/>
      <c r="CU17" s="1777"/>
      <c r="CV17" s="1777"/>
      <c r="CW17" s="1777"/>
      <c r="CX17" s="1777"/>
      <c r="CY17" s="1777"/>
      <c r="CZ17" s="1777"/>
      <c r="DA17" s="1777"/>
      <c r="DB17" s="1777"/>
      <c r="DC17" s="1777"/>
      <c r="DD17" s="1777"/>
      <c r="DE17" s="1777"/>
      <c r="DF17" s="1777"/>
      <c r="DG17" s="1777"/>
      <c r="DH17" s="1777"/>
      <c r="DI17" s="1777"/>
      <c r="DJ17" s="1777"/>
      <c r="DK17" s="1777"/>
      <c r="DL17" s="1777"/>
      <c r="DM17" s="1777"/>
      <c r="DN17" s="1777"/>
      <c r="DO17" s="1777"/>
      <c r="DP17" s="1777"/>
      <c r="DQ17" s="1777"/>
      <c r="DR17" s="1777"/>
      <c r="DS17" s="1777"/>
      <c r="DT17" s="1777"/>
      <c r="DU17" s="1777"/>
      <c r="DV17" s="1777"/>
      <c r="DW17" s="1777"/>
      <c r="DX17" s="1779"/>
      <c r="DY17" s="1779"/>
      <c r="DZ17" s="1779"/>
      <c r="EA17" s="1779"/>
      <c r="EB17" s="1779"/>
      <c r="EC17" s="1779"/>
      <c r="ED17" s="1779"/>
      <c r="EE17" s="1779"/>
      <c r="EF17" s="1779"/>
      <c r="EG17" s="1779"/>
      <c r="EH17" s="1779"/>
      <c r="EI17" s="1779"/>
      <c r="EJ17" s="1779"/>
      <c r="EK17" s="1779"/>
      <c r="EL17" s="1779"/>
      <c r="EM17" s="1779"/>
      <c r="EN17" s="1779"/>
      <c r="EO17" s="1779"/>
      <c r="EP17" s="1779"/>
      <c r="EQ17" s="1779"/>
      <c r="ER17" s="1779"/>
      <c r="ES17" s="1779"/>
      <c r="ET17" s="1779"/>
      <c r="EU17" s="1779"/>
      <c r="EV17" s="1779"/>
      <c r="EW17" s="1779"/>
      <c r="EX17" s="1779"/>
      <c r="EY17" s="1779"/>
      <c r="EZ17" s="1779"/>
      <c r="FA17" s="1779"/>
      <c r="FB17" s="1779"/>
      <c r="FC17" s="1779"/>
      <c r="FD17" s="1779"/>
      <c r="FE17" s="1779"/>
      <c r="FF17" s="1779"/>
      <c r="FG17" s="1779"/>
      <c r="FH17" s="1779"/>
      <c r="FI17" s="1779"/>
      <c r="FJ17" s="1779"/>
      <c r="FK17" s="1779"/>
      <c r="FL17" s="1779"/>
      <c r="FM17" s="1779"/>
      <c r="FN17" s="1779"/>
      <c r="FO17" s="1779"/>
      <c r="FP17" s="1779"/>
      <c r="FQ17" s="1779"/>
      <c r="FR17" s="1779"/>
      <c r="FS17" s="1779"/>
      <c r="FT17" s="1779"/>
      <c r="FU17" s="1779"/>
      <c r="FV17" s="1779"/>
      <c r="FW17" s="1779"/>
      <c r="FX17" s="1779"/>
      <c r="FY17" s="1779"/>
      <c r="FZ17" s="1779"/>
      <c r="GA17" s="1779"/>
      <c r="XES17" s="1780"/>
      <c r="XET17" s="1780"/>
      <c r="XEU17" s="1780"/>
      <c r="XEV17" s="1780"/>
      <c r="XEW17" s="1780"/>
      <c r="XEX17" s="1780"/>
      <c r="XEY17" s="1780"/>
      <c r="XEZ17" s="1780"/>
      <c r="XFA17" s="1780"/>
      <c r="XFB17" s="1780"/>
      <c r="XFC17" s="1780"/>
      <c r="XFD17" s="1780"/>
    </row>
    <row r="18" s="1663" customFormat="1" ht="36" customHeight="1" spans="1:16384">
      <c r="A18" s="1693">
        <v>45657</v>
      </c>
      <c r="B18" s="1694" t="s">
        <v>209</v>
      </c>
      <c r="C18" s="1695" t="s">
        <v>91</v>
      </c>
      <c r="D18" s="1696">
        <v>4500155048</v>
      </c>
      <c r="E18" s="1694" t="s">
        <v>1549</v>
      </c>
      <c r="F18" s="1696" t="s">
        <v>1550</v>
      </c>
      <c r="G18" s="1697" t="s">
        <v>1489</v>
      </c>
      <c r="H18" s="1697" t="s">
        <v>1490</v>
      </c>
      <c r="I18" s="1704" t="s">
        <v>1491</v>
      </c>
      <c r="J18" s="1697">
        <v>36</v>
      </c>
      <c r="K18" s="1697">
        <v>0</v>
      </c>
      <c r="L18" s="1697">
        <v>18</v>
      </c>
      <c r="M18" s="1709">
        <f t="shared" si="0"/>
        <v>2</v>
      </c>
      <c r="N18" s="1706">
        <v>45715</v>
      </c>
      <c r="O18" s="1707">
        <v>45712</v>
      </c>
      <c r="P18" s="1708"/>
      <c r="Q18" s="1708" t="s">
        <v>1480</v>
      </c>
      <c r="R18" s="1708" t="s">
        <v>1551</v>
      </c>
      <c r="S18" s="1710" t="s">
        <v>422</v>
      </c>
      <c r="T18" s="1710"/>
      <c r="U18" s="1710" t="s">
        <v>1552</v>
      </c>
      <c r="V18" s="1721" t="s">
        <v>1495</v>
      </c>
      <c r="W18" s="1719" t="s">
        <v>1553</v>
      </c>
      <c r="X18" s="1720" t="s">
        <v>1554</v>
      </c>
      <c r="Y18" s="1743">
        <v>3.5711</v>
      </c>
      <c r="Z18" s="1744">
        <f t="shared" si="1"/>
        <v>128.5596</v>
      </c>
      <c r="AA18" s="1741" t="s">
        <v>1555</v>
      </c>
      <c r="AB18" s="1741">
        <v>36</v>
      </c>
      <c r="AC18" s="1741">
        <f t="shared" si="6"/>
        <v>0</v>
      </c>
      <c r="AD18" s="1745" t="s">
        <v>1485</v>
      </c>
      <c r="AE18" s="1742" t="s">
        <v>63</v>
      </c>
      <c r="AF18" s="1742" t="s">
        <v>38</v>
      </c>
      <c r="AG18" s="1720">
        <f>J18</f>
        <v>36</v>
      </c>
      <c r="AH18" s="1720">
        <f>J18</f>
        <v>36</v>
      </c>
      <c r="AI18" s="1754">
        <f>J18</f>
        <v>36</v>
      </c>
      <c r="AJ18" s="1755"/>
      <c r="AK18" s="1756"/>
      <c r="AL18" s="1756">
        <f t="shared" si="11"/>
        <v>36</v>
      </c>
      <c r="AM18" s="1756"/>
      <c r="AN18" s="1756"/>
      <c r="AO18" s="1771"/>
      <c r="AP18" s="1771"/>
      <c r="AQ18" s="1772"/>
      <c r="AR18" s="1773"/>
      <c r="AS18" s="1754"/>
      <c r="AT18" s="1773"/>
      <c r="AU18" s="1774">
        <f>J18</f>
        <v>36</v>
      </c>
      <c r="AV18" s="1775"/>
      <c r="AW18" s="1777"/>
      <c r="AX18" s="1777"/>
      <c r="AY18" s="1777"/>
      <c r="AZ18" s="1777"/>
      <c r="BA18" s="1777"/>
      <c r="BB18" s="1777"/>
      <c r="BC18" s="1777"/>
      <c r="BD18" s="1777"/>
      <c r="BE18" s="1777"/>
      <c r="BF18" s="1777"/>
      <c r="BG18" s="1777"/>
      <c r="BH18" s="1777"/>
      <c r="BI18" s="1777"/>
      <c r="BJ18" s="1777"/>
      <c r="BK18" s="1777"/>
      <c r="BL18" s="1777"/>
      <c r="BM18" s="1777"/>
      <c r="BN18" s="1777"/>
      <c r="BO18" s="1777"/>
      <c r="BP18" s="1777"/>
      <c r="BQ18" s="1777"/>
      <c r="BR18" s="1777"/>
      <c r="BS18" s="1777"/>
      <c r="BT18" s="1777"/>
      <c r="BU18" s="1777"/>
      <c r="BV18" s="1777"/>
      <c r="BW18" s="1777"/>
      <c r="BX18" s="1777"/>
      <c r="BY18" s="1777"/>
      <c r="BZ18" s="1777"/>
      <c r="CA18" s="1777"/>
      <c r="CB18" s="1777"/>
      <c r="CC18" s="1777"/>
      <c r="CD18" s="1777"/>
      <c r="CE18" s="1777"/>
      <c r="CF18" s="1777"/>
      <c r="CG18" s="1777"/>
      <c r="CH18" s="1777"/>
      <c r="CI18" s="1777"/>
      <c r="CJ18" s="1777"/>
      <c r="CK18" s="1777"/>
      <c r="CL18" s="1777"/>
      <c r="CM18" s="1777"/>
      <c r="CN18" s="1777"/>
      <c r="CO18" s="1777"/>
      <c r="CP18" s="1777"/>
      <c r="CQ18" s="1777"/>
      <c r="CR18" s="1777"/>
      <c r="CS18" s="1777"/>
      <c r="CT18" s="1777"/>
      <c r="CU18" s="1777"/>
      <c r="CV18" s="1777"/>
      <c r="CW18" s="1777"/>
      <c r="CX18" s="1777"/>
      <c r="CY18" s="1777"/>
      <c r="CZ18" s="1777"/>
      <c r="DA18" s="1777"/>
      <c r="DB18" s="1777"/>
      <c r="DC18" s="1777"/>
      <c r="DD18" s="1777"/>
      <c r="DE18" s="1777"/>
      <c r="DF18" s="1777"/>
      <c r="DG18" s="1777"/>
      <c r="DH18" s="1777"/>
      <c r="DI18" s="1777"/>
      <c r="DJ18" s="1777"/>
      <c r="DK18" s="1777"/>
      <c r="DL18" s="1777"/>
      <c r="DM18" s="1777"/>
      <c r="DN18" s="1777"/>
      <c r="DO18" s="1777"/>
      <c r="DP18" s="1777"/>
      <c r="DQ18" s="1777"/>
      <c r="DR18" s="1777"/>
      <c r="DS18" s="1777"/>
      <c r="DT18" s="1777"/>
      <c r="DU18" s="1777"/>
      <c r="DV18" s="1777"/>
      <c r="DW18" s="1777"/>
      <c r="DX18" s="1779"/>
      <c r="DY18" s="1779"/>
      <c r="DZ18" s="1779"/>
      <c r="EA18" s="1779"/>
      <c r="EB18" s="1779"/>
      <c r="EC18" s="1779"/>
      <c r="ED18" s="1779"/>
      <c r="EE18" s="1779"/>
      <c r="EF18" s="1779"/>
      <c r="EG18" s="1779"/>
      <c r="EH18" s="1779"/>
      <c r="EI18" s="1779"/>
      <c r="EJ18" s="1779"/>
      <c r="EK18" s="1779"/>
      <c r="EL18" s="1779"/>
      <c r="EM18" s="1779"/>
      <c r="EN18" s="1779"/>
      <c r="EO18" s="1779"/>
      <c r="EP18" s="1779"/>
      <c r="EQ18" s="1779"/>
      <c r="ER18" s="1779"/>
      <c r="ES18" s="1779"/>
      <c r="ET18" s="1779"/>
      <c r="EU18" s="1779"/>
      <c r="EV18" s="1779"/>
      <c r="EW18" s="1779"/>
      <c r="EX18" s="1779"/>
      <c r="EY18" s="1779"/>
      <c r="EZ18" s="1779"/>
      <c r="FA18" s="1779"/>
      <c r="FB18" s="1779"/>
      <c r="FC18" s="1779"/>
      <c r="FD18" s="1779"/>
      <c r="FE18" s="1779"/>
      <c r="FF18" s="1779"/>
      <c r="FG18" s="1779"/>
      <c r="FH18" s="1779"/>
      <c r="FI18" s="1779"/>
      <c r="FJ18" s="1779"/>
      <c r="FK18" s="1779"/>
      <c r="FL18" s="1779"/>
      <c r="FM18" s="1779"/>
      <c r="FN18" s="1779"/>
      <c r="FO18" s="1779"/>
      <c r="FP18" s="1779"/>
      <c r="FQ18" s="1779"/>
      <c r="FR18" s="1779"/>
      <c r="FS18" s="1779"/>
      <c r="FT18" s="1779"/>
      <c r="FU18" s="1779"/>
      <c r="FV18" s="1779"/>
      <c r="FW18" s="1779"/>
      <c r="FX18" s="1779"/>
      <c r="FY18" s="1779"/>
      <c r="FZ18" s="1779"/>
      <c r="GA18" s="1779"/>
      <c r="XES18" s="1780"/>
      <c r="XET18" s="1780"/>
      <c r="XEU18" s="1780"/>
      <c r="XEV18" s="1780"/>
      <c r="XEW18" s="1780"/>
      <c r="XEX18" s="1780"/>
      <c r="XEY18" s="1780"/>
      <c r="XEZ18" s="1780"/>
      <c r="XFA18" s="1780"/>
      <c r="XFB18" s="1780"/>
      <c r="XFC18" s="1780"/>
      <c r="XFD18" s="1780"/>
    </row>
    <row r="19" s="1663" customFormat="1" ht="36" customHeight="1" spans="1:16384">
      <c r="A19" s="1693">
        <v>45657</v>
      </c>
      <c r="B19" s="1694" t="s">
        <v>209</v>
      </c>
      <c r="C19" s="1695" t="s">
        <v>91</v>
      </c>
      <c r="D19" s="1696">
        <v>4500155020</v>
      </c>
      <c r="E19" s="1694" t="s">
        <v>1556</v>
      </c>
      <c r="F19" s="1696" t="s">
        <v>1557</v>
      </c>
      <c r="G19" s="1697" t="s">
        <v>1489</v>
      </c>
      <c r="H19" s="1697" t="s">
        <v>1490</v>
      </c>
      <c r="I19" s="1704" t="s">
        <v>1491</v>
      </c>
      <c r="J19" s="1697">
        <v>342</v>
      </c>
      <c r="K19" s="1697">
        <v>0</v>
      </c>
      <c r="L19" s="1697">
        <v>18</v>
      </c>
      <c r="M19" s="1709">
        <f t="shared" si="0"/>
        <v>19</v>
      </c>
      <c r="N19" s="1706">
        <v>45715</v>
      </c>
      <c r="O19" s="1707">
        <v>45712</v>
      </c>
      <c r="P19" s="1708"/>
      <c r="Q19" s="1708" t="s">
        <v>1480</v>
      </c>
      <c r="R19" s="1708" t="s">
        <v>1551</v>
      </c>
      <c r="S19" s="1710" t="s">
        <v>422</v>
      </c>
      <c r="T19" s="1710"/>
      <c r="U19" s="1710" t="s">
        <v>1558</v>
      </c>
      <c r="V19" s="1721" t="s">
        <v>1495</v>
      </c>
      <c r="W19" s="1719" t="s">
        <v>1559</v>
      </c>
      <c r="X19" s="1720" t="s">
        <v>1554</v>
      </c>
      <c r="Y19" s="1743">
        <v>3.5711</v>
      </c>
      <c r="Z19" s="1744">
        <f t="shared" si="1"/>
        <v>1221.3162</v>
      </c>
      <c r="AA19" s="1741" t="s">
        <v>1560</v>
      </c>
      <c r="AB19" s="1741">
        <v>342</v>
      </c>
      <c r="AC19" s="1741">
        <f t="shared" si="6"/>
        <v>0</v>
      </c>
      <c r="AD19" s="1745" t="s">
        <v>1499</v>
      </c>
      <c r="AE19" s="1742" t="s">
        <v>63</v>
      </c>
      <c r="AF19" s="1742" t="s">
        <v>38</v>
      </c>
      <c r="AG19" s="1720">
        <f>J19</f>
        <v>342</v>
      </c>
      <c r="AH19" s="1720">
        <f>J19</f>
        <v>342</v>
      </c>
      <c r="AI19" s="1754">
        <f>J19</f>
        <v>342</v>
      </c>
      <c r="AJ19" s="1755"/>
      <c r="AK19" s="1756"/>
      <c r="AL19" s="1756">
        <f t="shared" si="11"/>
        <v>342</v>
      </c>
      <c r="AM19" s="1756"/>
      <c r="AN19" s="1756"/>
      <c r="AO19" s="1771"/>
      <c r="AP19" s="1771"/>
      <c r="AQ19" s="1772"/>
      <c r="AR19" s="1773"/>
      <c r="AS19" s="1754"/>
      <c r="AT19" s="1773"/>
      <c r="AU19" s="1774">
        <f>J19</f>
        <v>342</v>
      </c>
      <c r="AV19" s="1775"/>
      <c r="AW19" s="1777"/>
      <c r="AX19" s="1777"/>
      <c r="AY19" s="1777"/>
      <c r="AZ19" s="1777"/>
      <c r="BA19" s="1777"/>
      <c r="BB19" s="1777"/>
      <c r="BC19" s="1777"/>
      <c r="BD19" s="1777"/>
      <c r="BE19" s="1777"/>
      <c r="BF19" s="1777"/>
      <c r="BG19" s="1777"/>
      <c r="BH19" s="1777"/>
      <c r="BI19" s="1777"/>
      <c r="BJ19" s="1777"/>
      <c r="BK19" s="1777"/>
      <c r="BL19" s="1777"/>
      <c r="BM19" s="1777"/>
      <c r="BN19" s="1777"/>
      <c r="BO19" s="1777"/>
      <c r="BP19" s="1777"/>
      <c r="BQ19" s="1777"/>
      <c r="BR19" s="1777"/>
      <c r="BS19" s="1777"/>
      <c r="BT19" s="1777"/>
      <c r="BU19" s="1777"/>
      <c r="BV19" s="1777"/>
      <c r="BW19" s="1777"/>
      <c r="BX19" s="1777"/>
      <c r="BY19" s="1777"/>
      <c r="BZ19" s="1777"/>
      <c r="CA19" s="1777"/>
      <c r="CB19" s="1777"/>
      <c r="CC19" s="1777"/>
      <c r="CD19" s="1777"/>
      <c r="CE19" s="1777"/>
      <c r="CF19" s="1777"/>
      <c r="CG19" s="1777"/>
      <c r="CH19" s="1777"/>
      <c r="CI19" s="1777"/>
      <c r="CJ19" s="1777"/>
      <c r="CK19" s="1777"/>
      <c r="CL19" s="1777"/>
      <c r="CM19" s="1777"/>
      <c r="CN19" s="1777"/>
      <c r="CO19" s="1777"/>
      <c r="CP19" s="1777"/>
      <c r="CQ19" s="1777"/>
      <c r="CR19" s="1777"/>
      <c r="CS19" s="1777"/>
      <c r="CT19" s="1777"/>
      <c r="CU19" s="1777"/>
      <c r="CV19" s="1777"/>
      <c r="CW19" s="1777"/>
      <c r="CX19" s="1777"/>
      <c r="CY19" s="1777"/>
      <c r="CZ19" s="1777"/>
      <c r="DA19" s="1777"/>
      <c r="DB19" s="1777"/>
      <c r="DC19" s="1777"/>
      <c r="DD19" s="1777"/>
      <c r="DE19" s="1777"/>
      <c r="DF19" s="1777"/>
      <c r="DG19" s="1777"/>
      <c r="DH19" s="1777"/>
      <c r="DI19" s="1777"/>
      <c r="DJ19" s="1777"/>
      <c r="DK19" s="1777"/>
      <c r="DL19" s="1777"/>
      <c r="DM19" s="1777"/>
      <c r="DN19" s="1777"/>
      <c r="DO19" s="1777"/>
      <c r="DP19" s="1777"/>
      <c r="DQ19" s="1777"/>
      <c r="DR19" s="1777"/>
      <c r="DS19" s="1777"/>
      <c r="DT19" s="1777"/>
      <c r="DU19" s="1777"/>
      <c r="DV19" s="1777"/>
      <c r="DW19" s="1777"/>
      <c r="DX19" s="1779"/>
      <c r="DY19" s="1779"/>
      <c r="DZ19" s="1779"/>
      <c r="EA19" s="1779"/>
      <c r="EB19" s="1779"/>
      <c r="EC19" s="1779"/>
      <c r="ED19" s="1779"/>
      <c r="EE19" s="1779"/>
      <c r="EF19" s="1779"/>
      <c r="EG19" s="1779"/>
      <c r="EH19" s="1779"/>
      <c r="EI19" s="1779"/>
      <c r="EJ19" s="1779"/>
      <c r="EK19" s="1779"/>
      <c r="EL19" s="1779"/>
      <c r="EM19" s="1779"/>
      <c r="EN19" s="1779"/>
      <c r="EO19" s="1779"/>
      <c r="EP19" s="1779"/>
      <c r="EQ19" s="1779"/>
      <c r="ER19" s="1779"/>
      <c r="ES19" s="1779"/>
      <c r="ET19" s="1779"/>
      <c r="EU19" s="1779"/>
      <c r="EV19" s="1779"/>
      <c r="EW19" s="1779"/>
      <c r="EX19" s="1779"/>
      <c r="EY19" s="1779"/>
      <c r="EZ19" s="1779"/>
      <c r="FA19" s="1779"/>
      <c r="FB19" s="1779"/>
      <c r="FC19" s="1779"/>
      <c r="FD19" s="1779"/>
      <c r="FE19" s="1779"/>
      <c r="FF19" s="1779"/>
      <c r="FG19" s="1779"/>
      <c r="FH19" s="1779"/>
      <c r="FI19" s="1779"/>
      <c r="FJ19" s="1779"/>
      <c r="FK19" s="1779"/>
      <c r="FL19" s="1779"/>
      <c r="FM19" s="1779"/>
      <c r="FN19" s="1779"/>
      <c r="FO19" s="1779"/>
      <c r="FP19" s="1779"/>
      <c r="FQ19" s="1779"/>
      <c r="FR19" s="1779"/>
      <c r="FS19" s="1779"/>
      <c r="FT19" s="1779"/>
      <c r="FU19" s="1779"/>
      <c r="FV19" s="1779"/>
      <c r="FW19" s="1779"/>
      <c r="FX19" s="1779"/>
      <c r="FY19" s="1779"/>
      <c r="FZ19" s="1779"/>
      <c r="GA19" s="1779"/>
      <c r="XES19" s="1780"/>
      <c r="XET19" s="1780"/>
      <c r="XEU19" s="1780"/>
      <c r="XEV19" s="1780"/>
      <c r="XEW19" s="1780"/>
      <c r="XEX19" s="1780"/>
      <c r="XEY19" s="1780"/>
      <c r="XEZ19" s="1780"/>
      <c r="XFA19" s="1780"/>
      <c r="XFB19" s="1780"/>
      <c r="XFC19" s="1780"/>
      <c r="XFD19" s="1780"/>
    </row>
    <row r="20" s="1663" customFormat="1" ht="36" customHeight="1" spans="1:16384">
      <c r="A20" s="1693">
        <v>45558</v>
      </c>
      <c r="B20" s="1694" t="s">
        <v>1516</v>
      </c>
      <c r="C20" s="1695" t="s">
        <v>91</v>
      </c>
      <c r="D20" s="1696">
        <v>4500145933</v>
      </c>
      <c r="E20" s="1694">
        <v>10858930</v>
      </c>
      <c r="F20" s="1696" t="s">
        <v>1561</v>
      </c>
      <c r="G20" s="1697" t="s">
        <v>1518</v>
      </c>
      <c r="H20" s="1697" t="s">
        <v>1519</v>
      </c>
      <c r="I20" s="1704" t="s">
        <v>1479</v>
      </c>
      <c r="J20" s="1697">
        <v>1092</v>
      </c>
      <c r="K20" s="1697">
        <v>0</v>
      </c>
      <c r="L20" s="1697">
        <v>6</v>
      </c>
      <c r="M20" s="1705">
        <f t="shared" si="0"/>
        <v>182</v>
      </c>
      <c r="N20" s="1706">
        <v>45728</v>
      </c>
      <c r="O20" s="1707">
        <v>45724</v>
      </c>
      <c r="P20" s="1708"/>
      <c r="Q20" s="1708" t="s">
        <v>1480</v>
      </c>
      <c r="R20" s="1708" t="s">
        <v>1562</v>
      </c>
      <c r="S20" s="1710" t="s">
        <v>1520</v>
      </c>
      <c r="T20" s="1710"/>
      <c r="U20" s="1710" t="s">
        <v>1521</v>
      </c>
      <c r="V20" s="1721" t="s">
        <v>1522</v>
      </c>
      <c r="W20" s="1719" t="s">
        <v>1523</v>
      </c>
      <c r="X20" s="1720" t="s">
        <v>407</v>
      </c>
      <c r="Y20" s="1739">
        <v>1.6189</v>
      </c>
      <c r="Z20" s="1740">
        <f t="shared" si="1"/>
        <v>1767.8388</v>
      </c>
      <c r="AA20" s="1741" t="s">
        <v>1563</v>
      </c>
      <c r="AB20" s="1741">
        <v>1092</v>
      </c>
      <c r="AC20" s="1741">
        <f t="shared" si="6"/>
        <v>0</v>
      </c>
      <c r="AD20" s="1745" t="s">
        <v>1485</v>
      </c>
      <c r="AE20" s="1742" t="s">
        <v>63</v>
      </c>
      <c r="AF20" s="1742" t="s">
        <v>38</v>
      </c>
      <c r="AG20" s="1720">
        <f>J20/3</f>
        <v>364</v>
      </c>
      <c r="AH20" s="1720">
        <f>J20/3</f>
        <v>364</v>
      </c>
      <c r="AI20" s="1754">
        <f>J20/3</f>
        <v>364</v>
      </c>
      <c r="AJ20" s="1755">
        <f>J20</f>
        <v>1092</v>
      </c>
      <c r="AK20" s="1756"/>
      <c r="AL20" s="1756">
        <f t="shared" si="11"/>
        <v>1092</v>
      </c>
      <c r="AM20" s="1756">
        <f>J20/6</f>
        <v>182</v>
      </c>
      <c r="AN20" s="1756"/>
      <c r="AO20" s="1771"/>
      <c r="AP20" s="1771"/>
      <c r="AQ20" s="1772"/>
      <c r="AR20" s="1773"/>
      <c r="AS20" s="1754"/>
      <c r="AT20" s="1773"/>
      <c r="AU20" s="1774"/>
      <c r="AV20" s="1775"/>
      <c r="AW20" s="1777"/>
      <c r="AX20" s="1777"/>
      <c r="AY20" s="1777"/>
      <c r="AZ20" s="1777"/>
      <c r="BA20" s="1777"/>
      <c r="BB20" s="1777"/>
      <c r="BC20" s="1777"/>
      <c r="BD20" s="1777"/>
      <c r="BE20" s="1777"/>
      <c r="BF20" s="1777"/>
      <c r="BG20" s="1777"/>
      <c r="BH20" s="1777"/>
      <c r="BI20" s="1777"/>
      <c r="BJ20" s="1777"/>
      <c r="BK20" s="1777"/>
      <c r="BL20" s="1777"/>
      <c r="BM20" s="1777"/>
      <c r="BN20" s="1777"/>
      <c r="BO20" s="1777"/>
      <c r="BP20" s="1777"/>
      <c r="BQ20" s="1777"/>
      <c r="BR20" s="1777"/>
      <c r="BS20" s="1777"/>
      <c r="BT20" s="1777"/>
      <c r="BU20" s="1777"/>
      <c r="BV20" s="1777"/>
      <c r="BW20" s="1777"/>
      <c r="BX20" s="1777"/>
      <c r="BY20" s="1777"/>
      <c r="BZ20" s="1777"/>
      <c r="CA20" s="1777"/>
      <c r="CB20" s="1777"/>
      <c r="CC20" s="1777"/>
      <c r="CD20" s="1777"/>
      <c r="CE20" s="1777"/>
      <c r="CF20" s="1777"/>
      <c r="CG20" s="1777"/>
      <c r="CH20" s="1777"/>
      <c r="CI20" s="1777"/>
      <c r="CJ20" s="1777"/>
      <c r="CK20" s="1777"/>
      <c r="CL20" s="1777"/>
      <c r="CM20" s="1777"/>
      <c r="CN20" s="1777"/>
      <c r="CO20" s="1777"/>
      <c r="CP20" s="1777"/>
      <c r="CQ20" s="1777"/>
      <c r="CR20" s="1777"/>
      <c r="CS20" s="1777"/>
      <c r="CT20" s="1777"/>
      <c r="CU20" s="1777"/>
      <c r="CV20" s="1777"/>
      <c r="CW20" s="1777"/>
      <c r="CX20" s="1777"/>
      <c r="CY20" s="1777"/>
      <c r="CZ20" s="1777"/>
      <c r="DA20" s="1777"/>
      <c r="DB20" s="1777"/>
      <c r="DC20" s="1777"/>
      <c r="DD20" s="1777"/>
      <c r="DE20" s="1777"/>
      <c r="DF20" s="1777"/>
      <c r="DG20" s="1777"/>
      <c r="DH20" s="1777"/>
      <c r="DI20" s="1777"/>
      <c r="DJ20" s="1777"/>
      <c r="DK20" s="1777"/>
      <c r="DL20" s="1777"/>
      <c r="DM20" s="1777"/>
      <c r="DN20" s="1777"/>
      <c r="DO20" s="1777"/>
      <c r="DP20" s="1777"/>
      <c r="DQ20" s="1777"/>
      <c r="DR20" s="1777"/>
      <c r="DS20" s="1777"/>
      <c r="DT20" s="1777"/>
      <c r="DU20" s="1777"/>
      <c r="DV20" s="1777"/>
      <c r="DW20" s="1777"/>
      <c r="DX20" s="1779"/>
      <c r="DY20" s="1779"/>
      <c r="DZ20" s="1779"/>
      <c r="EA20" s="1779"/>
      <c r="EB20" s="1779"/>
      <c r="EC20" s="1779"/>
      <c r="ED20" s="1779"/>
      <c r="EE20" s="1779"/>
      <c r="EF20" s="1779"/>
      <c r="EG20" s="1779"/>
      <c r="EH20" s="1779"/>
      <c r="EI20" s="1779"/>
      <c r="EJ20" s="1779"/>
      <c r="EK20" s="1779"/>
      <c r="EL20" s="1779"/>
      <c r="EM20" s="1779"/>
      <c r="EN20" s="1779"/>
      <c r="EO20" s="1779"/>
      <c r="EP20" s="1779"/>
      <c r="EQ20" s="1779"/>
      <c r="ER20" s="1779"/>
      <c r="ES20" s="1779"/>
      <c r="ET20" s="1779"/>
      <c r="EU20" s="1779"/>
      <c r="EV20" s="1779"/>
      <c r="EW20" s="1779"/>
      <c r="EX20" s="1779"/>
      <c r="EY20" s="1779"/>
      <c r="EZ20" s="1779"/>
      <c r="FA20" s="1779"/>
      <c r="FB20" s="1779"/>
      <c r="FC20" s="1779"/>
      <c r="FD20" s="1779"/>
      <c r="FE20" s="1779"/>
      <c r="FF20" s="1779"/>
      <c r="FG20" s="1779"/>
      <c r="FH20" s="1779"/>
      <c r="FI20" s="1779"/>
      <c r="FJ20" s="1779"/>
      <c r="FK20" s="1779"/>
      <c r="FL20" s="1779"/>
      <c r="FM20" s="1779"/>
      <c r="FN20" s="1779"/>
      <c r="FO20" s="1779"/>
      <c r="FP20" s="1779"/>
      <c r="FQ20" s="1779"/>
      <c r="FR20" s="1779"/>
      <c r="FS20" s="1779"/>
      <c r="FT20" s="1779"/>
      <c r="FU20" s="1779"/>
      <c r="FV20" s="1779"/>
      <c r="FW20" s="1779"/>
      <c r="FX20" s="1779"/>
      <c r="FY20" s="1779"/>
      <c r="FZ20" s="1779"/>
      <c r="GA20" s="1779"/>
      <c r="XES20" s="1780"/>
      <c r="XET20" s="1780"/>
      <c r="XEU20" s="1780"/>
      <c r="XEV20" s="1780"/>
      <c r="XEW20" s="1780"/>
      <c r="XEX20" s="1780"/>
      <c r="XEY20" s="1780"/>
      <c r="XEZ20" s="1780"/>
      <c r="XFA20" s="1780"/>
      <c r="XFB20" s="1780"/>
      <c r="XFC20" s="1780"/>
      <c r="XFD20" s="1780"/>
    </row>
    <row r="21" s="1663" customFormat="1" ht="36" customHeight="1" spans="1:16384">
      <c r="A21" s="1693">
        <v>45723</v>
      </c>
      <c r="B21" s="1694" t="s">
        <v>1564</v>
      </c>
      <c r="C21" s="1695" t="s">
        <v>91</v>
      </c>
      <c r="D21" s="1696">
        <v>4500159501</v>
      </c>
      <c r="E21" s="1694" t="s">
        <v>1565</v>
      </c>
      <c r="F21" s="1696" t="s">
        <v>1566</v>
      </c>
      <c r="G21" s="1697" t="s">
        <v>1567</v>
      </c>
      <c r="H21" s="1697" t="s">
        <v>1568</v>
      </c>
      <c r="I21" s="1704" t="s">
        <v>1479</v>
      </c>
      <c r="J21" s="1697">
        <v>1824</v>
      </c>
      <c r="K21" s="1697">
        <v>0</v>
      </c>
      <c r="L21" s="1697">
        <v>24</v>
      </c>
      <c r="M21" s="1705">
        <f t="shared" si="0"/>
        <v>76</v>
      </c>
      <c r="N21" s="1706">
        <v>45798</v>
      </c>
      <c r="O21" s="1707">
        <v>45794</v>
      </c>
      <c r="P21" s="1708"/>
      <c r="Q21" s="1708" t="s">
        <v>1480</v>
      </c>
      <c r="R21" s="1708" t="s">
        <v>582</v>
      </c>
      <c r="S21" s="1710" t="s">
        <v>1569</v>
      </c>
      <c r="T21" s="1710"/>
      <c r="U21" s="1710" t="s">
        <v>1570</v>
      </c>
      <c r="V21" s="1718" t="s">
        <v>969</v>
      </c>
      <c r="W21" s="1719" t="s">
        <v>1571</v>
      </c>
      <c r="X21" s="1720" t="s">
        <v>971</v>
      </c>
      <c r="Y21" s="1739">
        <v>0.9444</v>
      </c>
      <c r="Z21" s="1740">
        <f t="shared" si="1"/>
        <v>1722.5856</v>
      </c>
      <c r="AA21" s="1741"/>
      <c r="AB21" s="1741">
        <v>1824</v>
      </c>
      <c r="AC21" s="1746">
        <f t="shared" si="6"/>
        <v>0</v>
      </c>
      <c r="AD21" s="1745" t="s">
        <v>1499</v>
      </c>
      <c r="AE21" s="1742" t="s">
        <v>63</v>
      </c>
      <c r="AF21" s="1742" t="s">
        <v>38</v>
      </c>
      <c r="AG21" s="1720">
        <f>J21/3</f>
        <v>608</v>
      </c>
      <c r="AH21" s="1720">
        <f>J21/3</f>
        <v>608</v>
      </c>
      <c r="AI21" s="1754">
        <f>J21/3</f>
        <v>608</v>
      </c>
      <c r="AJ21" s="1755">
        <f>J21</f>
        <v>1824</v>
      </c>
      <c r="AK21" s="1756"/>
      <c r="AL21" s="1756">
        <f t="shared" si="11"/>
        <v>1824</v>
      </c>
      <c r="AM21" s="1756">
        <f>J21/6</f>
        <v>304</v>
      </c>
      <c r="AN21" s="1756"/>
      <c r="AO21" s="1771"/>
      <c r="AP21" s="1771"/>
      <c r="AQ21" s="1772"/>
      <c r="AR21" s="1773"/>
      <c r="AS21" s="1754"/>
      <c r="AT21" s="1773"/>
      <c r="AU21" s="1774"/>
      <c r="AV21" s="1775"/>
      <c r="AW21" s="1777"/>
      <c r="AX21" s="1777"/>
      <c r="AY21" s="1777"/>
      <c r="AZ21" s="1777"/>
      <c r="BA21" s="1777"/>
      <c r="BB21" s="1777"/>
      <c r="BC21" s="1777"/>
      <c r="BD21" s="1777"/>
      <c r="BE21" s="1777"/>
      <c r="BF21" s="1777"/>
      <c r="BG21" s="1777"/>
      <c r="BH21" s="1777"/>
      <c r="BI21" s="1777"/>
      <c r="BJ21" s="1777"/>
      <c r="BK21" s="1777"/>
      <c r="BL21" s="1777"/>
      <c r="BM21" s="1777"/>
      <c r="BN21" s="1777"/>
      <c r="BO21" s="1777"/>
      <c r="BP21" s="1777"/>
      <c r="BQ21" s="1777"/>
      <c r="BR21" s="1777"/>
      <c r="BS21" s="1777"/>
      <c r="BT21" s="1777"/>
      <c r="BU21" s="1777"/>
      <c r="BV21" s="1777"/>
      <c r="BW21" s="1777"/>
      <c r="BX21" s="1777"/>
      <c r="BY21" s="1777"/>
      <c r="BZ21" s="1777"/>
      <c r="CA21" s="1777"/>
      <c r="CB21" s="1777"/>
      <c r="CC21" s="1777"/>
      <c r="CD21" s="1777"/>
      <c r="CE21" s="1777"/>
      <c r="CF21" s="1777"/>
      <c r="CG21" s="1777"/>
      <c r="CH21" s="1777"/>
      <c r="CI21" s="1777"/>
      <c r="CJ21" s="1777"/>
      <c r="CK21" s="1777"/>
      <c r="CL21" s="1777"/>
      <c r="CM21" s="1777"/>
      <c r="CN21" s="1777"/>
      <c r="CO21" s="1777"/>
      <c r="CP21" s="1777"/>
      <c r="CQ21" s="1777"/>
      <c r="CR21" s="1777"/>
      <c r="CS21" s="1777"/>
      <c r="CT21" s="1777"/>
      <c r="CU21" s="1777"/>
      <c r="CV21" s="1777"/>
      <c r="CW21" s="1777"/>
      <c r="CX21" s="1777"/>
      <c r="CY21" s="1777"/>
      <c r="CZ21" s="1777"/>
      <c r="DA21" s="1777"/>
      <c r="DB21" s="1777"/>
      <c r="DC21" s="1777"/>
      <c r="DD21" s="1777"/>
      <c r="DE21" s="1777"/>
      <c r="DF21" s="1777"/>
      <c r="DG21" s="1777"/>
      <c r="DH21" s="1777"/>
      <c r="DI21" s="1777"/>
      <c r="DJ21" s="1777"/>
      <c r="DK21" s="1777"/>
      <c r="DL21" s="1777"/>
      <c r="DM21" s="1777"/>
      <c r="DN21" s="1777"/>
      <c r="DO21" s="1777"/>
      <c r="DP21" s="1777"/>
      <c r="DQ21" s="1777"/>
      <c r="DR21" s="1777"/>
      <c r="DS21" s="1777"/>
      <c r="DT21" s="1777"/>
      <c r="DU21" s="1777"/>
      <c r="DV21" s="1777"/>
      <c r="DW21" s="1777"/>
      <c r="DX21" s="1779"/>
      <c r="DY21" s="1779"/>
      <c r="DZ21" s="1779"/>
      <c r="EA21" s="1779"/>
      <c r="EB21" s="1779"/>
      <c r="EC21" s="1779"/>
      <c r="ED21" s="1779"/>
      <c r="EE21" s="1779"/>
      <c r="EF21" s="1779"/>
      <c r="EG21" s="1779"/>
      <c r="EH21" s="1779"/>
      <c r="EI21" s="1779"/>
      <c r="EJ21" s="1779"/>
      <c r="EK21" s="1779"/>
      <c r="EL21" s="1779"/>
      <c r="EM21" s="1779"/>
      <c r="EN21" s="1779"/>
      <c r="EO21" s="1779"/>
      <c r="EP21" s="1779"/>
      <c r="EQ21" s="1779"/>
      <c r="ER21" s="1779"/>
      <c r="ES21" s="1779"/>
      <c r="ET21" s="1779"/>
      <c r="EU21" s="1779"/>
      <c r="EV21" s="1779"/>
      <c r="EW21" s="1779"/>
      <c r="EX21" s="1779"/>
      <c r="EY21" s="1779"/>
      <c r="EZ21" s="1779"/>
      <c r="FA21" s="1779"/>
      <c r="FB21" s="1779"/>
      <c r="FC21" s="1779"/>
      <c r="FD21" s="1779"/>
      <c r="FE21" s="1779"/>
      <c r="FF21" s="1779"/>
      <c r="FG21" s="1779"/>
      <c r="FH21" s="1779"/>
      <c r="FI21" s="1779"/>
      <c r="FJ21" s="1779"/>
      <c r="FK21" s="1779"/>
      <c r="FL21" s="1779"/>
      <c r="FM21" s="1779"/>
      <c r="FN21" s="1779"/>
      <c r="FO21" s="1779"/>
      <c r="FP21" s="1779"/>
      <c r="FQ21" s="1779"/>
      <c r="FR21" s="1779"/>
      <c r="FS21" s="1779"/>
      <c r="FT21" s="1779"/>
      <c r="FU21" s="1779"/>
      <c r="FV21" s="1779"/>
      <c r="FW21" s="1779"/>
      <c r="FX21" s="1779"/>
      <c r="FY21" s="1779"/>
      <c r="FZ21" s="1779"/>
      <c r="GA21" s="1779"/>
      <c r="XES21" s="1780"/>
      <c r="XET21" s="1780"/>
      <c r="XEU21" s="1780"/>
      <c r="XEV21" s="1780"/>
      <c r="XEW21" s="1780"/>
      <c r="XEX21" s="1780"/>
      <c r="XEY21" s="1780"/>
      <c r="XEZ21" s="1780"/>
      <c r="XFA21" s="1780"/>
      <c r="XFB21" s="1780"/>
      <c r="XFC21" s="1780"/>
      <c r="XFD21" s="1780"/>
    </row>
    <row r="22" s="1663" customFormat="1" ht="36" customHeight="1" spans="1:16384">
      <c r="A22" s="1693">
        <v>45723</v>
      </c>
      <c r="B22" s="1694" t="s">
        <v>1564</v>
      </c>
      <c r="C22" s="1695" t="s">
        <v>91</v>
      </c>
      <c r="D22" s="1696">
        <v>4500165182</v>
      </c>
      <c r="E22" s="1694" t="s">
        <v>1572</v>
      </c>
      <c r="F22" s="1696" t="s">
        <v>1566</v>
      </c>
      <c r="G22" s="1697" t="s">
        <v>1567</v>
      </c>
      <c r="H22" s="1697" t="s">
        <v>1568</v>
      </c>
      <c r="I22" s="1704" t="s">
        <v>1479</v>
      </c>
      <c r="J22" s="1697">
        <v>1536</v>
      </c>
      <c r="K22" s="1697">
        <v>0</v>
      </c>
      <c r="L22" s="1697">
        <v>24</v>
      </c>
      <c r="M22" s="1705">
        <f t="shared" si="0"/>
        <v>64</v>
      </c>
      <c r="N22" s="1706">
        <v>45798</v>
      </c>
      <c r="O22" s="1707">
        <v>45794</v>
      </c>
      <c r="P22" s="1708"/>
      <c r="Q22" s="1708" t="s">
        <v>1480</v>
      </c>
      <c r="R22" s="1708" t="s">
        <v>582</v>
      </c>
      <c r="S22" s="1710" t="s">
        <v>1569</v>
      </c>
      <c r="T22" s="1710"/>
      <c r="U22" s="1710" t="s">
        <v>1573</v>
      </c>
      <c r="V22" s="1718" t="s">
        <v>969</v>
      </c>
      <c r="W22" s="1719" t="s">
        <v>1574</v>
      </c>
      <c r="X22" s="1720" t="s">
        <v>971</v>
      </c>
      <c r="Y22" s="1739">
        <v>0.9444</v>
      </c>
      <c r="Z22" s="1740">
        <f t="shared" si="1"/>
        <v>1450.5984</v>
      </c>
      <c r="AA22" s="1741"/>
      <c r="AB22" s="1741">
        <v>1536</v>
      </c>
      <c r="AC22" s="1746">
        <f t="shared" si="6"/>
        <v>0</v>
      </c>
      <c r="AD22" s="1745" t="s">
        <v>1499</v>
      </c>
      <c r="AE22" s="1742" t="s">
        <v>63</v>
      </c>
      <c r="AF22" s="1742" t="s">
        <v>38</v>
      </c>
      <c r="AG22" s="1720">
        <f>J22/3</f>
        <v>512</v>
      </c>
      <c r="AH22" s="1720">
        <f>J22/3</f>
        <v>512</v>
      </c>
      <c r="AI22" s="1754">
        <f>J22/3</f>
        <v>512</v>
      </c>
      <c r="AJ22" s="1755">
        <f>J22</f>
        <v>1536</v>
      </c>
      <c r="AK22" s="1756"/>
      <c r="AL22" s="1756">
        <f t="shared" si="11"/>
        <v>1536</v>
      </c>
      <c r="AM22" s="1756">
        <f>J22/6</f>
        <v>256</v>
      </c>
      <c r="AN22" s="1756"/>
      <c r="AO22" s="1771"/>
      <c r="AP22" s="1771"/>
      <c r="AQ22" s="1772"/>
      <c r="AR22" s="1773"/>
      <c r="AS22" s="1754"/>
      <c r="AT22" s="1773"/>
      <c r="AU22" s="1774"/>
      <c r="AV22" s="1775"/>
      <c r="AW22" s="1777"/>
      <c r="AX22" s="1777"/>
      <c r="AY22" s="1777"/>
      <c r="AZ22" s="1777"/>
      <c r="BA22" s="1777"/>
      <c r="BB22" s="1777"/>
      <c r="BC22" s="1777"/>
      <c r="BD22" s="1777"/>
      <c r="BE22" s="1777"/>
      <c r="BF22" s="1777"/>
      <c r="BG22" s="1777"/>
      <c r="BH22" s="1777"/>
      <c r="BI22" s="1777"/>
      <c r="BJ22" s="1777"/>
      <c r="BK22" s="1777"/>
      <c r="BL22" s="1777"/>
      <c r="BM22" s="1777"/>
      <c r="BN22" s="1777"/>
      <c r="BO22" s="1777"/>
      <c r="BP22" s="1777"/>
      <c r="BQ22" s="1777"/>
      <c r="BR22" s="1777"/>
      <c r="BS22" s="1777"/>
      <c r="BT22" s="1777"/>
      <c r="BU22" s="1777"/>
      <c r="BV22" s="1777"/>
      <c r="BW22" s="1777"/>
      <c r="BX22" s="1777"/>
      <c r="BY22" s="1777"/>
      <c r="BZ22" s="1777"/>
      <c r="CA22" s="1777"/>
      <c r="CB22" s="1777"/>
      <c r="CC22" s="1777"/>
      <c r="CD22" s="1777"/>
      <c r="CE22" s="1777"/>
      <c r="CF22" s="1777"/>
      <c r="CG22" s="1777"/>
      <c r="CH22" s="1777"/>
      <c r="CI22" s="1777"/>
      <c r="CJ22" s="1777"/>
      <c r="CK22" s="1777"/>
      <c r="CL22" s="1777"/>
      <c r="CM22" s="1777"/>
      <c r="CN22" s="1777"/>
      <c r="CO22" s="1777"/>
      <c r="CP22" s="1777"/>
      <c r="CQ22" s="1777"/>
      <c r="CR22" s="1777"/>
      <c r="CS22" s="1777"/>
      <c r="CT22" s="1777"/>
      <c r="CU22" s="1777"/>
      <c r="CV22" s="1777"/>
      <c r="CW22" s="1777"/>
      <c r="CX22" s="1777"/>
      <c r="CY22" s="1777"/>
      <c r="CZ22" s="1777"/>
      <c r="DA22" s="1777"/>
      <c r="DB22" s="1777"/>
      <c r="DC22" s="1777"/>
      <c r="DD22" s="1777"/>
      <c r="DE22" s="1777"/>
      <c r="DF22" s="1777"/>
      <c r="DG22" s="1777"/>
      <c r="DH22" s="1777"/>
      <c r="DI22" s="1777"/>
      <c r="DJ22" s="1777"/>
      <c r="DK22" s="1777"/>
      <c r="DL22" s="1777"/>
      <c r="DM22" s="1777"/>
      <c r="DN22" s="1777"/>
      <c r="DO22" s="1777"/>
      <c r="DP22" s="1777"/>
      <c r="DQ22" s="1777"/>
      <c r="DR22" s="1777"/>
      <c r="DS22" s="1777"/>
      <c r="DT22" s="1777"/>
      <c r="DU22" s="1777"/>
      <c r="DV22" s="1777"/>
      <c r="DW22" s="1777"/>
      <c r="DX22" s="1779"/>
      <c r="DY22" s="1779"/>
      <c r="DZ22" s="1779"/>
      <c r="EA22" s="1779"/>
      <c r="EB22" s="1779"/>
      <c r="EC22" s="1779"/>
      <c r="ED22" s="1779"/>
      <c r="EE22" s="1779"/>
      <c r="EF22" s="1779"/>
      <c r="EG22" s="1779"/>
      <c r="EH22" s="1779"/>
      <c r="EI22" s="1779"/>
      <c r="EJ22" s="1779"/>
      <c r="EK22" s="1779"/>
      <c r="EL22" s="1779"/>
      <c r="EM22" s="1779"/>
      <c r="EN22" s="1779"/>
      <c r="EO22" s="1779"/>
      <c r="EP22" s="1779"/>
      <c r="EQ22" s="1779"/>
      <c r="ER22" s="1779"/>
      <c r="ES22" s="1779"/>
      <c r="ET22" s="1779"/>
      <c r="EU22" s="1779"/>
      <c r="EV22" s="1779"/>
      <c r="EW22" s="1779"/>
      <c r="EX22" s="1779"/>
      <c r="EY22" s="1779"/>
      <c r="EZ22" s="1779"/>
      <c r="FA22" s="1779"/>
      <c r="FB22" s="1779"/>
      <c r="FC22" s="1779"/>
      <c r="FD22" s="1779"/>
      <c r="FE22" s="1779"/>
      <c r="FF22" s="1779"/>
      <c r="FG22" s="1779"/>
      <c r="FH22" s="1779"/>
      <c r="FI22" s="1779"/>
      <c r="FJ22" s="1779"/>
      <c r="FK22" s="1779"/>
      <c r="FL22" s="1779"/>
      <c r="FM22" s="1779"/>
      <c r="FN22" s="1779"/>
      <c r="FO22" s="1779"/>
      <c r="FP22" s="1779"/>
      <c r="FQ22" s="1779"/>
      <c r="FR22" s="1779"/>
      <c r="FS22" s="1779"/>
      <c r="FT22" s="1779"/>
      <c r="FU22" s="1779"/>
      <c r="FV22" s="1779"/>
      <c r="FW22" s="1779"/>
      <c r="FX22" s="1779"/>
      <c r="FY22" s="1779"/>
      <c r="FZ22" s="1779"/>
      <c r="GA22" s="1779"/>
      <c r="XES22" s="1780"/>
      <c r="XET22" s="1780"/>
      <c r="XEU22" s="1780"/>
      <c r="XEV22" s="1780"/>
      <c r="XEW22" s="1780"/>
      <c r="XEX22" s="1780"/>
      <c r="XEY22" s="1780"/>
      <c r="XEZ22" s="1780"/>
      <c r="XFA22" s="1780"/>
      <c r="XFB22" s="1780"/>
      <c r="XFC22" s="1780"/>
      <c r="XFD22" s="1780"/>
    </row>
    <row r="23" s="1663" customFormat="1" ht="36" customHeight="1" spans="1:16384">
      <c r="A23" s="1693">
        <v>45750</v>
      </c>
      <c r="B23" s="1694" t="s">
        <v>662</v>
      </c>
      <c r="C23" s="1695" t="s">
        <v>398</v>
      </c>
      <c r="D23" s="1696">
        <v>4500162525</v>
      </c>
      <c r="E23" s="1694" t="s">
        <v>663</v>
      </c>
      <c r="F23" s="1696" t="s">
        <v>1575</v>
      </c>
      <c r="G23" s="1697" t="s">
        <v>1544</v>
      </c>
      <c r="H23" s="1697" t="s">
        <v>1519</v>
      </c>
      <c r="I23" s="1704" t="s">
        <v>1479</v>
      </c>
      <c r="J23" s="1697">
        <v>3402</v>
      </c>
      <c r="K23" s="1697">
        <v>0</v>
      </c>
      <c r="L23" s="1697">
        <v>6</v>
      </c>
      <c r="M23" s="1705">
        <f t="shared" si="0"/>
        <v>567</v>
      </c>
      <c r="N23" s="1706">
        <v>45800</v>
      </c>
      <c r="O23" s="1707">
        <v>45796</v>
      </c>
      <c r="P23" s="1708"/>
      <c r="Q23" s="1723" t="s">
        <v>56</v>
      </c>
      <c r="R23" s="1723" t="s">
        <v>658</v>
      </c>
      <c r="S23" s="1710" t="s">
        <v>666</v>
      </c>
      <c r="T23" s="1724"/>
      <c r="U23" s="1724" t="s">
        <v>1576</v>
      </c>
      <c r="V23" s="1718" t="s">
        <v>1577</v>
      </c>
      <c r="W23" s="1719" t="s">
        <v>1578</v>
      </c>
      <c r="X23" s="1720" t="s">
        <v>517</v>
      </c>
      <c r="Y23" s="1739">
        <v>1.4338</v>
      </c>
      <c r="Z23" s="1740">
        <f t="shared" si="1"/>
        <v>4877.7876</v>
      </c>
      <c r="AA23" s="1741"/>
      <c r="AB23" s="1741">
        <v>3402</v>
      </c>
      <c r="AC23" s="1746">
        <f t="shared" si="6"/>
        <v>0</v>
      </c>
      <c r="AD23" s="1741" t="s">
        <v>1499</v>
      </c>
      <c r="AE23" s="1742" t="s">
        <v>63</v>
      </c>
      <c r="AF23" s="1742" t="s">
        <v>38</v>
      </c>
      <c r="AG23" s="1720">
        <f>J23/3</f>
        <v>1134</v>
      </c>
      <c r="AH23" s="1720">
        <f>J23/3</f>
        <v>1134</v>
      </c>
      <c r="AI23" s="1754">
        <f>J23/3</f>
        <v>1134</v>
      </c>
      <c r="AJ23" s="1755"/>
      <c r="AK23" s="1756">
        <f>J23</f>
        <v>3402</v>
      </c>
      <c r="AL23" s="1756">
        <f t="shared" si="11"/>
        <v>3402</v>
      </c>
      <c r="AM23" s="1756">
        <f>J23/6</f>
        <v>567</v>
      </c>
      <c r="AN23" s="1756"/>
      <c r="AO23" s="1771"/>
      <c r="AP23" s="1771"/>
      <c r="AQ23" s="1772"/>
      <c r="AR23" s="1773"/>
      <c r="AS23" s="1754"/>
      <c r="AT23" s="1773"/>
      <c r="AU23" s="1774"/>
      <c r="AV23" s="1775"/>
      <c r="AW23" s="1777"/>
      <c r="AX23" s="1777"/>
      <c r="AY23" s="1777"/>
      <c r="AZ23" s="1777"/>
      <c r="BA23" s="1777"/>
      <c r="BB23" s="1777"/>
      <c r="BC23" s="1777"/>
      <c r="BD23" s="1777"/>
      <c r="BE23" s="1777"/>
      <c r="BF23" s="1777"/>
      <c r="BG23" s="1777"/>
      <c r="BH23" s="1777"/>
      <c r="BI23" s="1777"/>
      <c r="BJ23" s="1777"/>
      <c r="BK23" s="1777"/>
      <c r="BL23" s="1777"/>
      <c r="BM23" s="1777"/>
      <c r="BN23" s="1777"/>
      <c r="BO23" s="1777"/>
      <c r="BP23" s="1777"/>
      <c r="BQ23" s="1777"/>
      <c r="BR23" s="1777"/>
      <c r="BS23" s="1777"/>
      <c r="BT23" s="1777"/>
      <c r="BU23" s="1777"/>
      <c r="BV23" s="1777"/>
      <c r="BW23" s="1777"/>
      <c r="BX23" s="1777"/>
      <c r="BY23" s="1777"/>
      <c r="BZ23" s="1777"/>
      <c r="CA23" s="1777"/>
      <c r="CB23" s="1777"/>
      <c r="CC23" s="1777"/>
      <c r="CD23" s="1777"/>
      <c r="CE23" s="1777"/>
      <c r="CF23" s="1777"/>
      <c r="CG23" s="1777"/>
      <c r="CH23" s="1777"/>
      <c r="CI23" s="1777"/>
      <c r="CJ23" s="1777"/>
      <c r="CK23" s="1777"/>
      <c r="CL23" s="1777"/>
      <c r="CM23" s="1777"/>
      <c r="CN23" s="1777"/>
      <c r="CO23" s="1777"/>
      <c r="CP23" s="1777"/>
      <c r="CQ23" s="1777"/>
      <c r="CR23" s="1777"/>
      <c r="CS23" s="1777"/>
      <c r="CT23" s="1777"/>
      <c r="CU23" s="1777"/>
      <c r="CV23" s="1777"/>
      <c r="CW23" s="1777"/>
      <c r="CX23" s="1777"/>
      <c r="CY23" s="1777"/>
      <c r="CZ23" s="1777"/>
      <c r="DA23" s="1777"/>
      <c r="DB23" s="1777"/>
      <c r="DC23" s="1777"/>
      <c r="DD23" s="1777"/>
      <c r="DE23" s="1777"/>
      <c r="DF23" s="1777"/>
      <c r="DG23" s="1777"/>
      <c r="DH23" s="1777"/>
      <c r="DI23" s="1777"/>
      <c r="DJ23" s="1777"/>
      <c r="DK23" s="1777"/>
      <c r="DL23" s="1777"/>
      <c r="DM23" s="1777"/>
      <c r="DN23" s="1777"/>
      <c r="DO23" s="1777"/>
      <c r="DP23" s="1777"/>
      <c r="DQ23" s="1777"/>
      <c r="DR23" s="1777"/>
      <c r="DS23" s="1777"/>
      <c r="DT23" s="1777"/>
      <c r="DU23" s="1777"/>
      <c r="DV23" s="1777"/>
      <c r="DW23" s="1777"/>
      <c r="DX23" s="1779"/>
      <c r="DY23" s="1779"/>
      <c r="DZ23" s="1779"/>
      <c r="EA23" s="1779"/>
      <c r="EB23" s="1779"/>
      <c r="EC23" s="1779"/>
      <c r="ED23" s="1779"/>
      <c r="EE23" s="1779"/>
      <c r="EF23" s="1779"/>
      <c r="EG23" s="1779"/>
      <c r="EH23" s="1779"/>
      <c r="EI23" s="1779"/>
      <c r="EJ23" s="1779"/>
      <c r="EK23" s="1779"/>
      <c r="EL23" s="1779"/>
      <c r="EM23" s="1779"/>
      <c r="EN23" s="1779"/>
      <c r="EO23" s="1779"/>
      <c r="EP23" s="1779"/>
      <c r="EQ23" s="1779"/>
      <c r="ER23" s="1779"/>
      <c r="ES23" s="1779"/>
      <c r="ET23" s="1779"/>
      <c r="EU23" s="1779"/>
      <c r="EV23" s="1779"/>
      <c r="EW23" s="1779"/>
      <c r="EX23" s="1779"/>
      <c r="EY23" s="1779"/>
      <c r="EZ23" s="1779"/>
      <c r="FA23" s="1779"/>
      <c r="FB23" s="1779"/>
      <c r="FC23" s="1779"/>
      <c r="FD23" s="1779"/>
      <c r="FE23" s="1779"/>
      <c r="FF23" s="1779"/>
      <c r="FG23" s="1779"/>
      <c r="FH23" s="1779"/>
      <c r="FI23" s="1779"/>
      <c r="FJ23" s="1779"/>
      <c r="FK23" s="1779"/>
      <c r="FL23" s="1779"/>
      <c r="FM23" s="1779"/>
      <c r="FN23" s="1779"/>
      <c r="FO23" s="1779"/>
      <c r="FP23" s="1779"/>
      <c r="FQ23" s="1779"/>
      <c r="FR23" s="1779"/>
      <c r="FS23" s="1779"/>
      <c r="FT23" s="1779"/>
      <c r="FU23" s="1779"/>
      <c r="FV23" s="1779"/>
      <c r="FW23" s="1779"/>
      <c r="FX23" s="1779"/>
      <c r="FY23" s="1779"/>
      <c r="FZ23" s="1779"/>
      <c r="GA23" s="1779"/>
      <c r="XES23" s="1780"/>
      <c r="XET23" s="1780"/>
      <c r="XEU23" s="1780"/>
      <c r="XEV23" s="1780"/>
      <c r="XEW23" s="1780"/>
      <c r="XEX23" s="1780"/>
      <c r="XEY23" s="1780"/>
      <c r="XEZ23" s="1780"/>
      <c r="XFA23" s="1780"/>
      <c r="XFB23" s="1780"/>
      <c r="XFC23" s="1780"/>
      <c r="XFD23" s="1780"/>
    </row>
    <row r="24" s="1663" customFormat="1" ht="36" customHeight="1" spans="1:16384">
      <c r="A24" s="1693">
        <v>45770</v>
      </c>
      <c r="B24" s="1694" t="s">
        <v>1579</v>
      </c>
      <c r="C24" s="1695" t="s">
        <v>1580</v>
      </c>
      <c r="D24" s="1696">
        <v>4500164616</v>
      </c>
      <c r="E24" s="1694"/>
      <c r="F24" s="1696" t="s">
        <v>1581</v>
      </c>
      <c r="G24" s="1697" t="s">
        <v>1567</v>
      </c>
      <c r="H24" s="1697" t="s">
        <v>1568</v>
      </c>
      <c r="I24" s="1704" t="s">
        <v>1479</v>
      </c>
      <c r="J24" s="1697">
        <v>120</v>
      </c>
      <c r="K24" s="1697">
        <v>0</v>
      </c>
      <c r="L24" s="1697">
        <v>24</v>
      </c>
      <c r="M24" s="1705">
        <f t="shared" si="0"/>
        <v>5</v>
      </c>
      <c r="N24" s="1706">
        <v>45810</v>
      </c>
      <c r="O24" s="1707">
        <f>N24-4</f>
        <v>45806</v>
      </c>
      <c r="P24" s="1708"/>
      <c r="Q24" s="1723" t="s">
        <v>56</v>
      </c>
      <c r="R24" s="1708" t="s">
        <v>1551</v>
      </c>
      <c r="S24" s="1710" t="s">
        <v>650</v>
      </c>
      <c r="T24" s="1724"/>
      <c r="U24" s="1724" t="s">
        <v>1582</v>
      </c>
      <c r="V24" s="1718" t="s">
        <v>1583</v>
      </c>
      <c r="W24" s="1719" t="s">
        <v>1584</v>
      </c>
      <c r="X24" s="1720" t="s">
        <v>508</v>
      </c>
      <c r="Y24" s="1739">
        <v>1.5793</v>
      </c>
      <c r="Z24" s="1740">
        <f t="shared" si="1"/>
        <v>189.516</v>
      </c>
      <c r="AA24" s="1741"/>
      <c r="AB24" s="1741">
        <v>120</v>
      </c>
      <c r="AC24" s="1746">
        <f t="shared" si="6"/>
        <v>0</v>
      </c>
      <c r="AD24" s="1741" t="s">
        <v>1499</v>
      </c>
      <c r="AE24" s="1742" t="s">
        <v>63</v>
      </c>
      <c r="AF24" s="1742" t="s">
        <v>38</v>
      </c>
      <c r="AG24" s="1720">
        <f>J24/3</f>
        <v>40</v>
      </c>
      <c r="AH24" s="1720">
        <f>J24/3</f>
        <v>40</v>
      </c>
      <c r="AI24" s="1754">
        <f>J24/3</f>
        <v>40</v>
      </c>
      <c r="AJ24" s="1755">
        <f>J24</f>
        <v>120</v>
      </c>
      <c r="AK24" s="1756"/>
      <c r="AL24" s="1756">
        <f t="shared" si="11"/>
        <v>120</v>
      </c>
      <c r="AM24" s="1756">
        <f>J24/6</f>
        <v>20</v>
      </c>
      <c r="AN24" s="1756"/>
      <c r="AO24" s="1771"/>
      <c r="AP24" s="1771"/>
      <c r="AQ24" s="1772"/>
      <c r="AR24" s="1773"/>
      <c r="AS24" s="1754"/>
      <c r="AT24" s="1773"/>
      <c r="AU24" s="1774"/>
      <c r="AV24" s="1775"/>
      <c r="AW24" s="1777"/>
      <c r="AX24" s="1777"/>
      <c r="AY24" s="1777"/>
      <c r="AZ24" s="1777"/>
      <c r="BA24" s="1777"/>
      <c r="BB24" s="1777"/>
      <c r="BC24" s="1777"/>
      <c r="BD24" s="1777"/>
      <c r="BE24" s="1777"/>
      <c r="BF24" s="1777"/>
      <c r="BG24" s="1777"/>
      <c r="BH24" s="1777"/>
      <c r="BI24" s="1777"/>
      <c r="BJ24" s="1777"/>
      <c r="BK24" s="1777"/>
      <c r="BL24" s="1777"/>
      <c r="BM24" s="1777"/>
      <c r="BN24" s="1777"/>
      <c r="BO24" s="1777"/>
      <c r="BP24" s="1777"/>
      <c r="BQ24" s="1777"/>
      <c r="BR24" s="1777"/>
      <c r="BS24" s="1777"/>
      <c r="BT24" s="1777"/>
      <c r="BU24" s="1777"/>
      <c r="BV24" s="1777"/>
      <c r="BW24" s="1777"/>
      <c r="BX24" s="1777"/>
      <c r="BY24" s="1777"/>
      <c r="BZ24" s="1777"/>
      <c r="CA24" s="1777"/>
      <c r="CB24" s="1777"/>
      <c r="CC24" s="1777"/>
      <c r="CD24" s="1777"/>
      <c r="CE24" s="1777"/>
      <c r="CF24" s="1777"/>
      <c r="CG24" s="1777"/>
      <c r="CH24" s="1777"/>
      <c r="CI24" s="1777"/>
      <c r="CJ24" s="1777"/>
      <c r="CK24" s="1777"/>
      <c r="CL24" s="1777"/>
      <c r="CM24" s="1777"/>
      <c r="CN24" s="1777"/>
      <c r="CO24" s="1777"/>
      <c r="CP24" s="1777"/>
      <c r="CQ24" s="1777"/>
      <c r="CR24" s="1777"/>
      <c r="CS24" s="1777"/>
      <c r="CT24" s="1777"/>
      <c r="CU24" s="1777"/>
      <c r="CV24" s="1777"/>
      <c r="CW24" s="1777"/>
      <c r="CX24" s="1777"/>
      <c r="CY24" s="1777"/>
      <c r="CZ24" s="1777"/>
      <c r="DA24" s="1777"/>
      <c r="DB24" s="1777"/>
      <c r="DC24" s="1777"/>
      <c r="DD24" s="1777"/>
      <c r="DE24" s="1777"/>
      <c r="DF24" s="1777"/>
      <c r="DG24" s="1777"/>
      <c r="DH24" s="1777"/>
      <c r="DI24" s="1777"/>
      <c r="DJ24" s="1777"/>
      <c r="DK24" s="1777"/>
      <c r="DL24" s="1777"/>
      <c r="DM24" s="1777"/>
      <c r="DN24" s="1777"/>
      <c r="DO24" s="1777"/>
      <c r="DP24" s="1777"/>
      <c r="DQ24" s="1777"/>
      <c r="DR24" s="1777"/>
      <c r="DS24" s="1777"/>
      <c r="DT24" s="1777"/>
      <c r="DU24" s="1777"/>
      <c r="DV24" s="1777"/>
      <c r="DW24" s="1777"/>
      <c r="DX24" s="1779"/>
      <c r="DY24" s="1779"/>
      <c r="DZ24" s="1779"/>
      <c r="EA24" s="1779"/>
      <c r="EB24" s="1779"/>
      <c r="EC24" s="1779"/>
      <c r="ED24" s="1779"/>
      <c r="EE24" s="1779"/>
      <c r="EF24" s="1779"/>
      <c r="EG24" s="1779"/>
      <c r="EH24" s="1779"/>
      <c r="EI24" s="1779"/>
      <c r="EJ24" s="1779"/>
      <c r="EK24" s="1779"/>
      <c r="EL24" s="1779"/>
      <c r="EM24" s="1779"/>
      <c r="EN24" s="1779"/>
      <c r="EO24" s="1779"/>
      <c r="EP24" s="1779"/>
      <c r="EQ24" s="1779"/>
      <c r="ER24" s="1779"/>
      <c r="ES24" s="1779"/>
      <c r="ET24" s="1779"/>
      <c r="EU24" s="1779"/>
      <c r="EV24" s="1779"/>
      <c r="EW24" s="1779"/>
      <c r="EX24" s="1779"/>
      <c r="EY24" s="1779"/>
      <c r="EZ24" s="1779"/>
      <c r="FA24" s="1779"/>
      <c r="FB24" s="1779"/>
      <c r="FC24" s="1779"/>
      <c r="FD24" s="1779"/>
      <c r="FE24" s="1779"/>
      <c r="FF24" s="1779"/>
      <c r="FG24" s="1779"/>
      <c r="FH24" s="1779"/>
      <c r="FI24" s="1779"/>
      <c r="FJ24" s="1779"/>
      <c r="FK24" s="1779"/>
      <c r="FL24" s="1779"/>
      <c r="FM24" s="1779"/>
      <c r="FN24" s="1779"/>
      <c r="FO24" s="1779"/>
      <c r="FP24" s="1779"/>
      <c r="FQ24" s="1779"/>
      <c r="FR24" s="1779"/>
      <c r="FS24" s="1779"/>
      <c r="FT24" s="1779"/>
      <c r="FU24" s="1779"/>
      <c r="FV24" s="1779"/>
      <c r="FW24" s="1779"/>
      <c r="FX24" s="1779"/>
      <c r="FY24" s="1779"/>
      <c r="FZ24" s="1779"/>
      <c r="GA24" s="1779"/>
      <c r="XES24" s="1780"/>
      <c r="XET24" s="1780"/>
      <c r="XEU24" s="1780"/>
      <c r="XEV24" s="1780"/>
      <c r="XEW24" s="1780"/>
      <c r="XEX24" s="1780"/>
      <c r="XEY24" s="1780"/>
      <c r="XEZ24" s="1780"/>
      <c r="XFA24" s="1780"/>
      <c r="XFB24" s="1780"/>
      <c r="XFC24" s="1780"/>
      <c r="XFD24" s="1780"/>
    </row>
    <row r="25" s="1663" customFormat="1" ht="36" customHeight="1" spans="1:16384">
      <c r="A25" s="1693">
        <v>45770</v>
      </c>
      <c r="B25" s="1694" t="s">
        <v>1579</v>
      </c>
      <c r="C25" s="1695" t="s">
        <v>1580</v>
      </c>
      <c r="D25" s="1696">
        <v>4500164616</v>
      </c>
      <c r="E25" s="1694"/>
      <c r="F25" s="1696" t="s">
        <v>1585</v>
      </c>
      <c r="G25" s="1697" t="s">
        <v>1489</v>
      </c>
      <c r="H25" s="1697" t="s">
        <v>1490</v>
      </c>
      <c r="I25" s="1704" t="s">
        <v>1491</v>
      </c>
      <c r="J25" s="1697">
        <v>108</v>
      </c>
      <c r="K25" s="1697">
        <v>0</v>
      </c>
      <c r="L25" s="1697">
        <v>18</v>
      </c>
      <c r="M25" s="1709">
        <f t="shared" si="0"/>
        <v>6</v>
      </c>
      <c r="N25" s="1706">
        <v>45810</v>
      </c>
      <c r="O25" s="1707">
        <f>N25-4</f>
        <v>45806</v>
      </c>
      <c r="P25" s="1708"/>
      <c r="Q25" s="1723" t="s">
        <v>56</v>
      </c>
      <c r="R25" s="1708" t="s">
        <v>1551</v>
      </c>
      <c r="S25" s="1710" t="s">
        <v>650</v>
      </c>
      <c r="T25" s="1724"/>
      <c r="U25" s="1724" t="s">
        <v>1582</v>
      </c>
      <c r="V25" s="1718" t="s">
        <v>1583</v>
      </c>
      <c r="W25" s="1719" t="s">
        <v>1584</v>
      </c>
      <c r="X25" s="1720" t="s">
        <v>508</v>
      </c>
      <c r="Y25" s="1739">
        <v>3.5711</v>
      </c>
      <c r="Z25" s="1740">
        <f t="shared" si="1"/>
        <v>385.6788</v>
      </c>
      <c r="AA25" s="1741"/>
      <c r="AB25" s="1741">
        <v>108</v>
      </c>
      <c r="AC25" s="1746">
        <f t="shared" si="6"/>
        <v>0</v>
      </c>
      <c r="AD25" s="1741" t="s">
        <v>1499</v>
      </c>
      <c r="AE25" s="1742" t="s">
        <v>63</v>
      </c>
      <c r="AF25" s="1742" t="s">
        <v>38</v>
      </c>
      <c r="AG25" s="1720">
        <f t="shared" ref="AG25:AG30" si="12">J25</f>
        <v>108</v>
      </c>
      <c r="AH25" s="1720">
        <f t="shared" ref="AH25:AH30" si="13">J25</f>
        <v>108</v>
      </c>
      <c r="AI25" s="1754">
        <f t="shared" ref="AI25:AI30" si="14">J25</f>
        <v>108</v>
      </c>
      <c r="AJ25" s="1755"/>
      <c r="AK25" s="1756"/>
      <c r="AL25" s="1756">
        <f t="shared" si="11"/>
        <v>108</v>
      </c>
      <c r="AM25" s="1756"/>
      <c r="AN25" s="1756"/>
      <c r="AO25" s="1771"/>
      <c r="AP25" s="1771"/>
      <c r="AQ25" s="1772"/>
      <c r="AR25" s="1773"/>
      <c r="AS25" s="1754"/>
      <c r="AT25" s="1773"/>
      <c r="AU25" s="1774">
        <f t="shared" ref="AU25:AU30" si="15">J25</f>
        <v>108</v>
      </c>
      <c r="AV25" s="1775"/>
      <c r="AW25" s="1777"/>
      <c r="AX25" s="1777"/>
      <c r="AY25" s="1777"/>
      <c r="AZ25" s="1777"/>
      <c r="BA25" s="1777"/>
      <c r="BB25" s="1777"/>
      <c r="BC25" s="1777"/>
      <c r="BD25" s="1777"/>
      <c r="BE25" s="1777"/>
      <c r="BF25" s="1777"/>
      <c r="BG25" s="1777"/>
      <c r="BH25" s="1777"/>
      <c r="BI25" s="1777"/>
      <c r="BJ25" s="1777"/>
      <c r="BK25" s="1777"/>
      <c r="BL25" s="1777"/>
      <c r="BM25" s="1777"/>
      <c r="BN25" s="1777"/>
      <c r="BO25" s="1777"/>
      <c r="BP25" s="1777"/>
      <c r="BQ25" s="1777"/>
      <c r="BR25" s="1777"/>
      <c r="BS25" s="1777"/>
      <c r="BT25" s="1777"/>
      <c r="BU25" s="1777"/>
      <c r="BV25" s="1777"/>
      <c r="BW25" s="1777"/>
      <c r="BX25" s="1777"/>
      <c r="BY25" s="1777"/>
      <c r="BZ25" s="1777"/>
      <c r="CA25" s="1777"/>
      <c r="CB25" s="1777"/>
      <c r="CC25" s="1777"/>
      <c r="CD25" s="1777"/>
      <c r="CE25" s="1777"/>
      <c r="CF25" s="1777"/>
      <c r="CG25" s="1777"/>
      <c r="CH25" s="1777"/>
      <c r="CI25" s="1777"/>
      <c r="CJ25" s="1777"/>
      <c r="CK25" s="1777"/>
      <c r="CL25" s="1777"/>
      <c r="CM25" s="1777"/>
      <c r="CN25" s="1777"/>
      <c r="CO25" s="1777"/>
      <c r="CP25" s="1777"/>
      <c r="CQ25" s="1777"/>
      <c r="CR25" s="1777"/>
      <c r="CS25" s="1777"/>
      <c r="CT25" s="1777"/>
      <c r="CU25" s="1777"/>
      <c r="CV25" s="1777"/>
      <c r="CW25" s="1777"/>
      <c r="CX25" s="1777"/>
      <c r="CY25" s="1777"/>
      <c r="CZ25" s="1777"/>
      <c r="DA25" s="1777"/>
      <c r="DB25" s="1777"/>
      <c r="DC25" s="1777"/>
      <c r="DD25" s="1777"/>
      <c r="DE25" s="1777"/>
      <c r="DF25" s="1777"/>
      <c r="DG25" s="1777"/>
      <c r="DH25" s="1777"/>
      <c r="DI25" s="1777"/>
      <c r="DJ25" s="1777"/>
      <c r="DK25" s="1777"/>
      <c r="DL25" s="1777"/>
      <c r="DM25" s="1777"/>
      <c r="DN25" s="1777"/>
      <c r="DO25" s="1777"/>
      <c r="DP25" s="1777"/>
      <c r="DQ25" s="1777"/>
      <c r="DR25" s="1777"/>
      <c r="DS25" s="1777"/>
      <c r="DT25" s="1777"/>
      <c r="DU25" s="1777"/>
      <c r="DV25" s="1777"/>
      <c r="DW25" s="1777"/>
      <c r="DX25" s="1779"/>
      <c r="DY25" s="1779"/>
      <c r="DZ25" s="1779"/>
      <c r="EA25" s="1779"/>
      <c r="EB25" s="1779"/>
      <c r="EC25" s="1779"/>
      <c r="ED25" s="1779"/>
      <c r="EE25" s="1779"/>
      <c r="EF25" s="1779"/>
      <c r="EG25" s="1779"/>
      <c r="EH25" s="1779"/>
      <c r="EI25" s="1779"/>
      <c r="EJ25" s="1779"/>
      <c r="EK25" s="1779"/>
      <c r="EL25" s="1779"/>
      <c r="EM25" s="1779"/>
      <c r="EN25" s="1779"/>
      <c r="EO25" s="1779"/>
      <c r="EP25" s="1779"/>
      <c r="EQ25" s="1779"/>
      <c r="ER25" s="1779"/>
      <c r="ES25" s="1779"/>
      <c r="ET25" s="1779"/>
      <c r="EU25" s="1779"/>
      <c r="EV25" s="1779"/>
      <c r="EW25" s="1779"/>
      <c r="EX25" s="1779"/>
      <c r="EY25" s="1779"/>
      <c r="EZ25" s="1779"/>
      <c r="FA25" s="1779"/>
      <c r="FB25" s="1779"/>
      <c r="FC25" s="1779"/>
      <c r="FD25" s="1779"/>
      <c r="FE25" s="1779"/>
      <c r="FF25" s="1779"/>
      <c r="FG25" s="1779"/>
      <c r="FH25" s="1779"/>
      <c r="FI25" s="1779"/>
      <c r="FJ25" s="1779"/>
      <c r="FK25" s="1779"/>
      <c r="FL25" s="1779"/>
      <c r="FM25" s="1779"/>
      <c r="FN25" s="1779"/>
      <c r="FO25" s="1779"/>
      <c r="FP25" s="1779"/>
      <c r="FQ25" s="1779"/>
      <c r="FR25" s="1779"/>
      <c r="FS25" s="1779"/>
      <c r="FT25" s="1779"/>
      <c r="FU25" s="1779"/>
      <c r="FV25" s="1779"/>
      <c r="FW25" s="1779"/>
      <c r="FX25" s="1779"/>
      <c r="FY25" s="1779"/>
      <c r="FZ25" s="1779"/>
      <c r="GA25" s="1779"/>
      <c r="XES25" s="1780"/>
      <c r="XET25" s="1780"/>
      <c r="XEU25" s="1780"/>
      <c r="XEV25" s="1780"/>
      <c r="XEW25" s="1780"/>
      <c r="XEX25" s="1780"/>
      <c r="XEY25" s="1780"/>
      <c r="XEZ25" s="1780"/>
      <c r="XFA25" s="1780"/>
      <c r="XFB25" s="1780"/>
      <c r="XFC25" s="1780"/>
      <c r="XFD25" s="1780"/>
    </row>
    <row r="26" s="1663" customFormat="1" ht="36" customHeight="1" spans="1:16384">
      <c r="A26" s="1693">
        <v>45776</v>
      </c>
      <c r="B26" s="1694" t="s">
        <v>1486</v>
      </c>
      <c r="C26" s="1695" t="s">
        <v>398</v>
      </c>
      <c r="D26" s="1696">
        <v>4500165380</v>
      </c>
      <c r="E26" s="1694" t="s">
        <v>1586</v>
      </c>
      <c r="F26" s="1696" t="s">
        <v>1587</v>
      </c>
      <c r="G26" s="1697" t="s">
        <v>1489</v>
      </c>
      <c r="H26" s="1697" t="s">
        <v>1490</v>
      </c>
      <c r="I26" s="1704" t="s">
        <v>1491</v>
      </c>
      <c r="J26" s="1697">
        <v>306</v>
      </c>
      <c r="K26" s="1697">
        <v>0</v>
      </c>
      <c r="L26" s="1697">
        <v>18</v>
      </c>
      <c r="M26" s="1709">
        <f t="shared" si="0"/>
        <v>17</v>
      </c>
      <c r="N26" s="1706">
        <v>45813</v>
      </c>
      <c r="O26" s="1707">
        <v>45810</v>
      </c>
      <c r="P26" s="1708"/>
      <c r="Q26" s="1723" t="s">
        <v>56</v>
      </c>
      <c r="R26" s="1708" t="s">
        <v>1588</v>
      </c>
      <c r="S26" s="1710" t="s">
        <v>692</v>
      </c>
      <c r="T26" s="1724"/>
      <c r="U26" s="1724" t="s">
        <v>1589</v>
      </c>
      <c r="V26" s="1718" t="s">
        <v>1590</v>
      </c>
      <c r="W26" s="1719" t="s">
        <v>1591</v>
      </c>
      <c r="X26" s="1720" t="s">
        <v>1592</v>
      </c>
      <c r="Y26" s="1739">
        <v>3.5384</v>
      </c>
      <c r="Z26" s="1740">
        <f t="shared" si="1"/>
        <v>1082.7504</v>
      </c>
      <c r="AA26" s="1741"/>
      <c r="AB26" s="1741">
        <f>288+18</f>
        <v>306</v>
      </c>
      <c r="AC26" s="1741">
        <f t="shared" si="6"/>
        <v>0</v>
      </c>
      <c r="AD26" s="1741" t="s">
        <v>1499</v>
      </c>
      <c r="AE26" s="1742" t="s">
        <v>63</v>
      </c>
      <c r="AF26" s="1742" t="s">
        <v>38</v>
      </c>
      <c r="AG26" s="1720">
        <f t="shared" si="12"/>
        <v>306</v>
      </c>
      <c r="AH26" s="1720">
        <f t="shared" si="13"/>
        <v>306</v>
      </c>
      <c r="AI26" s="1754">
        <f t="shared" si="14"/>
        <v>306</v>
      </c>
      <c r="AJ26" s="1755"/>
      <c r="AK26" s="1756"/>
      <c r="AL26" s="1756">
        <f t="shared" si="11"/>
        <v>306</v>
      </c>
      <c r="AM26" s="1756"/>
      <c r="AN26" s="1756"/>
      <c r="AO26" s="1771"/>
      <c r="AP26" s="1771"/>
      <c r="AQ26" s="1772"/>
      <c r="AR26" s="1773"/>
      <c r="AS26" s="1754"/>
      <c r="AT26" s="1773"/>
      <c r="AU26" s="1774">
        <f t="shared" si="15"/>
        <v>306</v>
      </c>
      <c r="AV26" s="1775"/>
      <c r="AW26" s="1777"/>
      <c r="AX26" s="1777"/>
      <c r="AY26" s="1777"/>
      <c r="AZ26" s="1777"/>
      <c r="BA26" s="1777"/>
      <c r="BB26" s="1777"/>
      <c r="BC26" s="1777"/>
      <c r="BD26" s="1777"/>
      <c r="BE26" s="1777"/>
      <c r="BF26" s="1777"/>
      <c r="BG26" s="1777"/>
      <c r="BH26" s="1777"/>
      <c r="BI26" s="1777"/>
      <c r="BJ26" s="1777"/>
      <c r="BK26" s="1777"/>
      <c r="BL26" s="1777"/>
      <c r="BM26" s="1777"/>
      <c r="BN26" s="1777"/>
      <c r="BO26" s="1777"/>
      <c r="BP26" s="1777"/>
      <c r="BQ26" s="1777"/>
      <c r="BR26" s="1777"/>
      <c r="BS26" s="1777"/>
      <c r="BT26" s="1777"/>
      <c r="BU26" s="1777"/>
      <c r="BV26" s="1777"/>
      <c r="BW26" s="1777"/>
      <c r="BX26" s="1777"/>
      <c r="BY26" s="1777"/>
      <c r="BZ26" s="1777"/>
      <c r="CA26" s="1777"/>
      <c r="CB26" s="1777"/>
      <c r="CC26" s="1777"/>
      <c r="CD26" s="1777"/>
      <c r="CE26" s="1777"/>
      <c r="CF26" s="1777"/>
      <c r="CG26" s="1777"/>
      <c r="CH26" s="1777"/>
      <c r="CI26" s="1777"/>
      <c r="CJ26" s="1777"/>
      <c r="CK26" s="1777"/>
      <c r="CL26" s="1777"/>
      <c r="CM26" s="1777"/>
      <c r="CN26" s="1777"/>
      <c r="CO26" s="1777"/>
      <c r="CP26" s="1777"/>
      <c r="CQ26" s="1777"/>
      <c r="CR26" s="1777"/>
      <c r="CS26" s="1777"/>
      <c r="CT26" s="1777"/>
      <c r="CU26" s="1777"/>
      <c r="CV26" s="1777"/>
      <c r="CW26" s="1777"/>
      <c r="CX26" s="1777"/>
      <c r="CY26" s="1777"/>
      <c r="CZ26" s="1777"/>
      <c r="DA26" s="1777"/>
      <c r="DB26" s="1777"/>
      <c r="DC26" s="1777"/>
      <c r="DD26" s="1777"/>
      <c r="DE26" s="1777"/>
      <c r="DF26" s="1777"/>
      <c r="DG26" s="1777"/>
      <c r="DH26" s="1777"/>
      <c r="DI26" s="1777"/>
      <c r="DJ26" s="1777"/>
      <c r="DK26" s="1777"/>
      <c r="DL26" s="1777"/>
      <c r="DM26" s="1777"/>
      <c r="DN26" s="1777"/>
      <c r="DO26" s="1777"/>
      <c r="DP26" s="1777"/>
      <c r="DQ26" s="1777"/>
      <c r="DR26" s="1777"/>
      <c r="DS26" s="1777"/>
      <c r="DT26" s="1777"/>
      <c r="DU26" s="1777"/>
      <c r="DV26" s="1777"/>
      <c r="DW26" s="1777"/>
      <c r="DX26" s="1779"/>
      <c r="DY26" s="1779"/>
      <c r="DZ26" s="1779"/>
      <c r="EA26" s="1779"/>
      <c r="EB26" s="1779"/>
      <c r="EC26" s="1779"/>
      <c r="ED26" s="1779"/>
      <c r="EE26" s="1779"/>
      <c r="EF26" s="1779"/>
      <c r="EG26" s="1779"/>
      <c r="EH26" s="1779"/>
      <c r="EI26" s="1779"/>
      <c r="EJ26" s="1779"/>
      <c r="EK26" s="1779"/>
      <c r="EL26" s="1779"/>
      <c r="EM26" s="1779"/>
      <c r="EN26" s="1779"/>
      <c r="EO26" s="1779"/>
      <c r="EP26" s="1779"/>
      <c r="EQ26" s="1779"/>
      <c r="ER26" s="1779"/>
      <c r="ES26" s="1779"/>
      <c r="ET26" s="1779"/>
      <c r="EU26" s="1779"/>
      <c r="EV26" s="1779"/>
      <c r="EW26" s="1779"/>
      <c r="EX26" s="1779"/>
      <c r="EY26" s="1779"/>
      <c r="EZ26" s="1779"/>
      <c r="FA26" s="1779"/>
      <c r="FB26" s="1779"/>
      <c r="FC26" s="1779"/>
      <c r="FD26" s="1779"/>
      <c r="FE26" s="1779"/>
      <c r="FF26" s="1779"/>
      <c r="FG26" s="1779"/>
      <c r="FH26" s="1779"/>
      <c r="FI26" s="1779"/>
      <c r="FJ26" s="1779"/>
      <c r="FK26" s="1779"/>
      <c r="FL26" s="1779"/>
      <c r="FM26" s="1779"/>
      <c r="FN26" s="1779"/>
      <c r="FO26" s="1779"/>
      <c r="FP26" s="1779"/>
      <c r="FQ26" s="1779"/>
      <c r="FR26" s="1779"/>
      <c r="FS26" s="1779"/>
      <c r="FT26" s="1779"/>
      <c r="FU26" s="1779"/>
      <c r="FV26" s="1779"/>
      <c r="FW26" s="1779"/>
      <c r="FX26" s="1779"/>
      <c r="FY26" s="1779"/>
      <c r="FZ26" s="1779"/>
      <c r="GA26" s="1779"/>
      <c r="XES26" s="1780"/>
      <c r="XET26" s="1780"/>
      <c r="XEU26" s="1780"/>
      <c r="XEV26" s="1780"/>
      <c r="XEW26" s="1780"/>
      <c r="XEX26" s="1780"/>
      <c r="XEY26" s="1780"/>
      <c r="XEZ26" s="1780"/>
      <c r="XFA26" s="1780"/>
      <c r="XFB26" s="1780"/>
      <c r="XFC26" s="1780"/>
      <c r="XFD26" s="1780"/>
    </row>
    <row r="27" s="1663" customFormat="1" ht="36" customHeight="1" spans="1:16384">
      <c r="A27" s="1693">
        <v>45774</v>
      </c>
      <c r="B27" s="1694" t="s">
        <v>1593</v>
      </c>
      <c r="C27" s="1695" t="s">
        <v>647</v>
      </c>
      <c r="D27" s="1696">
        <v>4500161056</v>
      </c>
      <c r="E27" s="1694">
        <v>164147</v>
      </c>
      <c r="F27" s="1696" t="s">
        <v>1594</v>
      </c>
      <c r="G27" s="1697" t="s">
        <v>1489</v>
      </c>
      <c r="H27" s="1697" t="s">
        <v>1490</v>
      </c>
      <c r="I27" s="1704" t="s">
        <v>1491</v>
      </c>
      <c r="J27" s="1697">
        <v>54</v>
      </c>
      <c r="K27" s="1697">
        <v>0</v>
      </c>
      <c r="L27" s="1697">
        <v>18</v>
      </c>
      <c r="M27" s="1709">
        <f t="shared" si="0"/>
        <v>3</v>
      </c>
      <c r="N27" s="1706">
        <v>45818</v>
      </c>
      <c r="O27" s="1707">
        <v>45814</v>
      </c>
      <c r="P27" s="1708" t="s">
        <v>73</v>
      </c>
      <c r="Q27" s="1723" t="s">
        <v>56</v>
      </c>
      <c r="R27" s="1708"/>
      <c r="S27" s="1710" t="s">
        <v>1595</v>
      </c>
      <c r="T27" s="1724"/>
      <c r="U27" s="1724" t="s">
        <v>1596</v>
      </c>
      <c r="V27" s="1718" t="s">
        <v>1597</v>
      </c>
      <c r="W27" s="1719" t="s">
        <v>1598</v>
      </c>
      <c r="X27" s="1720" t="s">
        <v>490</v>
      </c>
      <c r="Y27" s="1739">
        <v>3.5711</v>
      </c>
      <c r="Z27" s="1740">
        <f t="shared" si="1"/>
        <v>192.8394</v>
      </c>
      <c r="AA27" s="1741" t="s">
        <v>1599</v>
      </c>
      <c r="AB27" s="1741">
        <v>54</v>
      </c>
      <c r="AC27" s="1746">
        <f t="shared" si="6"/>
        <v>0</v>
      </c>
      <c r="AD27" s="1741" t="s">
        <v>1499</v>
      </c>
      <c r="AE27" s="1742" t="s">
        <v>63</v>
      </c>
      <c r="AF27" s="1742" t="s">
        <v>38</v>
      </c>
      <c r="AG27" s="1720">
        <f t="shared" si="12"/>
        <v>54</v>
      </c>
      <c r="AH27" s="1720">
        <f t="shared" si="13"/>
        <v>54</v>
      </c>
      <c r="AI27" s="1754">
        <f t="shared" si="14"/>
        <v>54</v>
      </c>
      <c r="AJ27" s="1755"/>
      <c r="AK27" s="1756"/>
      <c r="AL27" s="1756">
        <f t="shared" si="11"/>
        <v>54</v>
      </c>
      <c r="AM27" s="1756"/>
      <c r="AN27" s="1756"/>
      <c r="AO27" s="1771"/>
      <c r="AP27" s="1771"/>
      <c r="AQ27" s="1772"/>
      <c r="AR27" s="1773"/>
      <c r="AS27" s="1754"/>
      <c r="AT27" s="1773"/>
      <c r="AU27" s="1774">
        <f t="shared" si="15"/>
        <v>54</v>
      </c>
      <c r="AV27" s="1775"/>
      <c r="AW27" s="1777"/>
      <c r="AX27" s="1777"/>
      <c r="AY27" s="1777"/>
      <c r="AZ27" s="1777"/>
      <c r="BA27" s="1777"/>
      <c r="BB27" s="1777"/>
      <c r="BC27" s="1777"/>
      <c r="BD27" s="1777"/>
      <c r="BE27" s="1777"/>
      <c r="BF27" s="1777"/>
      <c r="BG27" s="1777"/>
      <c r="BH27" s="1777"/>
      <c r="BI27" s="1777"/>
      <c r="BJ27" s="1777"/>
      <c r="BK27" s="1777"/>
      <c r="BL27" s="1777"/>
      <c r="BM27" s="1777"/>
      <c r="BN27" s="1777"/>
      <c r="BO27" s="1777"/>
      <c r="BP27" s="1777"/>
      <c r="BQ27" s="1777"/>
      <c r="BR27" s="1777"/>
      <c r="BS27" s="1777"/>
      <c r="BT27" s="1777"/>
      <c r="BU27" s="1777"/>
      <c r="BV27" s="1777"/>
      <c r="BW27" s="1777"/>
      <c r="BX27" s="1777"/>
      <c r="BY27" s="1777"/>
      <c r="BZ27" s="1777"/>
      <c r="CA27" s="1777"/>
      <c r="CB27" s="1777"/>
      <c r="CC27" s="1777"/>
      <c r="CD27" s="1777"/>
      <c r="CE27" s="1777"/>
      <c r="CF27" s="1777"/>
      <c r="CG27" s="1777"/>
      <c r="CH27" s="1777"/>
      <c r="CI27" s="1777"/>
      <c r="CJ27" s="1777"/>
      <c r="CK27" s="1777"/>
      <c r="CL27" s="1777"/>
      <c r="CM27" s="1777"/>
      <c r="CN27" s="1777"/>
      <c r="CO27" s="1777"/>
      <c r="CP27" s="1777"/>
      <c r="CQ27" s="1777"/>
      <c r="CR27" s="1777"/>
      <c r="CS27" s="1777"/>
      <c r="CT27" s="1777"/>
      <c r="CU27" s="1777"/>
      <c r="CV27" s="1777"/>
      <c r="CW27" s="1777"/>
      <c r="CX27" s="1777"/>
      <c r="CY27" s="1777"/>
      <c r="CZ27" s="1777"/>
      <c r="DA27" s="1777"/>
      <c r="DB27" s="1777"/>
      <c r="DC27" s="1777"/>
      <c r="DD27" s="1777"/>
      <c r="DE27" s="1777"/>
      <c r="DF27" s="1777"/>
      <c r="DG27" s="1777"/>
      <c r="DH27" s="1777"/>
      <c r="DI27" s="1777"/>
      <c r="DJ27" s="1777"/>
      <c r="DK27" s="1777"/>
      <c r="DL27" s="1777"/>
      <c r="DM27" s="1777"/>
      <c r="DN27" s="1777"/>
      <c r="DO27" s="1777"/>
      <c r="DP27" s="1777"/>
      <c r="DQ27" s="1777"/>
      <c r="DR27" s="1777"/>
      <c r="DS27" s="1777"/>
      <c r="DT27" s="1777"/>
      <c r="DU27" s="1777"/>
      <c r="DV27" s="1777"/>
      <c r="DW27" s="1777"/>
      <c r="DX27" s="1779"/>
      <c r="DY27" s="1779"/>
      <c r="DZ27" s="1779"/>
      <c r="EA27" s="1779"/>
      <c r="EB27" s="1779"/>
      <c r="EC27" s="1779"/>
      <c r="ED27" s="1779"/>
      <c r="EE27" s="1779"/>
      <c r="EF27" s="1779"/>
      <c r="EG27" s="1779"/>
      <c r="EH27" s="1779"/>
      <c r="EI27" s="1779"/>
      <c r="EJ27" s="1779"/>
      <c r="EK27" s="1779"/>
      <c r="EL27" s="1779"/>
      <c r="EM27" s="1779"/>
      <c r="EN27" s="1779"/>
      <c r="EO27" s="1779"/>
      <c r="EP27" s="1779"/>
      <c r="EQ27" s="1779"/>
      <c r="ER27" s="1779"/>
      <c r="ES27" s="1779"/>
      <c r="ET27" s="1779"/>
      <c r="EU27" s="1779"/>
      <c r="EV27" s="1779"/>
      <c r="EW27" s="1779"/>
      <c r="EX27" s="1779"/>
      <c r="EY27" s="1779"/>
      <c r="EZ27" s="1779"/>
      <c r="FA27" s="1779"/>
      <c r="FB27" s="1779"/>
      <c r="FC27" s="1779"/>
      <c r="FD27" s="1779"/>
      <c r="FE27" s="1779"/>
      <c r="FF27" s="1779"/>
      <c r="FG27" s="1779"/>
      <c r="FH27" s="1779"/>
      <c r="FI27" s="1779"/>
      <c r="FJ27" s="1779"/>
      <c r="FK27" s="1779"/>
      <c r="FL27" s="1779"/>
      <c r="FM27" s="1779"/>
      <c r="FN27" s="1779"/>
      <c r="FO27" s="1779"/>
      <c r="FP27" s="1779"/>
      <c r="FQ27" s="1779"/>
      <c r="FR27" s="1779"/>
      <c r="FS27" s="1779"/>
      <c r="FT27" s="1779"/>
      <c r="FU27" s="1779"/>
      <c r="FV27" s="1779"/>
      <c r="FW27" s="1779"/>
      <c r="FX27" s="1779"/>
      <c r="FY27" s="1779"/>
      <c r="FZ27" s="1779"/>
      <c r="GA27" s="1779"/>
      <c r="XES27" s="1780"/>
      <c r="XET27" s="1780"/>
      <c r="XEU27" s="1780"/>
      <c r="XEV27" s="1780"/>
      <c r="XEW27" s="1780"/>
      <c r="XEX27" s="1780"/>
      <c r="XEY27" s="1780"/>
      <c r="XEZ27" s="1780"/>
      <c r="XFA27" s="1780"/>
      <c r="XFB27" s="1780"/>
      <c r="XFC27" s="1780"/>
      <c r="XFD27" s="1780"/>
    </row>
    <row r="28" s="1663" customFormat="1" ht="36" customHeight="1" spans="1:16384">
      <c r="A28" s="1693">
        <v>45798</v>
      </c>
      <c r="B28" s="1694" t="s">
        <v>1486</v>
      </c>
      <c r="C28" s="1695" t="s">
        <v>398</v>
      </c>
      <c r="D28" s="1696">
        <v>4500167361</v>
      </c>
      <c r="E28" s="1694" t="s">
        <v>1600</v>
      </c>
      <c r="F28" s="1696" t="s">
        <v>1601</v>
      </c>
      <c r="G28" s="1697" t="s">
        <v>1489</v>
      </c>
      <c r="H28" s="1697" t="s">
        <v>1490</v>
      </c>
      <c r="I28" s="1704" t="s">
        <v>1491</v>
      </c>
      <c r="J28" s="1697">
        <v>18</v>
      </c>
      <c r="K28" s="1697">
        <v>0</v>
      </c>
      <c r="L28" s="1697">
        <v>18</v>
      </c>
      <c r="M28" s="1709">
        <f t="shared" si="0"/>
        <v>1</v>
      </c>
      <c r="N28" s="1706">
        <v>45834</v>
      </c>
      <c r="O28" s="1707">
        <v>45831</v>
      </c>
      <c r="P28" s="1708"/>
      <c r="Q28" s="1723" t="s">
        <v>56</v>
      </c>
      <c r="R28" s="1708" t="s">
        <v>1551</v>
      </c>
      <c r="S28" s="1710" t="s">
        <v>723</v>
      </c>
      <c r="T28" s="1724"/>
      <c r="U28" s="1724" t="s">
        <v>1602</v>
      </c>
      <c r="V28" s="1718" t="s">
        <v>1495</v>
      </c>
      <c r="W28" s="1719" t="s">
        <v>1603</v>
      </c>
      <c r="X28" s="1720" t="s">
        <v>220</v>
      </c>
      <c r="Y28" s="1739">
        <v>3.5384</v>
      </c>
      <c r="Z28" s="1740">
        <f t="shared" si="1"/>
        <v>63.6912</v>
      </c>
      <c r="AA28" s="1741"/>
      <c r="AB28" s="1741">
        <v>18</v>
      </c>
      <c r="AC28" s="1746">
        <f t="shared" si="6"/>
        <v>0</v>
      </c>
      <c r="AD28" s="1741" t="s">
        <v>1499</v>
      </c>
      <c r="AE28" s="1742" t="s">
        <v>63</v>
      </c>
      <c r="AF28" s="1742" t="s">
        <v>38</v>
      </c>
      <c r="AG28" s="1720">
        <f t="shared" si="12"/>
        <v>18</v>
      </c>
      <c r="AH28" s="1720">
        <f t="shared" si="13"/>
        <v>18</v>
      </c>
      <c r="AI28" s="1754">
        <f t="shared" si="14"/>
        <v>18</v>
      </c>
      <c r="AJ28" s="1755"/>
      <c r="AK28" s="1756"/>
      <c r="AL28" s="1756">
        <f t="shared" si="11"/>
        <v>18</v>
      </c>
      <c r="AM28" s="1756"/>
      <c r="AN28" s="1756"/>
      <c r="AO28" s="1771"/>
      <c r="AP28" s="1771"/>
      <c r="AQ28" s="1772"/>
      <c r="AR28" s="1773"/>
      <c r="AS28" s="1754"/>
      <c r="AT28" s="1773"/>
      <c r="AU28" s="1774">
        <f t="shared" si="15"/>
        <v>18</v>
      </c>
      <c r="AV28" s="1775"/>
      <c r="AW28" s="1777"/>
      <c r="AX28" s="1777"/>
      <c r="AY28" s="1777"/>
      <c r="AZ28" s="1777"/>
      <c r="BA28" s="1777"/>
      <c r="BB28" s="1777"/>
      <c r="BC28" s="1777"/>
      <c r="BD28" s="1777"/>
      <c r="BE28" s="1777"/>
      <c r="BF28" s="1777"/>
      <c r="BG28" s="1777"/>
      <c r="BH28" s="1777"/>
      <c r="BI28" s="1777"/>
      <c r="BJ28" s="1777"/>
      <c r="BK28" s="1777"/>
      <c r="BL28" s="1777"/>
      <c r="BM28" s="1777"/>
      <c r="BN28" s="1777"/>
      <c r="BO28" s="1777"/>
      <c r="BP28" s="1777"/>
      <c r="BQ28" s="1777"/>
      <c r="BR28" s="1777"/>
      <c r="BS28" s="1777"/>
      <c r="BT28" s="1777"/>
      <c r="BU28" s="1777"/>
      <c r="BV28" s="1777"/>
      <c r="BW28" s="1777"/>
      <c r="BX28" s="1777"/>
      <c r="BY28" s="1777"/>
      <c r="BZ28" s="1777"/>
      <c r="CA28" s="1777"/>
      <c r="CB28" s="1777"/>
      <c r="CC28" s="1777"/>
      <c r="CD28" s="1777"/>
      <c r="CE28" s="1777"/>
      <c r="CF28" s="1777"/>
      <c r="CG28" s="1777"/>
      <c r="CH28" s="1777"/>
      <c r="CI28" s="1777"/>
      <c r="CJ28" s="1777"/>
      <c r="CK28" s="1777"/>
      <c r="CL28" s="1777"/>
      <c r="CM28" s="1777"/>
      <c r="CN28" s="1777"/>
      <c r="CO28" s="1777"/>
      <c r="CP28" s="1777"/>
      <c r="CQ28" s="1777"/>
      <c r="CR28" s="1777"/>
      <c r="CS28" s="1777"/>
      <c r="CT28" s="1777"/>
      <c r="CU28" s="1777"/>
      <c r="CV28" s="1777"/>
      <c r="CW28" s="1777"/>
      <c r="CX28" s="1777"/>
      <c r="CY28" s="1777"/>
      <c r="CZ28" s="1777"/>
      <c r="DA28" s="1777"/>
      <c r="DB28" s="1777"/>
      <c r="DC28" s="1777"/>
      <c r="DD28" s="1777"/>
      <c r="DE28" s="1777"/>
      <c r="DF28" s="1777"/>
      <c r="DG28" s="1777"/>
      <c r="DH28" s="1777"/>
      <c r="DI28" s="1777"/>
      <c r="DJ28" s="1777"/>
      <c r="DK28" s="1777"/>
      <c r="DL28" s="1777"/>
      <c r="DM28" s="1777"/>
      <c r="DN28" s="1777"/>
      <c r="DO28" s="1777"/>
      <c r="DP28" s="1777"/>
      <c r="DQ28" s="1777"/>
      <c r="DR28" s="1777"/>
      <c r="DS28" s="1777"/>
      <c r="DT28" s="1777"/>
      <c r="DU28" s="1777"/>
      <c r="DV28" s="1777"/>
      <c r="DW28" s="1777"/>
      <c r="DX28" s="1779"/>
      <c r="DY28" s="1779"/>
      <c r="DZ28" s="1779"/>
      <c r="EA28" s="1779"/>
      <c r="EB28" s="1779"/>
      <c r="EC28" s="1779"/>
      <c r="ED28" s="1779"/>
      <c r="EE28" s="1779"/>
      <c r="EF28" s="1779"/>
      <c r="EG28" s="1779"/>
      <c r="EH28" s="1779"/>
      <c r="EI28" s="1779"/>
      <c r="EJ28" s="1779"/>
      <c r="EK28" s="1779"/>
      <c r="EL28" s="1779"/>
      <c r="EM28" s="1779"/>
      <c r="EN28" s="1779"/>
      <c r="EO28" s="1779"/>
      <c r="EP28" s="1779"/>
      <c r="EQ28" s="1779"/>
      <c r="ER28" s="1779"/>
      <c r="ES28" s="1779"/>
      <c r="ET28" s="1779"/>
      <c r="EU28" s="1779"/>
      <c r="EV28" s="1779"/>
      <c r="EW28" s="1779"/>
      <c r="EX28" s="1779"/>
      <c r="EY28" s="1779"/>
      <c r="EZ28" s="1779"/>
      <c r="FA28" s="1779"/>
      <c r="FB28" s="1779"/>
      <c r="FC28" s="1779"/>
      <c r="FD28" s="1779"/>
      <c r="FE28" s="1779"/>
      <c r="FF28" s="1779"/>
      <c r="FG28" s="1779"/>
      <c r="FH28" s="1779"/>
      <c r="FI28" s="1779"/>
      <c r="FJ28" s="1779"/>
      <c r="FK28" s="1779"/>
      <c r="FL28" s="1779"/>
      <c r="FM28" s="1779"/>
      <c r="FN28" s="1779"/>
      <c r="FO28" s="1779"/>
      <c r="FP28" s="1779"/>
      <c r="FQ28" s="1779"/>
      <c r="FR28" s="1779"/>
      <c r="FS28" s="1779"/>
      <c r="FT28" s="1779"/>
      <c r="FU28" s="1779"/>
      <c r="FV28" s="1779"/>
      <c r="FW28" s="1779"/>
      <c r="FX28" s="1779"/>
      <c r="FY28" s="1779"/>
      <c r="FZ28" s="1779"/>
      <c r="GA28" s="1779"/>
      <c r="XES28" s="1780"/>
      <c r="XET28" s="1780"/>
      <c r="XEU28" s="1780"/>
      <c r="XEV28" s="1780"/>
      <c r="XEW28" s="1780"/>
      <c r="XEX28" s="1780"/>
      <c r="XEY28" s="1780"/>
      <c r="XEZ28" s="1780"/>
      <c r="XFA28" s="1780"/>
      <c r="XFB28" s="1780"/>
      <c r="XFC28" s="1780"/>
      <c r="XFD28" s="1780"/>
    </row>
    <row r="29" s="1663" customFormat="1" ht="36" customHeight="1" spans="1:16384">
      <c r="A29" s="1693">
        <v>45798</v>
      </c>
      <c r="B29" s="1694" t="s">
        <v>1486</v>
      </c>
      <c r="C29" s="1695" t="s">
        <v>398</v>
      </c>
      <c r="D29" s="1696">
        <v>4500167361</v>
      </c>
      <c r="E29" s="1694" t="s">
        <v>1604</v>
      </c>
      <c r="F29" s="1696" t="s">
        <v>1605</v>
      </c>
      <c r="G29" s="1697" t="s">
        <v>1489</v>
      </c>
      <c r="H29" s="1697" t="s">
        <v>1490</v>
      </c>
      <c r="I29" s="1704" t="s">
        <v>1491</v>
      </c>
      <c r="J29" s="1697">
        <v>18</v>
      </c>
      <c r="K29" s="1697">
        <v>0</v>
      </c>
      <c r="L29" s="1697">
        <v>18</v>
      </c>
      <c r="M29" s="1709">
        <f t="shared" si="0"/>
        <v>1</v>
      </c>
      <c r="N29" s="1706">
        <v>45834</v>
      </c>
      <c r="O29" s="1707">
        <v>45831</v>
      </c>
      <c r="P29" s="1708"/>
      <c r="Q29" s="1723" t="s">
        <v>56</v>
      </c>
      <c r="R29" s="1708" t="s">
        <v>1551</v>
      </c>
      <c r="S29" s="1710" t="s">
        <v>723</v>
      </c>
      <c r="T29" s="1724"/>
      <c r="U29" s="1724" t="s">
        <v>1602</v>
      </c>
      <c r="V29" s="1718" t="s">
        <v>1495</v>
      </c>
      <c r="W29" s="1719" t="s">
        <v>1603</v>
      </c>
      <c r="X29" s="1720" t="s">
        <v>220</v>
      </c>
      <c r="Y29" s="1739">
        <v>3.5384</v>
      </c>
      <c r="Z29" s="1740">
        <f t="shared" si="1"/>
        <v>63.6912</v>
      </c>
      <c r="AA29" s="1741"/>
      <c r="AB29" s="1741">
        <v>18</v>
      </c>
      <c r="AC29" s="1746">
        <f t="shared" si="6"/>
        <v>0</v>
      </c>
      <c r="AD29" s="1741" t="s">
        <v>1499</v>
      </c>
      <c r="AE29" s="1742" t="s">
        <v>63</v>
      </c>
      <c r="AF29" s="1742" t="s">
        <v>38</v>
      </c>
      <c r="AG29" s="1720">
        <f t="shared" si="12"/>
        <v>18</v>
      </c>
      <c r="AH29" s="1720">
        <f t="shared" si="13"/>
        <v>18</v>
      </c>
      <c r="AI29" s="1754">
        <f t="shared" si="14"/>
        <v>18</v>
      </c>
      <c r="AJ29" s="1755"/>
      <c r="AK29" s="1756"/>
      <c r="AL29" s="1756">
        <f t="shared" si="11"/>
        <v>18</v>
      </c>
      <c r="AM29" s="1756"/>
      <c r="AN29" s="1756"/>
      <c r="AO29" s="1771"/>
      <c r="AP29" s="1771"/>
      <c r="AQ29" s="1772"/>
      <c r="AR29" s="1773"/>
      <c r="AS29" s="1754"/>
      <c r="AT29" s="1773"/>
      <c r="AU29" s="1774">
        <f t="shared" si="15"/>
        <v>18</v>
      </c>
      <c r="AV29" s="1775"/>
      <c r="AW29" s="1777"/>
      <c r="AX29" s="1777"/>
      <c r="AY29" s="1777"/>
      <c r="AZ29" s="1777"/>
      <c r="BA29" s="1777"/>
      <c r="BB29" s="1777"/>
      <c r="BC29" s="1777"/>
      <c r="BD29" s="1777"/>
      <c r="BE29" s="1777"/>
      <c r="BF29" s="1777"/>
      <c r="BG29" s="1777"/>
      <c r="BH29" s="1777"/>
      <c r="BI29" s="1777"/>
      <c r="BJ29" s="1777"/>
      <c r="BK29" s="1777"/>
      <c r="BL29" s="1777"/>
      <c r="BM29" s="1777"/>
      <c r="BN29" s="1777"/>
      <c r="BO29" s="1777"/>
      <c r="BP29" s="1777"/>
      <c r="BQ29" s="1777"/>
      <c r="BR29" s="1777"/>
      <c r="BS29" s="1777"/>
      <c r="BT29" s="1777"/>
      <c r="BU29" s="1777"/>
      <c r="BV29" s="1777"/>
      <c r="BW29" s="1777"/>
      <c r="BX29" s="1777"/>
      <c r="BY29" s="1777"/>
      <c r="BZ29" s="1777"/>
      <c r="CA29" s="1777"/>
      <c r="CB29" s="1777"/>
      <c r="CC29" s="1777"/>
      <c r="CD29" s="1777"/>
      <c r="CE29" s="1777"/>
      <c r="CF29" s="1777"/>
      <c r="CG29" s="1777"/>
      <c r="CH29" s="1777"/>
      <c r="CI29" s="1777"/>
      <c r="CJ29" s="1777"/>
      <c r="CK29" s="1777"/>
      <c r="CL29" s="1777"/>
      <c r="CM29" s="1777"/>
      <c r="CN29" s="1777"/>
      <c r="CO29" s="1777"/>
      <c r="CP29" s="1777"/>
      <c r="CQ29" s="1777"/>
      <c r="CR29" s="1777"/>
      <c r="CS29" s="1777"/>
      <c r="CT29" s="1777"/>
      <c r="CU29" s="1777"/>
      <c r="CV29" s="1777"/>
      <c r="CW29" s="1777"/>
      <c r="CX29" s="1777"/>
      <c r="CY29" s="1777"/>
      <c r="CZ29" s="1777"/>
      <c r="DA29" s="1777"/>
      <c r="DB29" s="1777"/>
      <c r="DC29" s="1777"/>
      <c r="DD29" s="1777"/>
      <c r="DE29" s="1777"/>
      <c r="DF29" s="1777"/>
      <c r="DG29" s="1777"/>
      <c r="DH29" s="1777"/>
      <c r="DI29" s="1777"/>
      <c r="DJ29" s="1777"/>
      <c r="DK29" s="1777"/>
      <c r="DL29" s="1777"/>
      <c r="DM29" s="1777"/>
      <c r="DN29" s="1777"/>
      <c r="DO29" s="1777"/>
      <c r="DP29" s="1777"/>
      <c r="DQ29" s="1777"/>
      <c r="DR29" s="1777"/>
      <c r="DS29" s="1777"/>
      <c r="DT29" s="1777"/>
      <c r="DU29" s="1777"/>
      <c r="DV29" s="1777"/>
      <c r="DW29" s="1777"/>
      <c r="DX29" s="1779"/>
      <c r="DY29" s="1779"/>
      <c r="DZ29" s="1779"/>
      <c r="EA29" s="1779"/>
      <c r="EB29" s="1779"/>
      <c r="EC29" s="1779"/>
      <c r="ED29" s="1779"/>
      <c r="EE29" s="1779"/>
      <c r="EF29" s="1779"/>
      <c r="EG29" s="1779"/>
      <c r="EH29" s="1779"/>
      <c r="EI29" s="1779"/>
      <c r="EJ29" s="1779"/>
      <c r="EK29" s="1779"/>
      <c r="EL29" s="1779"/>
      <c r="EM29" s="1779"/>
      <c r="EN29" s="1779"/>
      <c r="EO29" s="1779"/>
      <c r="EP29" s="1779"/>
      <c r="EQ29" s="1779"/>
      <c r="ER29" s="1779"/>
      <c r="ES29" s="1779"/>
      <c r="ET29" s="1779"/>
      <c r="EU29" s="1779"/>
      <c r="EV29" s="1779"/>
      <c r="EW29" s="1779"/>
      <c r="EX29" s="1779"/>
      <c r="EY29" s="1779"/>
      <c r="EZ29" s="1779"/>
      <c r="FA29" s="1779"/>
      <c r="FB29" s="1779"/>
      <c r="FC29" s="1779"/>
      <c r="FD29" s="1779"/>
      <c r="FE29" s="1779"/>
      <c r="FF29" s="1779"/>
      <c r="FG29" s="1779"/>
      <c r="FH29" s="1779"/>
      <c r="FI29" s="1779"/>
      <c r="FJ29" s="1779"/>
      <c r="FK29" s="1779"/>
      <c r="FL29" s="1779"/>
      <c r="FM29" s="1779"/>
      <c r="FN29" s="1779"/>
      <c r="FO29" s="1779"/>
      <c r="FP29" s="1779"/>
      <c r="FQ29" s="1779"/>
      <c r="FR29" s="1779"/>
      <c r="FS29" s="1779"/>
      <c r="FT29" s="1779"/>
      <c r="FU29" s="1779"/>
      <c r="FV29" s="1779"/>
      <c r="FW29" s="1779"/>
      <c r="FX29" s="1779"/>
      <c r="FY29" s="1779"/>
      <c r="FZ29" s="1779"/>
      <c r="GA29" s="1779"/>
      <c r="XES29" s="1780"/>
      <c r="XET29" s="1780"/>
      <c r="XEU29" s="1780"/>
      <c r="XEV29" s="1780"/>
      <c r="XEW29" s="1780"/>
      <c r="XEX29" s="1780"/>
      <c r="XEY29" s="1780"/>
      <c r="XEZ29" s="1780"/>
      <c r="XFA29" s="1780"/>
      <c r="XFB29" s="1780"/>
      <c r="XFC29" s="1780"/>
      <c r="XFD29" s="1780"/>
    </row>
    <row r="30" s="1663" customFormat="1" ht="36" customHeight="1" spans="1:16384">
      <c r="A30" s="1693">
        <v>45798</v>
      </c>
      <c r="B30" s="1694" t="s">
        <v>1486</v>
      </c>
      <c r="C30" s="1695" t="s">
        <v>398</v>
      </c>
      <c r="D30" s="1696">
        <v>4500167361</v>
      </c>
      <c r="E30" s="1694" t="s">
        <v>1606</v>
      </c>
      <c r="F30" s="1696" t="s">
        <v>1607</v>
      </c>
      <c r="G30" s="1697" t="s">
        <v>1489</v>
      </c>
      <c r="H30" s="1697" t="s">
        <v>1490</v>
      </c>
      <c r="I30" s="1704" t="s">
        <v>1491</v>
      </c>
      <c r="J30" s="1697">
        <v>18</v>
      </c>
      <c r="K30" s="1697">
        <v>0</v>
      </c>
      <c r="L30" s="1697">
        <v>18</v>
      </c>
      <c r="M30" s="1709">
        <f t="shared" si="0"/>
        <v>1</v>
      </c>
      <c r="N30" s="1706">
        <v>45834</v>
      </c>
      <c r="O30" s="1707">
        <v>45831</v>
      </c>
      <c r="P30" s="1708"/>
      <c r="Q30" s="1723" t="s">
        <v>56</v>
      </c>
      <c r="R30" s="1708" t="s">
        <v>1551</v>
      </c>
      <c r="S30" s="1710" t="s">
        <v>723</v>
      </c>
      <c r="T30" s="1724"/>
      <c r="U30" s="1724" t="s">
        <v>1602</v>
      </c>
      <c r="V30" s="1718" t="s">
        <v>1495</v>
      </c>
      <c r="W30" s="1719" t="s">
        <v>1603</v>
      </c>
      <c r="X30" s="1720" t="s">
        <v>220</v>
      </c>
      <c r="Y30" s="1739">
        <v>3.5384</v>
      </c>
      <c r="Z30" s="1740">
        <f t="shared" si="1"/>
        <v>63.6912</v>
      </c>
      <c r="AA30" s="1741"/>
      <c r="AB30" s="1741">
        <v>18</v>
      </c>
      <c r="AC30" s="1746">
        <f t="shared" si="6"/>
        <v>0</v>
      </c>
      <c r="AD30" s="1741" t="s">
        <v>1499</v>
      </c>
      <c r="AE30" s="1742" t="s">
        <v>63</v>
      </c>
      <c r="AF30" s="1742" t="s">
        <v>38</v>
      </c>
      <c r="AG30" s="1720">
        <f t="shared" si="12"/>
        <v>18</v>
      </c>
      <c r="AH30" s="1720">
        <f t="shared" si="13"/>
        <v>18</v>
      </c>
      <c r="AI30" s="1754">
        <f t="shared" si="14"/>
        <v>18</v>
      </c>
      <c r="AJ30" s="1755"/>
      <c r="AK30" s="1756"/>
      <c r="AL30" s="1756">
        <f t="shared" si="11"/>
        <v>18</v>
      </c>
      <c r="AM30" s="1756"/>
      <c r="AN30" s="1756"/>
      <c r="AO30" s="1771"/>
      <c r="AP30" s="1771"/>
      <c r="AQ30" s="1772"/>
      <c r="AR30" s="1773"/>
      <c r="AS30" s="1754"/>
      <c r="AT30" s="1773"/>
      <c r="AU30" s="1774">
        <f t="shared" si="15"/>
        <v>18</v>
      </c>
      <c r="AV30" s="1775"/>
      <c r="AW30" s="1777"/>
      <c r="AX30" s="1777"/>
      <c r="AY30" s="1777"/>
      <c r="AZ30" s="1777"/>
      <c r="BA30" s="1777"/>
      <c r="BB30" s="1777"/>
      <c r="BC30" s="1777"/>
      <c r="BD30" s="1777"/>
      <c r="BE30" s="1777"/>
      <c r="BF30" s="1777"/>
      <c r="BG30" s="1777"/>
      <c r="BH30" s="1777"/>
      <c r="BI30" s="1777"/>
      <c r="BJ30" s="1777"/>
      <c r="BK30" s="1777"/>
      <c r="BL30" s="1777"/>
      <c r="BM30" s="1777"/>
      <c r="BN30" s="1777"/>
      <c r="BO30" s="1777"/>
      <c r="BP30" s="1777"/>
      <c r="BQ30" s="1777"/>
      <c r="BR30" s="1777"/>
      <c r="BS30" s="1777"/>
      <c r="BT30" s="1777"/>
      <c r="BU30" s="1777"/>
      <c r="BV30" s="1777"/>
      <c r="BW30" s="1777"/>
      <c r="BX30" s="1777"/>
      <c r="BY30" s="1777"/>
      <c r="BZ30" s="1777"/>
      <c r="CA30" s="1777"/>
      <c r="CB30" s="1777"/>
      <c r="CC30" s="1777"/>
      <c r="CD30" s="1777"/>
      <c r="CE30" s="1777"/>
      <c r="CF30" s="1777"/>
      <c r="CG30" s="1777"/>
      <c r="CH30" s="1777"/>
      <c r="CI30" s="1777"/>
      <c r="CJ30" s="1777"/>
      <c r="CK30" s="1777"/>
      <c r="CL30" s="1777"/>
      <c r="CM30" s="1777"/>
      <c r="CN30" s="1777"/>
      <c r="CO30" s="1777"/>
      <c r="CP30" s="1777"/>
      <c r="CQ30" s="1777"/>
      <c r="CR30" s="1777"/>
      <c r="CS30" s="1777"/>
      <c r="CT30" s="1777"/>
      <c r="CU30" s="1777"/>
      <c r="CV30" s="1777"/>
      <c r="CW30" s="1777"/>
      <c r="CX30" s="1777"/>
      <c r="CY30" s="1777"/>
      <c r="CZ30" s="1777"/>
      <c r="DA30" s="1777"/>
      <c r="DB30" s="1777"/>
      <c r="DC30" s="1777"/>
      <c r="DD30" s="1777"/>
      <c r="DE30" s="1777"/>
      <c r="DF30" s="1777"/>
      <c r="DG30" s="1777"/>
      <c r="DH30" s="1777"/>
      <c r="DI30" s="1777"/>
      <c r="DJ30" s="1777"/>
      <c r="DK30" s="1777"/>
      <c r="DL30" s="1777"/>
      <c r="DM30" s="1777"/>
      <c r="DN30" s="1777"/>
      <c r="DO30" s="1777"/>
      <c r="DP30" s="1777"/>
      <c r="DQ30" s="1777"/>
      <c r="DR30" s="1777"/>
      <c r="DS30" s="1777"/>
      <c r="DT30" s="1777"/>
      <c r="DU30" s="1777"/>
      <c r="DV30" s="1777"/>
      <c r="DW30" s="1777"/>
      <c r="DX30" s="1779"/>
      <c r="DY30" s="1779"/>
      <c r="DZ30" s="1779"/>
      <c r="EA30" s="1779"/>
      <c r="EB30" s="1779"/>
      <c r="EC30" s="1779"/>
      <c r="ED30" s="1779"/>
      <c r="EE30" s="1779"/>
      <c r="EF30" s="1779"/>
      <c r="EG30" s="1779"/>
      <c r="EH30" s="1779"/>
      <c r="EI30" s="1779"/>
      <c r="EJ30" s="1779"/>
      <c r="EK30" s="1779"/>
      <c r="EL30" s="1779"/>
      <c r="EM30" s="1779"/>
      <c r="EN30" s="1779"/>
      <c r="EO30" s="1779"/>
      <c r="EP30" s="1779"/>
      <c r="EQ30" s="1779"/>
      <c r="ER30" s="1779"/>
      <c r="ES30" s="1779"/>
      <c r="ET30" s="1779"/>
      <c r="EU30" s="1779"/>
      <c r="EV30" s="1779"/>
      <c r="EW30" s="1779"/>
      <c r="EX30" s="1779"/>
      <c r="EY30" s="1779"/>
      <c r="EZ30" s="1779"/>
      <c r="FA30" s="1779"/>
      <c r="FB30" s="1779"/>
      <c r="FC30" s="1779"/>
      <c r="FD30" s="1779"/>
      <c r="FE30" s="1779"/>
      <c r="FF30" s="1779"/>
      <c r="FG30" s="1779"/>
      <c r="FH30" s="1779"/>
      <c r="FI30" s="1779"/>
      <c r="FJ30" s="1779"/>
      <c r="FK30" s="1779"/>
      <c r="FL30" s="1779"/>
      <c r="FM30" s="1779"/>
      <c r="FN30" s="1779"/>
      <c r="FO30" s="1779"/>
      <c r="FP30" s="1779"/>
      <c r="FQ30" s="1779"/>
      <c r="FR30" s="1779"/>
      <c r="FS30" s="1779"/>
      <c r="FT30" s="1779"/>
      <c r="FU30" s="1779"/>
      <c r="FV30" s="1779"/>
      <c r="FW30" s="1779"/>
      <c r="FX30" s="1779"/>
      <c r="FY30" s="1779"/>
      <c r="FZ30" s="1779"/>
      <c r="GA30" s="1779"/>
      <c r="XES30" s="1780"/>
      <c r="XET30" s="1780"/>
      <c r="XEU30" s="1780"/>
      <c r="XEV30" s="1780"/>
      <c r="XEW30" s="1780"/>
      <c r="XEX30" s="1780"/>
      <c r="XEY30" s="1780"/>
      <c r="XEZ30" s="1780"/>
      <c r="XFA30" s="1780"/>
      <c r="XFB30" s="1780"/>
      <c r="XFC30" s="1780"/>
      <c r="XFD30" s="1780"/>
    </row>
    <row r="31" s="1663" customFormat="1" ht="36" customHeight="1" spans="1:16384">
      <c r="A31" s="1693">
        <v>45792</v>
      </c>
      <c r="B31" s="1694" t="s">
        <v>1608</v>
      </c>
      <c r="C31" s="1695" t="s">
        <v>752</v>
      </c>
      <c r="D31" s="1696">
        <v>4500166516</v>
      </c>
      <c r="E31" s="1694"/>
      <c r="F31" s="1696" t="s">
        <v>1609</v>
      </c>
      <c r="G31" s="1697" t="s">
        <v>1567</v>
      </c>
      <c r="H31" s="1697" t="s">
        <v>1568</v>
      </c>
      <c r="I31" s="1704" t="s">
        <v>1479</v>
      </c>
      <c r="J31" s="1697">
        <v>600</v>
      </c>
      <c r="K31" s="1697">
        <v>0</v>
      </c>
      <c r="L31" s="1697">
        <v>24</v>
      </c>
      <c r="M31" s="1705">
        <f t="shared" si="0"/>
        <v>25</v>
      </c>
      <c r="N31" s="1706">
        <v>45838</v>
      </c>
      <c r="O31" s="1707">
        <v>45834</v>
      </c>
      <c r="P31" s="1708"/>
      <c r="Q31" s="1723" t="s">
        <v>56</v>
      </c>
      <c r="R31" s="1708" t="s">
        <v>754</v>
      </c>
      <c r="S31" s="1710" t="s">
        <v>755</v>
      </c>
      <c r="T31" s="1724"/>
      <c r="U31" s="1724" t="s">
        <v>58</v>
      </c>
      <c r="V31" s="1718" t="s">
        <v>1610</v>
      </c>
      <c r="W31" s="1719" t="s">
        <v>1611</v>
      </c>
      <c r="X31" s="1720" t="s">
        <v>758</v>
      </c>
      <c r="Y31" s="1739">
        <v>1.5793</v>
      </c>
      <c r="Z31" s="1740">
        <f t="shared" si="1"/>
        <v>947.58</v>
      </c>
      <c r="AA31" s="1741" t="s">
        <v>759</v>
      </c>
      <c r="AB31" s="1741">
        <v>600</v>
      </c>
      <c r="AC31" s="1746">
        <f t="shared" si="6"/>
        <v>0</v>
      </c>
      <c r="AD31" s="1741" t="s">
        <v>58</v>
      </c>
      <c r="AE31" s="1742" t="s">
        <v>63</v>
      </c>
      <c r="AF31" s="1742" t="s">
        <v>38</v>
      </c>
      <c r="AG31" s="1720">
        <f>J31/3</f>
        <v>200</v>
      </c>
      <c r="AH31" s="1720">
        <f>J31/3</f>
        <v>200</v>
      </c>
      <c r="AI31" s="1754">
        <f>J31/3</f>
        <v>200</v>
      </c>
      <c r="AJ31" s="1755">
        <f>J31</f>
        <v>600</v>
      </c>
      <c r="AK31" s="1756"/>
      <c r="AL31" s="1756">
        <f t="shared" si="11"/>
        <v>600</v>
      </c>
      <c r="AM31" s="1756">
        <f>J31/6</f>
        <v>100</v>
      </c>
      <c r="AN31" s="1756"/>
      <c r="AO31" s="1771"/>
      <c r="AP31" s="1771"/>
      <c r="AQ31" s="1772"/>
      <c r="AR31" s="1773"/>
      <c r="AS31" s="1754"/>
      <c r="AT31" s="1773"/>
      <c r="AU31" s="1774"/>
      <c r="AV31" s="1775"/>
      <c r="AW31" s="1777"/>
      <c r="AX31" s="1777"/>
      <c r="AY31" s="1777"/>
      <c r="AZ31" s="1777"/>
      <c r="BA31" s="1777"/>
      <c r="BB31" s="1777"/>
      <c r="BC31" s="1777"/>
      <c r="BD31" s="1777"/>
      <c r="BE31" s="1777"/>
      <c r="BF31" s="1777"/>
      <c r="BG31" s="1777"/>
      <c r="BH31" s="1777"/>
      <c r="BI31" s="1777"/>
      <c r="BJ31" s="1777"/>
      <c r="BK31" s="1777"/>
      <c r="BL31" s="1777"/>
      <c r="BM31" s="1777"/>
      <c r="BN31" s="1777"/>
      <c r="BO31" s="1777"/>
      <c r="BP31" s="1777"/>
      <c r="BQ31" s="1777"/>
      <c r="BR31" s="1777"/>
      <c r="BS31" s="1777"/>
      <c r="BT31" s="1777"/>
      <c r="BU31" s="1777"/>
      <c r="BV31" s="1777"/>
      <c r="BW31" s="1777"/>
      <c r="BX31" s="1777"/>
      <c r="BY31" s="1777"/>
      <c r="BZ31" s="1777"/>
      <c r="CA31" s="1777"/>
      <c r="CB31" s="1777"/>
      <c r="CC31" s="1777"/>
      <c r="CD31" s="1777"/>
      <c r="CE31" s="1777"/>
      <c r="CF31" s="1777"/>
      <c r="CG31" s="1777"/>
      <c r="CH31" s="1777"/>
      <c r="CI31" s="1777"/>
      <c r="CJ31" s="1777"/>
      <c r="CK31" s="1777"/>
      <c r="CL31" s="1777"/>
      <c r="CM31" s="1777"/>
      <c r="CN31" s="1777"/>
      <c r="CO31" s="1777"/>
      <c r="CP31" s="1777"/>
      <c r="CQ31" s="1777"/>
      <c r="CR31" s="1777"/>
      <c r="CS31" s="1777"/>
      <c r="CT31" s="1777"/>
      <c r="CU31" s="1777"/>
      <c r="CV31" s="1777"/>
      <c r="CW31" s="1777"/>
      <c r="CX31" s="1777"/>
      <c r="CY31" s="1777"/>
      <c r="CZ31" s="1777"/>
      <c r="DA31" s="1777"/>
      <c r="DB31" s="1777"/>
      <c r="DC31" s="1777"/>
      <c r="DD31" s="1777"/>
      <c r="DE31" s="1777"/>
      <c r="DF31" s="1777"/>
      <c r="DG31" s="1777"/>
      <c r="DH31" s="1777"/>
      <c r="DI31" s="1777"/>
      <c r="DJ31" s="1777"/>
      <c r="DK31" s="1777"/>
      <c r="DL31" s="1777"/>
      <c r="DM31" s="1777"/>
      <c r="DN31" s="1777"/>
      <c r="DO31" s="1777"/>
      <c r="DP31" s="1777"/>
      <c r="DQ31" s="1777"/>
      <c r="DR31" s="1777"/>
      <c r="DS31" s="1777"/>
      <c r="DT31" s="1777"/>
      <c r="DU31" s="1777"/>
      <c r="DV31" s="1777"/>
      <c r="DW31" s="1777"/>
      <c r="DX31" s="1779"/>
      <c r="DY31" s="1779"/>
      <c r="DZ31" s="1779"/>
      <c r="EA31" s="1779"/>
      <c r="EB31" s="1779"/>
      <c r="EC31" s="1779"/>
      <c r="ED31" s="1779"/>
      <c r="EE31" s="1779"/>
      <c r="EF31" s="1779"/>
      <c r="EG31" s="1779"/>
      <c r="EH31" s="1779"/>
      <c r="EI31" s="1779"/>
      <c r="EJ31" s="1779"/>
      <c r="EK31" s="1779"/>
      <c r="EL31" s="1779"/>
      <c r="EM31" s="1779"/>
      <c r="EN31" s="1779"/>
      <c r="EO31" s="1779"/>
      <c r="EP31" s="1779"/>
      <c r="EQ31" s="1779"/>
      <c r="ER31" s="1779"/>
      <c r="ES31" s="1779"/>
      <c r="ET31" s="1779"/>
      <c r="EU31" s="1779"/>
      <c r="EV31" s="1779"/>
      <c r="EW31" s="1779"/>
      <c r="EX31" s="1779"/>
      <c r="EY31" s="1779"/>
      <c r="EZ31" s="1779"/>
      <c r="FA31" s="1779"/>
      <c r="FB31" s="1779"/>
      <c r="FC31" s="1779"/>
      <c r="FD31" s="1779"/>
      <c r="FE31" s="1779"/>
      <c r="FF31" s="1779"/>
      <c r="FG31" s="1779"/>
      <c r="FH31" s="1779"/>
      <c r="FI31" s="1779"/>
      <c r="FJ31" s="1779"/>
      <c r="FK31" s="1779"/>
      <c r="FL31" s="1779"/>
      <c r="FM31" s="1779"/>
      <c r="FN31" s="1779"/>
      <c r="FO31" s="1779"/>
      <c r="FP31" s="1779"/>
      <c r="FQ31" s="1779"/>
      <c r="FR31" s="1779"/>
      <c r="FS31" s="1779"/>
      <c r="FT31" s="1779"/>
      <c r="FU31" s="1779"/>
      <c r="FV31" s="1779"/>
      <c r="FW31" s="1779"/>
      <c r="FX31" s="1779"/>
      <c r="FY31" s="1779"/>
      <c r="FZ31" s="1779"/>
      <c r="GA31" s="1779"/>
      <c r="XES31" s="1780"/>
      <c r="XET31" s="1780"/>
      <c r="XEU31" s="1780"/>
      <c r="XEV31" s="1780"/>
      <c r="XEW31" s="1780"/>
      <c r="XEX31" s="1780"/>
      <c r="XEY31" s="1780"/>
      <c r="XEZ31" s="1780"/>
      <c r="XFA31" s="1780"/>
      <c r="XFB31" s="1780"/>
      <c r="XFC31" s="1780"/>
      <c r="XFD31" s="1780"/>
    </row>
    <row r="32" s="1663" customFormat="1" ht="36" customHeight="1" spans="1:16384">
      <c r="A32" s="1693">
        <v>45797</v>
      </c>
      <c r="B32" s="1694" t="s">
        <v>1612</v>
      </c>
      <c r="C32" s="1695" t="s">
        <v>1613</v>
      </c>
      <c r="D32" s="1696">
        <v>4500159874</v>
      </c>
      <c r="E32" s="1694" t="s">
        <v>1614</v>
      </c>
      <c r="F32" s="1696" t="s">
        <v>1615</v>
      </c>
      <c r="G32" s="1697" t="s">
        <v>1616</v>
      </c>
      <c r="H32" s="1697" t="s">
        <v>1617</v>
      </c>
      <c r="I32" s="1704" t="s">
        <v>1618</v>
      </c>
      <c r="J32" s="1697">
        <v>328</v>
      </c>
      <c r="K32" s="1697">
        <v>0</v>
      </c>
      <c r="L32" s="1697">
        <v>8</v>
      </c>
      <c r="M32" s="1705">
        <f t="shared" si="0"/>
        <v>41</v>
      </c>
      <c r="N32" s="1706">
        <v>45841</v>
      </c>
      <c r="O32" s="1707">
        <v>45838</v>
      </c>
      <c r="P32" s="1710"/>
      <c r="Q32" s="1723" t="s">
        <v>56</v>
      </c>
      <c r="R32" s="1708"/>
      <c r="S32" s="1710" t="s">
        <v>1619</v>
      </c>
      <c r="T32" s="1724"/>
      <c r="U32" s="1724" t="s">
        <v>1620</v>
      </c>
      <c r="V32" s="1718" t="s">
        <v>1621</v>
      </c>
      <c r="W32" s="1719" t="s">
        <v>1622</v>
      </c>
      <c r="X32" s="1720" t="s">
        <v>1623</v>
      </c>
      <c r="Y32" s="1739">
        <v>1.5174</v>
      </c>
      <c r="Z32" s="1740">
        <f t="shared" si="1"/>
        <v>497.7072</v>
      </c>
      <c r="AA32" s="1741"/>
      <c r="AB32" s="1741" t="s">
        <v>1624</v>
      </c>
      <c r="AC32" s="1746" t="e">
        <f t="shared" si="6"/>
        <v>#VALUE!</v>
      </c>
      <c r="AD32" s="1741" t="s">
        <v>1499</v>
      </c>
      <c r="AE32" s="1742" t="s">
        <v>63</v>
      </c>
      <c r="AF32" s="1742"/>
      <c r="AG32" s="1720">
        <f>J32</f>
        <v>328</v>
      </c>
      <c r="AH32" s="1720"/>
      <c r="AI32" s="1754"/>
      <c r="AJ32" s="1755"/>
      <c r="AK32" s="1756"/>
      <c r="AL32" s="1756"/>
      <c r="AM32" s="1756"/>
      <c r="AN32" s="1756"/>
      <c r="AO32" s="1771">
        <f t="shared" ref="AO32:AO38" si="16">J32</f>
        <v>328</v>
      </c>
      <c r="AP32" s="1771">
        <f t="shared" ref="AP32:AP38" si="17">J32</f>
        <v>328</v>
      </c>
      <c r="AQ32" s="1772"/>
      <c r="AR32" s="1773"/>
      <c r="AS32" s="1754"/>
      <c r="AT32" s="1773"/>
      <c r="AU32" s="1774"/>
      <c r="AV32" s="1775"/>
      <c r="AW32" s="1777"/>
      <c r="AX32" s="1777"/>
      <c r="AY32" s="1777"/>
      <c r="AZ32" s="1777"/>
      <c r="BA32" s="1777"/>
      <c r="BB32" s="1777"/>
      <c r="BC32" s="1777"/>
      <c r="BD32" s="1777"/>
      <c r="BE32" s="1777"/>
      <c r="BF32" s="1777"/>
      <c r="BG32" s="1777"/>
      <c r="BH32" s="1777"/>
      <c r="BI32" s="1777"/>
      <c r="BJ32" s="1777"/>
      <c r="BK32" s="1777"/>
      <c r="BL32" s="1777"/>
      <c r="BM32" s="1777"/>
      <c r="BN32" s="1777"/>
      <c r="BO32" s="1777"/>
      <c r="BP32" s="1777"/>
      <c r="BQ32" s="1777"/>
      <c r="BR32" s="1777"/>
      <c r="BS32" s="1777"/>
      <c r="BT32" s="1777"/>
      <c r="BU32" s="1777"/>
      <c r="BV32" s="1777"/>
      <c r="BW32" s="1777"/>
      <c r="BX32" s="1777"/>
      <c r="BY32" s="1777"/>
      <c r="BZ32" s="1777"/>
      <c r="CA32" s="1777"/>
      <c r="CB32" s="1777"/>
      <c r="CC32" s="1777"/>
      <c r="CD32" s="1777"/>
      <c r="CE32" s="1777"/>
      <c r="CF32" s="1777"/>
      <c r="CG32" s="1777"/>
      <c r="CH32" s="1777"/>
      <c r="CI32" s="1777"/>
      <c r="CJ32" s="1777"/>
      <c r="CK32" s="1777"/>
      <c r="CL32" s="1777"/>
      <c r="CM32" s="1777"/>
      <c r="CN32" s="1777"/>
      <c r="CO32" s="1777"/>
      <c r="CP32" s="1777"/>
      <c r="CQ32" s="1777"/>
      <c r="CR32" s="1777"/>
      <c r="CS32" s="1777"/>
      <c r="CT32" s="1777"/>
      <c r="CU32" s="1777"/>
      <c r="CV32" s="1777"/>
      <c r="CW32" s="1777"/>
      <c r="CX32" s="1777"/>
      <c r="CY32" s="1777"/>
      <c r="CZ32" s="1777"/>
      <c r="DA32" s="1777"/>
      <c r="DB32" s="1777"/>
      <c r="DC32" s="1777"/>
      <c r="DD32" s="1777"/>
      <c r="DE32" s="1777"/>
      <c r="DF32" s="1777"/>
      <c r="DG32" s="1777"/>
      <c r="DH32" s="1777"/>
      <c r="DI32" s="1777"/>
      <c r="DJ32" s="1777"/>
      <c r="DK32" s="1777"/>
      <c r="DL32" s="1777"/>
      <c r="DM32" s="1777"/>
      <c r="DN32" s="1777"/>
      <c r="DO32" s="1777"/>
      <c r="DP32" s="1777"/>
      <c r="DQ32" s="1777"/>
      <c r="DR32" s="1777"/>
      <c r="DS32" s="1777"/>
      <c r="DT32" s="1777"/>
      <c r="DU32" s="1777"/>
      <c r="DV32" s="1777"/>
      <c r="DW32" s="1777"/>
      <c r="DX32" s="1779"/>
      <c r="DY32" s="1779"/>
      <c r="DZ32" s="1779"/>
      <c r="EA32" s="1779"/>
      <c r="EB32" s="1779"/>
      <c r="EC32" s="1779"/>
      <c r="ED32" s="1779"/>
      <c r="EE32" s="1779"/>
      <c r="EF32" s="1779"/>
      <c r="EG32" s="1779"/>
      <c r="EH32" s="1779"/>
      <c r="EI32" s="1779"/>
      <c r="EJ32" s="1779"/>
      <c r="EK32" s="1779"/>
      <c r="EL32" s="1779"/>
      <c r="EM32" s="1779"/>
      <c r="EN32" s="1779"/>
      <c r="EO32" s="1779"/>
      <c r="EP32" s="1779"/>
      <c r="EQ32" s="1779"/>
      <c r="ER32" s="1779"/>
      <c r="ES32" s="1779"/>
      <c r="ET32" s="1779"/>
      <c r="EU32" s="1779"/>
      <c r="EV32" s="1779"/>
      <c r="EW32" s="1779"/>
      <c r="EX32" s="1779"/>
      <c r="EY32" s="1779"/>
      <c r="EZ32" s="1779"/>
      <c r="FA32" s="1779"/>
      <c r="FB32" s="1779"/>
      <c r="FC32" s="1779"/>
      <c r="FD32" s="1779"/>
      <c r="FE32" s="1779"/>
      <c r="FF32" s="1779"/>
      <c r="FG32" s="1779"/>
      <c r="FH32" s="1779"/>
      <c r="FI32" s="1779"/>
      <c r="FJ32" s="1779"/>
      <c r="FK32" s="1779"/>
      <c r="FL32" s="1779"/>
      <c r="FM32" s="1779"/>
      <c r="FN32" s="1779"/>
      <c r="FO32" s="1779"/>
      <c r="FP32" s="1779"/>
      <c r="FQ32" s="1779"/>
      <c r="FR32" s="1779"/>
      <c r="FS32" s="1779"/>
      <c r="FT32" s="1779"/>
      <c r="FU32" s="1779"/>
      <c r="FV32" s="1779"/>
      <c r="FW32" s="1779"/>
      <c r="FX32" s="1779"/>
      <c r="FY32" s="1779"/>
      <c r="FZ32" s="1779"/>
      <c r="GA32" s="1779"/>
      <c r="XES32" s="1780"/>
      <c r="XET32" s="1780"/>
      <c r="XEU32" s="1780"/>
      <c r="XEV32" s="1780"/>
      <c r="XEW32" s="1780"/>
      <c r="XEX32" s="1780"/>
      <c r="XEY32" s="1780"/>
      <c r="XEZ32" s="1780"/>
      <c r="XFA32" s="1780"/>
      <c r="XFB32" s="1780"/>
      <c r="XFC32" s="1780"/>
      <c r="XFD32" s="1780"/>
    </row>
    <row r="33" s="1663" customFormat="1" ht="36" customHeight="1" spans="1:16384">
      <c r="A33" s="1693">
        <v>45797</v>
      </c>
      <c r="B33" s="1694" t="s">
        <v>1612</v>
      </c>
      <c r="C33" s="1695" t="s">
        <v>1613</v>
      </c>
      <c r="D33" s="1696">
        <v>4500159874</v>
      </c>
      <c r="E33" s="1694" t="s">
        <v>1614</v>
      </c>
      <c r="F33" s="1696" t="s">
        <v>1625</v>
      </c>
      <c r="G33" s="1697" t="s">
        <v>1626</v>
      </c>
      <c r="H33" s="1697" t="s">
        <v>1627</v>
      </c>
      <c r="I33" s="1704" t="s">
        <v>1618</v>
      </c>
      <c r="J33" s="1697">
        <v>488</v>
      </c>
      <c r="K33" s="1697">
        <v>0</v>
      </c>
      <c r="L33" s="1697">
        <v>8</v>
      </c>
      <c r="M33" s="1705">
        <f t="shared" si="0"/>
        <v>61</v>
      </c>
      <c r="N33" s="1706">
        <v>45841</v>
      </c>
      <c r="O33" s="1707">
        <v>45838</v>
      </c>
      <c r="P33" s="1710"/>
      <c r="Q33" s="1723" t="s">
        <v>56</v>
      </c>
      <c r="R33" s="1708"/>
      <c r="S33" s="1710" t="s">
        <v>1619</v>
      </c>
      <c r="T33" s="1724"/>
      <c r="U33" s="1724" t="s">
        <v>1620</v>
      </c>
      <c r="V33" s="1718" t="s">
        <v>1621</v>
      </c>
      <c r="W33" s="1719" t="s">
        <v>1622</v>
      </c>
      <c r="X33" s="1720" t="s">
        <v>1623</v>
      </c>
      <c r="Y33" s="1739">
        <v>1.5174</v>
      </c>
      <c r="Z33" s="1740">
        <f t="shared" si="1"/>
        <v>740.4912</v>
      </c>
      <c r="AA33" s="1741"/>
      <c r="AB33" s="1741" t="s">
        <v>1624</v>
      </c>
      <c r="AC33" s="1746" t="e">
        <f t="shared" si="6"/>
        <v>#VALUE!</v>
      </c>
      <c r="AD33" s="1741" t="s">
        <v>1499</v>
      </c>
      <c r="AE33" s="1742" t="s">
        <v>63</v>
      </c>
      <c r="AF33" s="1742"/>
      <c r="AG33" s="1720"/>
      <c r="AH33" s="1720">
        <f>J33</f>
        <v>488</v>
      </c>
      <c r="AI33" s="1754"/>
      <c r="AJ33" s="1755"/>
      <c r="AK33" s="1756"/>
      <c r="AL33" s="1756"/>
      <c r="AM33" s="1756"/>
      <c r="AN33" s="1756"/>
      <c r="AO33" s="1771">
        <f t="shared" si="16"/>
        <v>488</v>
      </c>
      <c r="AP33" s="1771">
        <f t="shared" si="17"/>
        <v>488</v>
      </c>
      <c r="AQ33" s="1772"/>
      <c r="AR33" s="1773"/>
      <c r="AS33" s="1754"/>
      <c r="AT33" s="1773"/>
      <c r="AU33" s="1774"/>
      <c r="AV33" s="1775"/>
      <c r="AW33" s="1777"/>
      <c r="AX33" s="1777"/>
      <c r="AY33" s="1777"/>
      <c r="AZ33" s="1777"/>
      <c r="BA33" s="1777"/>
      <c r="BB33" s="1777"/>
      <c r="BC33" s="1777"/>
      <c r="BD33" s="1777"/>
      <c r="BE33" s="1777"/>
      <c r="BF33" s="1777"/>
      <c r="BG33" s="1777"/>
      <c r="BH33" s="1777"/>
      <c r="BI33" s="1777"/>
      <c r="BJ33" s="1777"/>
      <c r="BK33" s="1777"/>
      <c r="BL33" s="1777"/>
      <c r="BM33" s="1777"/>
      <c r="BN33" s="1777"/>
      <c r="BO33" s="1777"/>
      <c r="BP33" s="1777"/>
      <c r="BQ33" s="1777"/>
      <c r="BR33" s="1777"/>
      <c r="BS33" s="1777"/>
      <c r="BT33" s="1777"/>
      <c r="BU33" s="1777"/>
      <c r="BV33" s="1777"/>
      <c r="BW33" s="1777"/>
      <c r="BX33" s="1777"/>
      <c r="BY33" s="1777"/>
      <c r="BZ33" s="1777"/>
      <c r="CA33" s="1777"/>
      <c r="CB33" s="1777"/>
      <c r="CC33" s="1777"/>
      <c r="CD33" s="1777"/>
      <c r="CE33" s="1777"/>
      <c r="CF33" s="1777"/>
      <c r="CG33" s="1777"/>
      <c r="CH33" s="1777"/>
      <c r="CI33" s="1777"/>
      <c r="CJ33" s="1777"/>
      <c r="CK33" s="1777"/>
      <c r="CL33" s="1777"/>
      <c r="CM33" s="1777"/>
      <c r="CN33" s="1777"/>
      <c r="CO33" s="1777"/>
      <c r="CP33" s="1777"/>
      <c r="CQ33" s="1777"/>
      <c r="CR33" s="1777"/>
      <c r="CS33" s="1777"/>
      <c r="CT33" s="1777"/>
      <c r="CU33" s="1777"/>
      <c r="CV33" s="1777"/>
      <c r="CW33" s="1777"/>
      <c r="CX33" s="1777"/>
      <c r="CY33" s="1777"/>
      <c r="CZ33" s="1777"/>
      <c r="DA33" s="1777"/>
      <c r="DB33" s="1777"/>
      <c r="DC33" s="1777"/>
      <c r="DD33" s="1777"/>
      <c r="DE33" s="1777"/>
      <c r="DF33" s="1777"/>
      <c r="DG33" s="1777"/>
      <c r="DH33" s="1777"/>
      <c r="DI33" s="1777"/>
      <c r="DJ33" s="1777"/>
      <c r="DK33" s="1777"/>
      <c r="DL33" s="1777"/>
      <c r="DM33" s="1777"/>
      <c r="DN33" s="1777"/>
      <c r="DO33" s="1777"/>
      <c r="DP33" s="1777"/>
      <c r="DQ33" s="1777"/>
      <c r="DR33" s="1777"/>
      <c r="DS33" s="1777"/>
      <c r="DT33" s="1777"/>
      <c r="DU33" s="1777"/>
      <c r="DV33" s="1777"/>
      <c r="DW33" s="1777"/>
      <c r="DX33" s="1779"/>
      <c r="DY33" s="1779"/>
      <c r="DZ33" s="1779"/>
      <c r="EA33" s="1779"/>
      <c r="EB33" s="1779"/>
      <c r="EC33" s="1779"/>
      <c r="ED33" s="1779"/>
      <c r="EE33" s="1779"/>
      <c r="EF33" s="1779"/>
      <c r="EG33" s="1779"/>
      <c r="EH33" s="1779"/>
      <c r="EI33" s="1779"/>
      <c r="EJ33" s="1779"/>
      <c r="EK33" s="1779"/>
      <c r="EL33" s="1779"/>
      <c r="EM33" s="1779"/>
      <c r="EN33" s="1779"/>
      <c r="EO33" s="1779"/>
      <c r="EP33" s="1779"/>
      <c r="EQ33" s="1779"/>
      <c r="ER33" s="1779"/>
      <c r="ES33" s="1779"/>
      <c r="ET33" s="1779"/>
      <c r="EU33" s="1779"/>
      <c r="EV33" s="1779"/>
      <c r="EW33" s="1779"/>
      <c r="EX33" s="1779"/>
      <c r="EY33" s="1779"/>
      <c r="EZ33" s="1779"/>
      <c r="FA33" s="1779"/>
      <c r="FB33" s="1779"/>
      <c r="FC33" s="1779"/>
      <c r="FD33" s="1779"/>
      <c r="FE33" s="1779"/>
      <c r="FF33" s="1779"/>
      <c r="FG33" s="1779"/>
      <c r="FH33" s="1779"/>
      <c r="FI33" s="1779"/>
      <c r="FJ33" s="1779"/>
      <c r="FK33" s="1779"/>
      <c r="FL33" s="1779"/>
      <c r="FM33" s="1779"/>
      <c r="FN33" s="1779"/>
      <c r="FO33" s="1779"/>
      <c r="FP33" s="1779"/>
      <c r="FQ33" s="1779"/>
      <c r="FR33" s="1779"/>
      <c r="FS33" s="1779"/>
      <c r="FT33" s="1779"/>
      <c r="FU33" s="1779"/>
      <c r="FV33" s="1779"/>
      <c r="FW33" s="1779"/>
      <c r="FX33" s="1779"/>
      <c r="FY33" s="1779"/>
      <c r="FZ33" s="1779"/>
      <c r="GA33" s="1779"/>
      <c r="XES33" s="1780"/>
      <c r="XET33" s="1780"/>
      <c r="XEU33" s="1780"/>
      <c r="XEV33" s="1780"/>
      <c r="XEW33" s="1780"/>
      <c r="XEX33" s="1780"/>
      <c r="XEY33" s="1780"/>
      <c r="XEZ33" s="1780"/>
      <c r="XFA33" s="1780"/>
      <c r="XFB33" s="1780"/>
      <c r="XFC33" s="1780"/>
      <c r="XFD33" s="1780"/>
    </row>
    <row r="34" s="1663" customFormat="1" ht="36" customHeight="1" spans="1:16384">
      <c r="A34" s="1693">
        <v>45797</v>
      </c>
      <c r="B34" s="1694" t="s">
        <v>1612</v>
      </c>
      <c r="C34" s="1695" t="s">
        <v>1613</v>
      </c>
      <c r="D34" s="1696">
        <v>4500159874</v>
      </c>
      <c r="E34" s="1694" t="s">
        <v>1614</v>
      </c>
      <c r="F34" s="1696" t="s">
        <v>1628</v>
      </c>
      <c r="G34" s="1697" t="s">
        <v>1629</v>
      </c>
      <c r="H34" s="1697" t="s">
        <v>1630</v>
      </c>
      <c r="I34" s="1704" t="s">
        <v>1618</v>
      </c>
      <c r="J34" s="1697">
        <v>488</v>
      </c>
      <c r="K34" s="1697">
        <v>0</v>
      </c>
      <c r="L34" s="1697">
        <v>8</v>
      </c>
      <c r="M34" s="1705">
        <f t="shared" si="0"/>
        <v>61</v>
      </c>
      <c r="N34" s="1706">
        <v>45841</v>
      </c>
      <c r="O34" s="1707">
        <v>45838</v>
      </c>
      <c r="P34" s="1710"/>
      <c r="Q34" s="1723" t="s">
        <v>56</v>
      </c>
      <c r="R34" s="1708"/>
      <c r="S34" s="1710" t="s">
        <v>1619</v>
      </c>
      <c r="T34" s="1724"/>
      <c r="U34" s="1724" t="s">
        <v>1620</v>
      </c>
      <c r="V34" s="1718" t="s">
        <v>1621</v>
      </c>
      <c r="W34" s="1719" t="s">
        <v>1622</v>
      </c>
      <c r="X34" s="1720" t="s">
        <v>1623</v>
      </c>
      <c r="Y34" s="1739">
        <v>1.5174</v>
      </c>
      <c r="Z34" s="1740">
        <f t="shared" si="1"/>
        <v>740.4912</v>
      </c>
      <c r="AA34" s="1741"/>
      <c r="AB34" s="1741" t="s">
        <v>1624</v>
      </c>
      <c r="AC34" s="1746" t="e">
        <f t="shared" si="6"/>
        <v>#VALUE!</v>
      </c>
      <c r="AD34" s="1741" t="s">
        <v>1499</v>
      </c>
      <c r="AE34" s="1742" t="s">
        <v>63</v>
      </c>
      <c r="AF34" s="1742"/>
      <c r="AG34" s="1720"/>
      <c r="AH34" s="1720"/>
      <c r="AI34" s="1754">
        <f>J34</f>
        <v>488</v>
      </c>
      <c r="AJ34" s="1755"/>
      <c r="AK34" s="1756"/>
      <c r="AL34" s="1756"/>
      <c r="AM34" s="1756"/>
      <c r="AN34" s="1756"/>
      <c r="AO34" s="1771">
        <f t="shared" si="16"/>
        <v>488</v>
      </c>
      <c r="AP34" s="1771">
        <f t="shared" si="17"/>
        <v>488</v>
      </c>
      <c r="AQ34" s="1772"/>
      <c r="AR34" s="1773"/>
      <c r="AS34" s="1754"/>
      <c r="AT34" s="1773"/>
      <c r="AU34" s="1774"/>
      <c r="AV34" s="1775"/>
      <c r="AW34" s="1777"/>
      <c r="AX34" s="1777"/>
      <c r="AY34" s="1777"/>
      <c r="AZ34" s="1777"/>
      <c r="BA34" s="1777"/>
      <c r="BB34" s="1777"/>
      <c r="BC34" s="1777"/>
      <c r="BD34" s="1777"/>
      <c r="BE34" s="1777"/>
      <c r="BF34" s="1777"/>
      <c r="BG34" s="1777"/>
      <c r="BH34" s="1777"/>
      <c r="BI34" s="1777"/>
      <c r="BJ34" s="1777"/>
      <c r="BK34" s="1777"/>
      <c r="BL34" s="1777"/>
      <c r="BM34" s="1777"/>
      <c r="BN34" s="1777"/>
      <c r="BO34" s="1777"/>
      <c r="BP34" s="1777"/>
      <c r="BQ34" s="1777"/>
      <c r="BR34" s="1777"/>
      <c r="BS34" s="1777"/>
      <c r="BT34" s="1777"/>
      <c r="BU34" s="1777"/>
      <c r="BV34" s="1777"/>
      <c r="BW34" s="1777"/>
      <c r="BX34" s="1777"/>
      <c r="BY34" s="1777"/>
      <c r="BZ34" s="1777"/>
      <c r="CA34" s="1777"/>
      <c r="CB34" s="1777"/>
      <c r="CC34" s="1777"/>
      <c r="CD34" s="1777"/>
      <c r="CE34" s="1777"/>
      <c r="CF34" s="1777"/>
      <c r="CG34" s="1777"/>
      <c r="CH34" s="1777"/>
      <c r="CI34" s="1777"/>
      <c r="CJ34" s="1777"/>
      <c r="CK34" s="1777"/>
      <c r="CL34" s="1777"/>
      <c r="CM34" s="1777"/>
      <c r="CN34" s="1777"/>
      <c r="CO34" s="1777"/>
      <c r="CP34" s="1777"/>
      <c r="CQ34" s="1777"/>
      <c r="CR34" s="1777"/>
      <c r="CS34" s="1777"/>
      <c r="CT34" s="1777"/>
      <c r="CU34" s="1777"/>
      <c r="CV34" s="1777"/>
      <c r="CW34" s="1777"/>
      <c r="CX34" s="1777"/>
      <c r="CY34" s="1777"/>
      <c r="CZ34" s="1777"/>
      <c r="DA34" s="1777"/>
      <c r="DB34" s="1777"/>
      <c r="DC34" s="1777"/>
      <c r="DD34" s="1777"/>
      <c r="DE34" s="1777"/>
      <c r="DF34" s="1777"/>
      <c r="DG34" s="1777"/>
      <c r="DH34" s="1777"/>
      <c r="DI34" s="1777"/>
      <c r="DJ34" s="1777"/>
      <c r="DK34" s="1777"/>
      <c r="DL34" s="1777"/>
      <c r="DM34" s="1777"/>
      <c r="DN34" s="1777"/>
      <c r="DO34" s="1777"/>
      <c r="DP34" s="1777"/>
      <c r="DQ34" s="1777"/>
      <c r="DR34" s="1777"/>
      <c r="DS34" s="1777"/>
      <c r="DT34" s="1777"/>
      <c r="DU34" s="1777"/>
      <c r="DV34" s="1777"/>
      <c r="DW34" s="1777"/>
      <c r="DX34" s="1779"/>
      <c r="DY34" s="1779"/>
      <c r="DZ34" s="1779"/>
      <c r="EA34" s="1779"/>
      <c r="EB34" s="1779"/>
      <c r="EC34" s="1779"/>
      <c r="ED34" s="1779"/>
      <c r="EE34" s="1779"/>
      <c r="EF34" s="1779"/>
      <c r="EG34" s="1779"/>
      <c r="EH34" s="1779"/>
      <c r="EI34" s="1779"/>
      <c r="EJ34" s="1779"/>
      <c r="EK34" s="1779"/>
      <c r="EL34" s="1779"/>
      <c r="EM34" s="1779"/>
      <c r="EN34" s="1779"/>
      <c r="EO34" s="1779"/>
      <c r="EP34" s="1779"/>
      <c r="EQ34" s="1779"/>
      <c r="ER34" s="1779"/>
      <c r="ES34" s="1779"/>
      <c r="ET34" s="1779"/>
      <c r="EU34" s="1779"/>
      <c r="EV34" s="1779"/>
      <c r="EW34" s="1779"/>
      <c r="EX34" s="1779"/>
      <c r="EY34" s="1779"/>
      <c r="EZ34" s="1779"/>
      <c r="FA34" s="1779"/>
      <c r="FB34" s="1779"/>
      <c r="FC34" s="1779"/>
      <c r="FD34" s="1779"/>
      <c r="FE34" s="1779"/>
      <c r="FF34" s="1779"/>
      <c r="FG34" s="1779"/>
      <c r="FH34" s="1779"/>
      <c r="FI34" s="1779"/>
      <c r="FJ34" s="1779"/>
      <c r="FK34" s="1779"/>
      <c r="FL34" s="1779"/>
      <c r="FM34" s="1779"/>
      <c r="FN34" s="1779"/>
      <c r="FO34" s="1779"/>
      <c r="FP34" s="1779"/>
      <c r="FQ34" s="1779"/>
      <c r="FR34" s="1779"/>
      <c r="FS34" s="1779"/>
      <c r="FT34" s="1779"/>
      <c r="FU34" s="1779"/>
      <c r="FV34" s="1779"/>
      <c r="FW34" s="1779"/>
      <c r="FX34" s="1779"/>
      <c r="FY34" s="1779"/>
      <c r="FZ34" s="1779"/>
      <c r="GA34" s="1779"/>
      <c r="XES34" s="1780"/>
      <c r="XET34" s="1780"/>
      <c r="XEU34" s="1780"/>
      <c r="XEV34" s="1780"/>
      <c r="XEW34" s="1780"/>
      <c r="XEX34" s="1780"/>
      <c r="XEY34" s="1780"/>
      <c r="XEZ34" s="1780"/>
      <c r="XFA34" s="1780"/>
      <c r="XFB34" s="1780"/>
      <c r="XFC34" s="1780"/>
      <c r="XFD34" s="1780"/>
    </row>
    <row r="35" s="1663" customFormat="1" ht="36" customHeight="1" spans="1:16384">
      <c r="A35" s="1693">
        <v>45797</v>
      </c>
      <c r="B35" s="1694" t="s">
        <v>1612</v>
      </c>
      <c r="C35" s="1695" t="s">
        <v>1631</v>
      </c>
      <c r="D35" s="1696">
        <v>4500159874</v>
      </c>
      <c r="E35" s="1694" t="s">
        <v>1632</v>
      </c>
      <c r="F35" s="1696" t="s">
        <v>1633</v>
      </c>
      <c r="G35" s="1697" t="s">
        <v>1616</v>
      </c>
      <c r="H35" s="1697" t="s">
        <v>1617</v>
      </c>
      <c r="I35" s="1704" t="s">
        <v>1618</v>
      </c>
      <c r="J35" s="1697">
        <v>64</v>
      </c>
      <c r="K35" s="1697">
        <v>0</v>
      </c>
      <c r="L35" s="1697">
        <v>8</v>
      </c>
      <c r="M35" s="1705">
        <f t="shared" si="0"/>
        <v>8</v>
      </c>
      <c r="N35" s="1706">
        <v>45841</v>
      </c>
      <c r="O35" s="1707">
        <v>45838</v>
      </c>
      <c r="P35" s="1710"/>
      <c r="Q35" s="1723" t="s">
        <v>56</v>
      </c>
      <c r="R35" s="1708"/>
      <c r="S35" s="1710" t="s">
        <v>1619</v>
      </c>
      <c r="T35" s="1724"/>
      <c r="U35" s="1724" t="s">
        <v>1620</v>
      </c>
      <c r="V35" s="1718" t="s">
        <v>1621</v>
      </c>
      <c r="W35" s="1719" t="s">
        <v>1622</v>
      </c>
      <c r="X35" s="1720" t="s">
        <v>1623</v>
      </c>
      <c r="Y35" s="1739">
        <v>1.5174</v>
      </c>
      <c r="Z35" s="1740">
        <f t="shared" si="1"/>
        <v>97.1136</v>
      </c>
      <c r="AA35" s="1741"/>
      <c r="AB35" s="1741" t="s">
        <v>1624</v>
      </c>
      <c r="AC35" s="1746" t="e">
        <f t="shared" si="6"/>
        <v>#VALUE!</v>
      </c>
      <c r="AD35" s="1741" t="s">
        <v>1499</v>
      </c>
      <c r="AE35" s="1742" t="s">
        <v>63</v>
      </c>
      <c r="AF35" s="1742"/>
      <c r="AG35" s="1720">
        <f>J35</f>
        <v>64</v>
      </c>
      <c r="AH35" s="1720"/>
      <c r="AI35" s="1754"/>
      <c r="AJ35" s="1755"/>
      <c r="AK35" s="1756"/>
      <c r="AL35" s="1756"/>
      <c r="AM35" s="1756"/>
      <c r="AN35" s="1756"/>
      <c r="AO35" s="1771">
        <f t="shared" si="16"/>
        <v>64</v>
      </c>
      <c r="AP35" s="1771">
        <f t="shared" si="17"/>
        <v>64</v>
      </c>
      <c r="AQ35" s="1772"/>
      <c r="AR35" s="1773"/>
      <c r="AS35" s="1754"/>
      <c r="AT35" s="1773"/>
      <c r="AU35" s="1774"/>
      <c r="AV35" s="1775"/>
      <c r="AW35" s="1777"/>
      <c r="AX35" s="1777"/>
      <c r="AY35" s="1777"/>
      <c r="AZ35" s="1777"/>
      <c r="BA35" s="1777"/>
      <c r="BB35" s="1777"/>
      <c r="BC35" s="1777"/>
      <c r="BD35" s="1777"/>
      <c r="BE35" s="1777"/>
      <c r="BF35" s="1777"/>
      <c r="BG35" s="1777"/>
      <c r="BH35" s="1777"/>
      <c r="BI35" s="1777"/>
      <c r="BJ35" s="1777"/>
      <c r="BK35" s="1777"/>
      <c r="BL35" s="1777"/>
      <c r="BM35" s="1777"/>
      <c r="BN35" s="1777"/>
      <c r="BO35" s="1777"/>
      <c r="BP35" s="1777"/>
      <c r="BQ35" s="1777"/>
      <c r="BR35" s="1777"/>
      <c r="BS35" s="1777"/>
      <c r="BT35" s="1777"/>
      <c r="BU35" s="1777"/>
      <c r="BV35" s="1777"/>
      <c r="BW35" s="1777"/>
      <c r="BX35" s="1777"/>
      <c r="BY35" s="1777"/>
      <c r="BZ35" s="1777"/>
      <c r="CA35" s="1777"/>
      <c r="CB35" s="1777"/>
      <c r="CC35" s="1777"/>
      <c r="CD35" s="1777"/>
      <c r="CE35" s="1777"/>
      <c r="CF35" s="1777"/>
      <c r="CG35" s="1777"/>
      <c r="CH35" s="1777"/>
      <c r="CI35" s="1777"/>
      <c r="CJ35" s="1777"/>
      <c r="CK35" s="1777"/>
      <c r="CL35" s="1777"/>
      <c r="CM35" s="1777"/>
      <c r="CN35" s="1777"/>
      <c r="CO35" s="1777"/>
      <c r="CP35" s="1777"/>
      <c r="CQ35" s="1777"/>
      <c r="CR35" s="1777"/>
      <c r="CS35" s="1777"/>
      <c r="CT35" s="1777"/>
      <c r="CU35" s="1777"/>
      <c r="CV35" s="1777"/>
      <c r="CW35" s="1777"/>
      <c r="CX35" s="1777"/>
      <c r="CY35" s="1777"/>
      <c r="CZ35" s="1777"/>
      <c r="DA35" s="1777"/>
      <c r="DB35" s="1777"/>
      <c r="DC35" s="1777"/>
      <c r="DD35" s="1777"/>
      <c r="DE35" s="1777"/>
      <c r="DF35" s="1777"/>
      <c r="DG35" s="1777"/>
      <c r="DH35" s="1777"/>
      <c r="DI35" s="1777"/>
      <c r="DJ35" s="1777"/>
      <c r="DK35" s="1777"/>
      <c r="DL35" s="1777"/>
      <c r="DM35" s="1777"/>
      <c r="DN35" s="1777"/>
      <c r="DO35" s="1777"/>
      <c r="DP35" s="1777"/>
      <c r="DQ35" s="1777"/>
      <c r="DR35" s="1777"/>
      <c r="DS35" s="1777"/>
      <c r="DT35" s="1777"/>
      <c r="DU35" s="1777"/>
      <c r="DV35" s="1777"/>
      <c r="DW35" s="1777"/>
      <c r="DX35" s="1779"/>
      <c r="DY35" s="1779"/>
      <c r="DZ35" s="1779"/>
      <c r="EA35" s="1779"/>
      <c r="EB35" s="1779"/>
      <c r="EC35" s="1779"/>
      <c r="ED35" s="1779"/>
      <c r="EE35" s="1779"/>
      <c r="EF35" s="1779"/>
      <c r="EG35" s="1779"/>
      <c r="EH35" s="1779"/>
      <c r="EI35" s="1779"/>
      <c r="EJ35" s="1779"/>
      <c r="EK35" s="1779"/>
      <c r="EL35" s="1779"/>
      <c r="EM35" s="1779"/>
      <c r="EN35" s="1779"/>
      <c r="EO35" s="1779"/>
      <c r="EP35" s="1779"/>
      <c r="EQ35" s="1779"/>
      <c r="ER35" s="1779"/>
      <c r="ES35" s="1779"/>
      <c r="ET35" s="1779"/>
      <c r="EU35" s="1779"/>
      <c r="EV35" s="1779"/>
      <c r="EW35" s="1779"/>
      <c r="EX35" s="1779"/>
      <c r="EY35" s="1779"/>
      <c r="EZ35" s="1779"/>
      <c r="FA35" s="1779"/>
      <c r="FB35" s="1779"/>
      <c r="FC35" s="1779"/>
      <c r="FD35" s="1779"/>
      <c r="FE35" s="1779"/>
      <c r="FF35" s="1779"/>
      <c r="FG35" s="1779"/>
      <c r="FH35" s="1779"/>
      <c r="FI35" s="1779"/>
      <c r="FJ35" s="1779"/>
      <c r="FK35" s="1779"/>
      <c r="FL35" s="1779"/>
      <c r="FM35" s="1779"/>
      <c r="FN35" s="1779"/>
      <c r="FO35" s="1779"/>
      <c r="FP35" s="1779"/>
      <c r="FQ35" s="1779"/>
      <c r="FR35" s="1779"/>
      <c r="FS35" s="1779"/>
      <c r="FT35" s="1779"/>
      <c r="FU35" s="1779"/>
      <c r="FV35" s="1779"/>
      <c r="FW35" s="1779"/>
      <c r="FX35" s="1779"/>
      <c r="FY35" s="1779"/>
      <c r="FZ35" s="1779"/>
      <c r="GA35" s="1779"/>
      <c r="XES35" s="1780"/>
      <c r="XET35" s="1780"/>
      <c r="XEU35" s="1780"/>
      <c r="XEV35" s="1780"/>
      <c r="XEW35" s="1780"/>
      <c r="XEX35" s="1780"/>
      <c r="XEY35" s="1780"/>
      <c r="XEZ35" s="1780"/>
      <c r="XFA35" s="1780"/>
      <c r="XFB35" s="1780"/>
      <c r="XFC35" s="1780"/>
      <c r="XFD35" s="1780"/>
    </row>
    <row r="36" s="1663" customFormat="1" ht="36" customHeight="1" spans="1:16384">
      <c r="A36" s="1693">
        <v>45797</v>
      </c>
      <c r="B36" s="1694" t="s">
        <v>1612</v>
      </c>
      <c r="C36" s="1695" t="s">
        <v>1631</v>
      </c>
      <c r="D36" s="1696">
        <v>4500159874</v>
      </c>
      <c r="E36" s="1694" t="s">
        <v>1632</v>
      </c>
      <c r="F36" s="1696" t="s">
        <v>1634</v>
      </c>
      <c r="G36" s="1697" t="s">
        <v>1626</v>
      </c>
      <c r="H36" s="1697" t="s">
        <v>1627</v>
      </c>
      <c r="I36" s="1704" t="s">
        <v>1618</v>
      </c>
      <c r="J36" s="1697">
        <v>96</v>
      </c>
      <c r="K36" s="1697">
        <v>0</v>
      </c>
      <c r="L36" s="1697">
        <v>8</v>
      </c>
      <c r="M36" s="1705">
        <f t="shared" si="0"/>
        <v>12</v>
      </c>
      <c r="N36" s="1706">
        <v>45841</v>
      </c>
      <c r="O36" s="1707">
        <v>45838</v>
      </c>
      <c r="P36" s="1710"/>
      <c r="Q36" s="1723" t="s">
        <v>56</v>
      </c>
      <c r="R36" s="1708"/>
      <c r="S36" s="1710" t="s">
        <v>1619</v>
      </c>
      <c r="T36" s="1724"/>
      <c r="U36" s="1724" t="s">
        <v>1620</v>
      </c>
      <c r="V36" s="1718" t="s">
        <v>1621</v>
      </c>
      <c r="W36" s="1719" t="s">
        <v>1622</v>
      </c>
      <c r="X36" s="1720" t="s">
        <v>1623</v>
      </c>
      <c r="Y36" s="1739">
        <v>1.5174</v>
      </c>
      <c r="Z36" s="1740">
        <f t="shared" si="1"/>
        <v>145.6704</v>
      </c>
      <c r="AA36" s="1741"/>
      <c r="AB36" s="1741" t="s">
        <v>1624</v>
      </c>
      <c r="AC36" s="1746" t="e">
        <f t="shared" si="6"/>
        <v>#VALUE!</v>
      </c>
      <c r="AD36" s="1741" t="s">
        <v>1499</v>
      </c>
      <c r="AE36" s="1742" t="s">
        <v>63</v>
      </c>
      <c r="AF36" s="1742"/>
      <c r="AG36" s="1720"/>
      <c r="AH36" s="1720">
        <f>J36</f>
        <v>96</v>
      </c>
      <c r="AI36" s="1754"/>
      <c r="AJ36" s="1755"/>
      <c r="AK36" s="1756"/>
      <c r="AL36" s="1756"/>
      <c r="AM36" s="1756"/>
      <c r="AN36" s="1756"/>
      <c r="AO36" s="1771">
        <f t="shared" si="16"/>
        <v>96</v>
      </c>
      <c r="AP36" s="1771">
        <f t="shared" si="17"/>
        <v>96</v>
      </c>
      <c r="AQ36" s="1772"/>
      <c r="AR36" s="1773"/>
      <c r="AS36" s="1754"/>
      <c r="AT36" s="1773"/>
      <c r="AU36" s="1774"/>
      <c r="AV36" s="1775"/>
      <c r="AW36" s="1777"/>
      <c r="AX36" s="1777"/>
      <c r="AY36" s="1777"/>
      <c r="AZ36" s="1777"/>
      <c r="BA36" s="1777"/>
      <c r="BB36" s="1777"/>
      <c r="BC36" s="1777"/>
      <c r="BD36" s="1777"/>
      <c r="BE36" s="1777"/>
      <c r="BF36" s="1777"/>
      <c r="BG36" s="1777"/>
      <c r="BH36" s="1777"/>
      <c r="BI36" s="1777"/>
      <c r="BJ36" s="1777"/>
      <c r="BK36" s="1777"/>
      <c r="BL36" s="1777"/>
      <c r="BM36" s="1777"/>
      <c r="BN36" s="1777"/>
      <c r="BO36" s="1777"/>
      <c r="BP36" s="1777"/>
      <c r="BQ36" s="1777"/>
      <c r="BR36" s="1777"/>
      <c r="BS36" s="1777"/>
      <c r="BT36" s="1777"/>
      <c r="BU36" s="1777"/>
      <c r="BV36" s="1777"/>
      <c r="BW36" s="1777"/>
      <c r="BX36" s="1777"/>
      <c r="BY36" s="1777"/>
      <c r="BZ36" s="1777"/>
      <c r="CA36" s="1777"/>
      <c r="CB36" s="1777"/>
      <c r="CC36" s="1777"/>
      <c r="CD36" s="1777"/>
      <c r="CE36" s="1777"/>
      <c r="CF36" s="1777"/>
      <c r="CG36" s="1777"/>
      <c r="CH36" s="1777"/>
      <c r="CI36" s="1777"/>
      <c r="CJ36" s="1777"/>
      <c r="CK36" s="1777"/>
      <c r="CL36" s="1777"/>
      <c r="CM36" s="1777"/>
      <c r="CN36" s="1777"/>
      <c r="CO36" s="1777"/>
      <c r="CP36" s="1777"/>
      <c r="CQ36" s="1777"/>
      <c r="CR36" s="1777"/>
      <c r="CS36" s="1777"/>
      <c r="CT36" s="1777"/>
      <c r="CU36" s="1777"/>
      <c r="CV36" s="1777"/>
      <c r="CW36" s="1777"/>
      <c r="CX36" s="1777"/>
      <c r="CY36" s="1777"/>
      <c r="CZ36" s="1777"/>
      <c r="DA36" s="1777"/>
      <c r="DB36" s="1777"/>
      <c r="DC36" s="1777"/>
      <c r="DD36" s="1777"/>
      <c r="DE36" s="1777"/>
      <c r="DF36" s="1777"/>
      <c r="DG36" s="1777"/>
      <c r="DH36" s="1777"/>
      <c r="DI36" s="1777"/>
      <c r="DJ36" s="1777"/>
      <c r="DK36" s="1777"/>
      <c r="DL36" s="1777"/>
      <c r="DM36" s="1777"/>
      <c r="DN36" s="1777"/>
      <c r="DO36" s="1777"/>
      <c r="DP36" s="1777"/>
      <c r="DQ36" s="1777"/>
      <c r="DR36" s="1777"/>
      <c r="DS36" s="1777"/>
      <c r="DT36" s="1777"/>
      <c r="DU36" s="1777"/>
      <c r="DV36" s="1777"/>
      <c r="DW36" s="1777"/>
      <c r="DX36" s="1779"/>
      <c r="DY36" s="1779"/>
      <c r="DZ36" s="1779"/>
      <c r="EA36" s="1779"/>
      <c r="EB36" s="1779"/>
      <c r="EC36" s="1779"/>
      <c r="ED36" s="1779"/>
      <c r="EE36" s="1779"/>
      <c r="EF36" s="1779"/>
      <c r="EG36" s="1779"/>
      <c r="EH36" s="1779"/>
      <c r="EI36" s="1779"/>
      <c r="EJ36" s="1779"/>
      <c r="EK36" s="1779"/>
      <c r="EL36" s="1779"/>
      <c r="EM36" s="1779"/>
      <c r="EN36" s="1779"/>
      <c r="EO36" s="1779"/>
      <c r="EP36" s="1779"/>
      <c r="EQ36" s="1779"/>
      <c r="ER36" s="1779"/>
      <c r="ES36" s="1779"/>
      <c r="ET36" s="1779"/>
      <c r="EU36" s="1779"/>
      <c r="EV36" s="1779"/>
      <c r="EW36" s="1779"/>
      <c r="EX36" s="1779"/>
      <c r="EY36" s="1779"/>
      <c r="EZ36" s="1779"/>
      <c r="FA36" s="1779"/>
      <c r="FB36" s="1779"/>
      <c r="FC36" s="1779"/>
      <c r="FD36" s="1779"/>
      <c r="FE36" s="1779"/>
      <c r="FF36" s="1779"/>
      <c r="FG36" s="1779"/>
      <c r="FH36" s="1779"/>
      <c r="FI36" s="1779"/>
      <c r="FJ36" s="1779"/>
      <c r="FK36" s="1779"/>
      <c r="FL36" s="1779"/>
      <c r="FM36" s="1779"/>
      <c r="FN36" s="1779"/>
      <c r="FO36" s="1779"/>
      <c r="FP36" s="1779"/>
      <c r="FQ36" s="1779"/>
      <c r="FR36" s="1779"/>
      <c r="FS36" s="1779"/>
      <c r="FT36" s="1779"/>
      <c r="FU36" s="1779"/>
      <c r="FV36" s="1779"/>
      <c r="FW36" s="1779"/>
      <c r="FX36" s="1779"/>
      <c r="FY36" s="1779"/>
      <c r="FZ36" s="1779"/>
      <c r="GA36" s="1779"/>
      <c r="XES36" s="1780"/>
      <c r="XET36" s="1780"/>
      <c r="XEU36" s="1780"/>
      <c r="XEV36" s="1780"/>
      <c r="XEW36" s="1780"/>
      <c r="XEX36" s="1780"/>
      <c r="XEY36" s="1780"/>
      <c r="XEZ36" s="1780"/>
      <c r="XFA36" s="1780"/>
      <c r="XFB36" s="1780"/>
      <c r="XFC36" s="1780"/>
      <c r="XFD36" s="1780"/>
    </row>
    <row r="37" s="1663" customFormat="1" ht="36" customHeight="1" spans="1:16384">
      <c r="A37" s="1693">
        <v>45797</v>
      </c>
      <c r="B37" s="1694" t="s">
        <v>1612</v>
      </c>
      <c r="C37" s="1695" t="s">
        <v>1631</v>
      </c>
      <c r="D37" s="1696">
        <v>4500159874</v>
      </c>
      <c r="E37" s="1694" t="s">
        <v>1632</v>
      </c>
      <c r="F37" s="1696" t="s">
        <v>1635</v>
      </c>
      <c r="G37" s="1697" t="s">
        <v>1629</v>
      </c>
      <c r="H37" s="1697" t="s">
        <v>1630</v>
      </c>
      <c r="I37" s="1704" t="s">
        <v>1618</v>
      </c>
      <c r="J37" s="1697">
        <v>96</v>
      </c>
      <c r="K37" s="1697">
        <v>0</v>
      </c>
      <c r="L37" s="1697">
        <v>8</v>
      </c>
      <c r="M37" s="1705">
        <f t="shared" si="0"/>
        <v>12</v>
      </c>
      <c r="N37" s="1706">
        <v>45841</v>
      </c>
      <c r="O37" s="1707">
        <v>45838</v>
      </c>
      <c r="P37" s="1710"/>
      <c r="Q37" s="1723" t="s">
        <v>56</v>
      </c>
      <c r="R37" s="1708"/>
      <c r="S37" s="1710" t="s">
        <v>1619</v>
      </c>
      <c r="T37" s="1724"/>
      <c r="U37" s="1724" t="s">
        <v>1620</v>
      </c>
      <c r="V37" s="1718" t="s">
        <v>1621</v>
      </c>
      <c r="W37" s="1719" t="s">
        <v>1622</v>
      </c>
      <c r="X37" s="1720" t="s">
        <v>1623</v>
      </c>
      <c r="Y37" s="1739">
        <v>1.5174</v>
      </c>
      <c r="Z37" s="1740">
        <f t="shared" si="1"/>
        <v>145.6704</v>
      </c>
      <c r="AA37" s="1741"/>
      <c r="AB37" s="1741" t="s">
        <v>1624</v>
      </c>
      <c r="AC37" s="1746" t="e">
        <f t="shared" si="6"/>
        <v>#VALUE!</v>
      </c>
      <c r="AD37" s="1741" t="s">
        <v>1499</v>
      </c>
      <c r="AE37" s="1742" t="s">
        <v>63</v>
      </c>
      <c r="AF37" s="1742"/>
      <c r="AG37" s="1720"/>
      <c r="AH37" s="1720"/>
      <c r="AI37" s="1754">
        <f>J37</f>
        <v>96</v>
      </c>
      <c r="AJ37" s="1755"/>
      <c r="AK37" s="1756"/>
      <c r="AL37" s="1756"/>
      <c r="AM37" s="1756"/>
      <c r="AN37" s="1756"/>
      <c r="AO37" s="1771">
        <f t="shared" si="16"/>
        <v>96</v>
      </c>
      <c r="AP37" s="1771">
        <f t="shared" si="17"/>
        <v>96</v>
      </c>
      <c r="AQ37" s="1772"/>
      <c r="AR37" s="1773"/>
      <c r="AS37" s="1754"/>
      <c r="AT37" s="1773"/>
      <c r="AU37" s="1774"/>
      <c r="AV37" s="1775"/>
      <c r="AW37" s="1777"/>
      <c r="AX37" s="1777"/>
      <c r="AY37" s="1777"/>
      <c r="AZ37" s="1777"/>
      <c r="BA37" s="1777"/>
      <c r="BB37" s="1777"/>
      <c r="BC37" s="1777"/>
      <c r="BD37" s="1777"/>
      <c r="BE37" s="1777"/>
      <c r="BF37" s="1777"/>
      <c r="BG37" s="1777"/>
      <c r="BH37" s="1777"/>
      <c r="BI37" s="1777"/>
      <c r="BJ37" s="1777"/>
      <c r="BK37" s="1777"/>
      <c r="BL37" s="1777"/>
      <c r="BM37" s="1777"/>
      <c r="BN37" s="1777"/>
      <c r="BO37" s="1777"/>
      <c r="BP37" s="1777"/>
      <c r="BQ37" s="1777"/>
      <c r="BR37" s="1777"/>
      <c r="BS37" s="1777"/>
      <c r="BT37" s="1777"/>
      <c r="BU37" s="1777"/>
      <c r="BV37" s="1777"/>
      <c r="BW37" s="1777"/>
      <c r="BX37" s="1777"/>
      <c r="BY37" s="1777"/>
      <c r="BZ37" s="1777"/>
      <c r="CA37" s="1777"/>
      <c r="CB37" s="1777"/>
      <c r="CC37" s="1777"/>
      <c r="CD37" s="1777"/>
      <c r="CE37" s="1777"/>
      <c r="CF37" s="1777"/>
      <c r="CG37" s="1777"/>
      <c r="CH37" s="1777"/>
      <c r="CI37" s="1777"/>
      <c r="CJ37" s="1777"/>
      <c r="CK37" s="1777"/>
      <c r="CL37" s="1777"/>
      <c r="CM37" s="1777"/>
      <c r="CN37" s="1777"/>
      <c r="CO37" s="1777"/>
      <c r="CP37" s="1777"/>
      <c r="CQ37" s="1777"/>
      <c r="CR37" s="1777"/>
      <c r="CS37" s="1777"/>
      <c r="CT37" s="1777"/>
      <c r="CU37" s="1777"/>
      <c r="CV37" s="1777"/>
      <c r="CW37" s="1777"/>
      <c r="CX37" s="1777"/>
      <c r="CY37" s="1777"/>
      <c r="CZ37" s="1777"/>
      <c r="DA37" s="1777"/>
      <c r="DB37" s="1777"/>
      <c r="DC37" s="1777"/>
      <c r="DD37" s="1777"/>
      <c r="DE37" s="1777"/>
      <c r="DF37" s="1777"/>
      <c r="DG37" s="1777"/>
      <c r="DH37" s="1777"/>
      <c r="DI37" s="1777"/>
      <c r="DJ37" s="1777"/>
      <c r="DK37" s="1777"/>
      <c r="DL37" s="1777"/>
      <c r="DM37" s="1777"/>
      <c r="DN37" s="1777"/>
      <c r="DO37" s="1777"/>
      <c r="DP37" s="1777"/>
      <c r="DQ37" s="1777"/>
      <c r="DR37" s="1777"/>
      <c r="DS37" s="1777"/>
      <c r="DT37" s="1777"/>
      <c r="DU37" s="1777"/>
      <c r="DV37" s="1777"/>
      <c r="DW37" s="1777"/>
      <c r="DX37" s="1779"/>
      <c r="DY37" s="1779"/>
      <c r="DZ37" s="1779"/>
      <c r="EA37" s="1779"/>
      <c r="EB37" s="1779"/>
      <c r="EC37" s="1779"/>
      <c r="ED37" s="1779"/>
      <c r="EE37" s="1779"/>
      <c r="EF37" s="1779"/>
      <c r="EG37" s="1779"/>
      <c r="EH37" s="1779"/>
      <c r="EI37" s="1779"/>
      <c r="EJ37" s="1779"/>
      <c r="EK37" s="1779"/>
      <c r="EL37" s="1779"/>
      <c r="EM37" s="1779"/>
      <c r="EN37" s="1779"/>
      <c r="EO37" s="1779"/>
      <c r="EP37" s="1779"/>
      <c r="EQ37" s="1779"/>
      <c r="ER37" s="1779"/>
      <c r="ES37" s="1779"/>
      <c r="ET37" s="1779"/>
      <c r="EU37" s="1779"/>
      <c r="EV37" s="1779"/>
      <c r="EW37" s="1779"/>
      <c r="EX37" s="1779"/>
      <c r="EY37" s="1779"/>
      <c r="EZ37" s="1779"/>
      <c r="FA37" s="1779"/>
      <c r="FB37" s="1779"/>
      <c r="FC37" s="1779"/>
      <c r="FD37" s="1779"/>
      <c r="FE37" s="1779"/>
      <c r="FF37" s="1779"/>
      <c r="FG37" s="1779"/>
      <c r="FH37" s="1779"/>
      <c r="FI37" s="1779"/>
      <c r="FJ37" s="1779"/>
      <c r="FK37" s="1779"/>
      <c r="FL37" s="1779"/>
      <c r="FM37" s="1779"/>
      <c r="FN37" s="1779"/>
      <c r="FO37" s="1779"/>
      <c r="FP37" s="1779"/>
      <c r="FQ37" s="1779"/>
      <c r="FR37" s="1779"/>
      <c r="FS37" s="1779"/>
      <c r="FT37" s="1779"/>
      <c r="FU37" s="1779"/>
      <c r="FV37" s="1779"/>
      <c r="FW37" s="1779"/>
      <c r="FX37" s="1779"/>
      <c r="FY37" s="1779"/>
      <c r="FZ37" s="1779"/>
      <c r="GA37" s="1779"/>
      <c r="XES37" s="1780"/>
      <c r="XET37" s="1780"/>
      <c r="XEU37" s="1780"/>
      <c r="XEV37" s="1780"/>
      <c r="XEW37" s="1780"/>
      <c r="XEX37" s="1780"/>
      <c r="XEY37" s="1780"/>
      <c r="XEZ37" s="1780"/>
      <c r="XFA37" s="1780"/>
      <c r="XFB37" s="1780"/>
      <c r="XFC37" s="1780"/>
      <c r="XFD37" s="1780"/>
    </row>
    <row r="38" s="1663" customFormat="1" ht="36" customHeight="1" spans="1:16384">
      <c r="A38" s="1693">
        <v>45729</v>
      </c>
      <c r="B38" s="1694" t="s">
        <v>1636</v>
      </c>
      <c r="C38" s="1695" t="s">
        <v>123</v>
      </c>
      <c r="D38" s="1696">
        <v>4500159874</v>
      </c>
      <c r="E38" s="1694" t="s">
        <v>1637</v>
      </c>
      <c r="F38" s="1696" t="s">
        <v>1638</v>
      </c>
      <c r="G38" s="1697" t="s">
        <v>1639</v>
      </c>
      <c r="H38" s="1697" t="s">
        <v>1640</v>
      </c>
      <c r="I38" s="1704" t="s">
        <v>1641</v>
      </c>
      <c r="J38" s="1697">
        <v>19960</v>
      </c>
      <c r="K38" s="1697">
        <v>0</v>
      </c>
      <c r="L38" s="1697">
        <v>8</v>
      </c>
      <c r="M38" s="1705">
        <f t="shared" si="0"/>
        <v>2495</v>
      </c>
      <c r="N38" s="1706">
        <v>45841</v>
      </c>
      <c r="O38" s="1707">
        <v>45838</v>
      </c>
      <c r="P38" s="1710" t="s">
        <v>1642</v>
      </c>
      <c r="Q38" s="1723" t="s">
        <v>56</v>
      </c>
      <c r="R38" s="1708"/>
      <c r="S38" s="1710" t="s">
        <v>1619</v>
      </c>
      <c r="T38" s="1724"/>
      <c r="U38" s="1724" t="s">
        <v>58</v>
      </c>
      <c r="V38" s="1718" t="s">
        <v>1621</v>
      </c>
      <c r="W38" s="1719" t="s">
        <v>1643</v>
      </c>
      <c r="X38" s="1720" t="s">
        <v>1623</v>
      </c>
      <c r="Y38" s="1739">
        <v>1.2953</v>
      </c>
      <c r="Z38" s="1740">
        <f t="shared" si="1"/>
        <v>25854.188</v>
      </c>
      <c r="AA38" s="1741"/>
      <c r="AB38" s="1741" t="s">
        <v>1624</v>
      </c>
      <c r="AC38" s="1746" t="e">
        <f t="shared" si="6"/>
        <v>#VALUE!</v>
      </c>
      <c r="AD38" s="1741" t="s">
        <v>1485</v>
      </c>
      <c r="AE38" s="1742" t="s">
        <v>63</v>
      </c>
      <c r="AF38" s="1742"/>
      <c r="AG38" s="1720">
        <f>J38/8*2</f>
        <v>4990</v>
      </c>
      <c r="AH38" s="1720">
        <f>J38/8*3</f>
        <v>7485</v>
      </c>
      <c r="AI38" s="1754">
        <f>J38/8*3</f>
        <v>7485</v>
      </c>
      <c r="AJ38" s="1755"/>
      <c r="AK38" s="1756"/>
      <c r="AL38" s="1756"/>
      <c r="AM38" s="1756"/>
      <c r="AN38" s="1756"/>
      <c r="AO38" s="1771">
        <f t="shared" si="16"/>
        <v>19960</v>
      </c>
      <c r="AP38" s="1771">
        <f t="shared" si="17"/>
        <v>19960</v>
      </c>
      <c r="AQ38" s="1772"/>
      <c r="AR38" s="1773"/>
      <c r="AS38" s="1754"/>
      <c r="AT38" s="1773"/>
      <c r="AU38" s="1774"/>
      <c r="AV38" s="1775"/>
      <c r="AW38" s="1777"/>
      <c r="AX38" s="1777"/>
      <c r="AY38" s="1777"/>
      <c r="AZ38" s="1777"/>
      <c r="BA38" s="1777"/>
      <c r="BB38" s="1777"/>
      <c r="BC38" s="1777"/>
      <c r="BD38" s="1777"/>
      <c r="BE38" s="1777"/>
      <c r="BF38" s="1777"/>
      <c r="BG38" s="1777"/>
      <c r="BH38" s="1777"/>
      <c r="BI38" s="1777"/>
      <c r="BJ38" s="1777"/>
      <c r="BK38" s="1777"/>
      <c r="BL38" s="1777"/>
      <c r="BM38" s="1777"/>
      <c r="BN38" s="1777"/>
      <c r="BO38" s="1777"/>
      <c r="BP38" s="1777"/>
      <c r="BQ38" s="1777"/>
      <c r="BR38" s="1777"/>
      <c r="BS38" s="1777"/>
      <c r="BT38" s="1777"/>
      <c r="BU38" s="1777"/>
      <c r="BV38" s="1777"/>
      <c r="BW38" s="1777"/>
      <c r="BX38" s="1777"/>
      <c r="BY38" s="1777"/>
      <c r="BZ38" s="1777"/>
      <c r="CA38" s="1777"/>
      <c r="CB38" s="1777"/>
      <c r="CC38" s="1777"/>
      <c r="CD38" s="1777"/>
      <c r="CE38" s="1777"/>
      <c r="CF38" s="1777"/>
      <c r="CG38" s="1777"/>
      <c r="CH38" s="1777"/>
      <c r="CI38" s="1777"/>
      <c r="CJ38" s="1777"/>
      <c r="CK38" s="1777"/>
      <c r="CL38" s="1777"/>
      <c r="CM38" s="1777"/>
      <c r="CN38" s="1777"/>
      <c r="CO38" s="1777"/>
      <c r="CP38" s="1777"/>
      <c r="CQ38" s="1777"/>
      <c r="CR38" s="1777"/>
      <c r="CS38" s="1777"/>
      <c r="CT38" s="1777"/>
      <c r="CU38" s="1777"/>
      <c r="CV38" s="1777"/>
      <c r="CW38" s="1777"/>
      <c r="CX38" s="1777"/>
      <c r="CY38" s="1777"/>
      <c r="CZ38" s="1777"/>
      <c r="DA38" s="1777"/>
      <c r="DB38" s="1777"/>
      <c r="DC38" s="1777"/>
      <c r="DD38" s="1777"/>
      <c r="DE38" s="1777"/>
      <c r="DF38" s="1777"/>
      <c r="DG38" s="1777"/>
      <c r="DH38" s="1777"/>
      <c r="DI38" s="1777"/>
      <c r="DJ38" s="1777"/>
      <c r="DK38" s="1777"/>
      <c r="DL38" s="1777"/>
      <c r="DM38" s="1777"/>
      <c r="DN38" s="1777"/>
      <c r="DO38" s="1777"/>
      <c r="DP38" s="1777"/>
      <c r="DQ38" s="1777"/>
      <c r="DR38" s="1777"/>
      <c r="DS38" s="1777"/>
      <c r="DT38" s="1777"/>
      <c r="DU38" s="1777"/>
      <c r="DV38" s="1777"/>
      <c r="DW38" s="1777"/>
      <c r="DX38" s="1779"/>
      <c r="DY38" s="1779"/>
      <c r="DZ38" s="1779"/>
      <c r="EA38" s="1779"/>
      <c r="EB38" s="1779"/>
      <c r="EC38" s="1779"/>
      <c r="ED38" s="1779"/>
      <c r="EE38" s="1779"/>
      <c r="EF38" s="1779"/>
      <c r="EG38" s="1779"/>
      <c r="EH38" s="1779"/>
      <c r="EI38" s="1779"/>
      <c r="EJ38" s="1779"/>
      <c r="EK38" s="1779"/>
      <c r="EL38" s="1779"/>
      <c r="EM38" s="1779"/>
      <c r="EN38" s="1779"/>
      <c r="EO38" s="1779"/>
      <c r="EP38" s="1779"/>
      <c r="EQ38" s="1779"/>
      <c r="ER38" s="1779"/>
      <c r="ES38" s="1779"/>
      <c r="ET38" s="1779"/>
      <c r="EU38" s="1779"/>
      <c r="EV38" s="1779"/>
      <c r="EW38" s="1779"/>
      <c r="EX38" s="1779"/>
      <c r="EY38" s="1779"/>
      <c r="EZ38" s="1779"/>
      <c r="FA38" s="1779"/>
      <c r="FB38" s="1779"/>
      <c r="FC38" s="1779"/>
      <c r="FD38" s="1779"/>
      <c r="FE38" s="1779"/>
      <c r="FF38" s="1779"/>
      <c r="FG38" s="1779"/>
      <c r="FH38" s="1779"/>
      <c r="FI38" s="1779"/>
      <c r="FJ38" s="1779"/>
      <c r="FK38" s="1779"/>
      <c r="FL38" s="1779"/>
      <c r="FM38" s="1779"/>
      <c r="FN38" s="1779"/>
      <c r="FO38" s="1779"/>
      <c r="FP38" s="1779"/>
      <c r="FQ38" s="1779"/>
      <c r="FR38" s="1779"/>
      <c r="FS38" s="1779"/>
      <c r="FT38" s="1779"/>
      <c r="FU38" s="1779"/>
      <c r="FV38" s="1779"/>
      <c r="FW38" s="1779"/>
      <c r="FX38" s="1779"/>
      <c r="FY38" s="1779"/>
      <c r="FZ38" s="1779"/>
      <c r="GA38" s="1779"/>
      <c r="XES38" s="1780"/>
      <c r="XET38" s="1780"/>
      <c r="XEU38" s="1780"/>
      <c r="XEV38" s="1780"/>
      <c r="XEW38" s="1780"/>
      <c r="XEX38" s="1780"/>
      <c r="XEY38" s="1780"/>
      <c r="XEZ38" s="1780"/>
      <c r="XFA38" s="1780"/>
      <c r="XFB38" s="1780"/>
      <c r="XFC38" s="1780"/>
      <c r="XFD38" s="1780"/>
    </row>
    <row r="39" s="1663" customFormat="1" ht="36" customHeight="1" spans="1:16384">
      <c r="A39" s="1693">
        <v>45812</v>
      </c>
      <c r="B39" s="1694" t="s">
        <v>777</v>
      </c>
      <c r="C39" s="1695" t="s">
        <v>778</v>
      </c>
      <c r="D39" s="1696">
        <v>4500168910</v>
      </c>
      <c r="E39" s="1694">
        <v>6000056638</v>
      </c>
      <c r="F39" s="1696" t="s">
        <v>1644</v>
      </c>
      <c r="G39" s="1697" t="s">
        <v>1645</v>
      </c>
      <c r="H39" s="1697" t="s">
        <v>1568</v>
      </c>
      <c r="I39" s="1704" t="s">
        <v>1479</v>
      </c>
      <c r="J39" s="1697">
        <v>504</v>
      </c>
      <c r="K39" s="1697">
        <v>0</v>
      </c>
      <c r="L39" s="1697">
        <v>24</v>
      </c>
      <c r="M39" s="1705">
        <f t="shared" si="0"/>
        <v>21</v>
      </c>
      <c r="N39" s="1706">
        <v>45841</v>
      </c>
      <c r="O39" s="1707">
        <v>45846</v>
      </c>
      <c r="P39" s="1710"/>
      <c r="Q39" s="1723" t="s">
        <v>56</v>
      </c>
      <c r="R39" s="1723" t="s">
        <v>780</v>
      </c>
      <c r="S39" s="1710" t="s">
        <v>1646</v>
      </c>
      <c r="T39" s="1724"/>
      <c r="U39" s="1724" t="s">
        <v>1647</v>
      </c>
      <c r="V39" s="1718" t="s">
        <v>1648</v>
      </c>
      <c r="W39" s="1719" t="s">
        <v>1649</v>
      </c>
      <c r="X39" s="1720" t="s">
        <v>785</v>
      </c>
      <c r="Y39" s="1739">
        <v>1.5793</v>
      </c>
      <c r="Z39" s="1740">
        <f t="shared" si="1"/>
        <v>795.9672</v>
      </c>
      <c r="AA39" s="1741" t="s">
        <v>786</v>
      </c>
      <c r="AB39" s="1741">
        <v>504</v>
      </c>
      <c r="AC39" s="1741">
        <f t="shared" si="6"/>
        <v>0</v>
      </c>
      <c r="AD39" s="1741" t="s">
        <v>1499</v>
      </c>
      <c r="AE39" s="1742" t="s">
        <v>63</v>
      </c>
      <c r="AF39" s="1742" t="s">
        <v>38</v>
      </c>
      <c r="AG39" s="1720">
        <f>J39/3</f>
        <v>168</v>
      </c>
      <c r="AH39" s="1720">
        <f>J39/3</f>
        <v>168</v>
      </c>
      <c r="AI39" s="1754">
        <f>J39/3</f>
        <v>168</v>
      </c>
      <c r="AJ39" s="1755"/>
      <c r="AK39" s="1756">
        <f>J39</f>
        <v>504</v>
      </c>
      <c r="AL39" s="1756">
        <f>J39</f>
        <v>504</v>
      </c>
      <c r="AM39" s="1756">
        <f>J39/6</f>
        <v>84</v>
      </c>
      <c r="AN39" s="1756"/>
      <c r="AO39" s="1771"/>
      <c r="AP39" s="1771"/>
      <c r="AQ39" s="1772"/>
      <c r="AR39" s="1773"/>
      <c r="AS39" s="1754"/>
      <c r="AT39" s="1773"/>
      <c r="AU39" s="1774"/>
      <c r="AV39" s="1775"/>
      <c r="AW39" s="1777"/>
      <c r="AX39" s="1777"/>
      <c r="AY39" s="1777"/>
      <c r="AZ39" s="1777"/>
      <c r="BA39" s="1777"/>
      <c r="BB39" s="1777"/>
      <c r="BC39" s="1777"/>
      <c r="BD39" s="1777"/>
      <c r="BE39" s="1777"/>
      <c r="BF39" s="1777"/>
      <c r="BG39" s="1777"/>
      <c r="BH39" s="1777"/>
      <c r="BI39" s="1777"/>
      <c r="BJ39" s="1777"/>
      <c r="BK39" s="1777"/>
      <c r="BL39" s="1777"/>
      <c r="BM39" s="1777"/>
      <c r="BN39" s="1777"/>
      <c r="BO39" s="1777"/>
      <c r="BP39" s="1777"/>
      <c r="BQ39" s="1777"/>
      <c r="BR39" s="1777"/>
      <c r="BS39" s="1777"/>
      <c r="BT39" s="1777"/>
      <c r="BU39" s="1777"/>
      <c r="BV39" s="1777"/>
      <c r="BW39" s="1777"/>
      <c r="BX39" s="1777"/>
      <c r="BY39" s="1777"/>
      <c r="BZ39" s="1777"/>
      <c r="CA39" s="1777"/>
      <c r="CB39" s="1777"/>
      <c r="CC39" s="1777"/>
      <c r="CD39" s="1777"/>
      <c r="CE39" s="1777"/>
      <c r="CF39" s="1777"/>
      <c r="CG39" s="1777"/>
      <c r="CH39" s="1777"/>
      <c r="CI39" s="1777"/>
      <c r="CJ39" s="1777"/>
      <c r="CK39" s="1777"/>
      <c r="CL39" s="1777"/>
      <c r="CM39" s="1777"/>
      <c r="CN39" s="1777"/>
      <c r="CO39" s="1777"/>
      <c r="CP39" s="1777"/>
      <c r="CQ39" s="1777"/>
      <c r="CR39" s="1777"/>
      <c r="CS39" s="1777"/>
      <c r="CT39" s="1777"/>
      <c r="CU39" s="1777"/>
      <c r="CV39" s="1777"/>
      <c r="CW39" s="1777"/>
      <c r="CX39" s="1777"/>
      <c r="CY39" s="1777"/>
      <c r="CZ39" s="1777"/>
      <c r="DA39" s="1777"/>
      <c r="DB39" s="1777"/>
      <c r="DC39" s="1777"/>
      <c r="DD39" s="1777"/>
      <c r="DE39" s="1777"/>
      <c r="DF39" s="1777"/>
      <c r="DG39" s="1777"/>
      <c r="DH39" s="1777"/>
      <c r="DI39" s="1777"/>
      <c r="DJ39" s="1777"/>
      <c r="DK39" s="1777"/>
      <c r="DL39" s="1777"/>
      <c r="DM39" s="1777"/>
      <c r="DN39" s="1777"/>
      <c r="DO39" s="1777"/>
      <c r="DP39" s="1777"/>
      <c r="DQ39" s="1777"/>
      <c r="DR39" s="1777"/>
      <c r="DS39" s="1777"/>
      <c r="DT39" s="1777"/>
      <c r="DU39" s="1777"/>
      <c r="DV39" s="1777"/>
      <c r="DW39" s="1777"/>
      <c r="DX39" s="1779"/>
      <c r="DY39" s="1779"/>
      <c r="DZ39" s="1779"/>
      <c r="EA39" s="1779"/>
      <c r="EB39" s="1779"/>
      <c r="EC39" s="1779"/>
      <c r="ED39" s="1779"/>
      <c r="EE39" s="1779"/>
      <c r="EF39" s="1779"/>
      <c r="EG39" s="1779"/>
      <c r="EH39" s="1779"/>
      <c r="EI39" s="1779"/>
      <c r="EJ39" s="1779"/>
      <c r="EK39" s="1779"/>
      <c r="EL39" s="1779"/>
      <c r="EM39" s="1779"/>
      <c r="EN39" s="1779"/>
      <c r="EO39" s="1779"/>
      <c r="EP39" s="1779"/>
      <c r="EQ39" s="1779"/>
      <c r="ER39" s="1779"/>
      <c r="ES39" s="1779"/>
      <c r="ET39" s="1779"/>
      <c r="EU39" s="1779"/>
      <c r="EV39" s="1779"/>
      <c r="EW39" s="1779"/>
      <c r="EX39" s="1779"/>
      <c r="EY39" s="1779"/>
      <c r="EZ39" s="1779"/>
      <c r="FA39" s="1779"/>
      <c r="FB39" s="1779"/>
      <c r="FC39" s="1779"/>
      <c r="FD39" s="1779"/>
      <c r="FE39" s="1779"/>
      <c r="FF39" s="1779"/>
      <c r="FG39" s="1779"/>
      <c r="FH39" s="1779"/>
      <c r="FI39" s="1779"/>
      <c r="FJ39" s="1779"/>
      <c r="FK39" s="1779"/>
      <c r="FL39" s="1779"/>
      <c r="FM39" s="1779"/>
      <c r="FN39" s="1779"/>
      <c r="FO39" s="1779"/>
      <c r="FP39" s="1779"/>
      <c r="FQ39" s="1779"/>
      <c r="FR39" s="1779"/>
      <c r="FS39" s="1779"/>
      <c r="FT39" s="1779"/>
      <c r="FU39" s="1779"/>
      <c r="FV39" s="1779"/>
      <c r="FW39" s="1779"/>
      <c r="FX39" s="1779"/>
      <c r="FY39" s="1779"/>
      <c r="FZ39" s="1779"/>
      <c r="GA39" s="1779"/>
      <c r="XES39" s="1780"/>
      <c r="XET39" s="1780"/>
      <c r="XEU39" s="1780"/>
      <c r="XEV39" s="1780"/>
      <c r="XEW39" s="1780"/>
      <c r="XEX39" s="1780"/>
      <c r="XEY39" s="1780"/>
      <c r="XEZ39" s="1780"/>
      <c r="XFA39" s="1780"/>
      <c r="XFB39" s="1780"/>
      <c r="XFC39" s="1780"/>
      <c r="XFD39" s="1780"/>
    </row>
    <row r="40" s="1663" customFormat="1" ht="36" customHeight="1" spans="1:16384">
      <c r="A40" s="1693">
        <v>45805</v>
      </c>
      <c r="B40" s="1694" t="s">
        <v>1486</v>
      </c>
      <c r="C40" s="1695" t="s">
        <v>398</v>
      </c>
      <c r="D40" s="1696">
        <v>4500168205</v>
      </c>
      <c r="E40" s="1694" t="s">
        <v>1650</v>
      </c>
      <c r="F40" s="1696" t="s">
        <v>1651</v>
      </c>
      <c r="G40" s="1697" t="s">
        <v>1489</v>
      </c>
      <c r="H40" s="1697" t="s">
        <v>1490</v>
      </c>
      <c r="I40" s="1704" t="s">
        <v>1491</v>
      </c>
      <c r="J40" s="1697">
        <v>54</v>
      </c>
      <c r="K40" s="1697">
        <v>0</v>
      </c>
      <c r="L40" s="1697">
        <v>18</v>
      </c>
      <c r="M40" s="1709">
        <f t="shared" si="0"/>
        <v>3</v>
      </c>
      <c r="N40" s="1706">
        <v>45842</v>
      </c>
      <c r="O40" s="1707">
        <f>N40-4</f>
        <v>45838</v>
      </c>
      <c r="P40" s="1710"/>
      <c r="Q40" s="1723" t="s">
        <v>56</v>
      </c>
      <c r="R40" s="1708"/>
      <c r="S40" s="1710" t="s">
        <v>1652</v>
      </c>
      <c r="T40" s="1724"/>
      <c r="U40" s="1724" t="s">
        <v>1653</v>
      </c>
      <c r="V40" s="1718" t="s">
        <v>1654</v>
      </c>
      <c r="W40" s="1719" t="s">
        <v>1603</v>
      </c>
      <c r="X40" s="1720" t="s">
        <v>220</v>
      </c>
      <c r="Y40" s="1739">
        <v>3.5384</v>
      </c>
      <c r="Z40" s="1740">
        <f t="shared" si="1"/>
        <v>191.0736</v>
      </c>
      <c r="AA40" s="1741" t="s">
        <v>1655</v>
      </c>
      <c r="AB40" s="1741">
        <v>54</v>
      </c>
      <c r="AC40" s="1746">
        <f t="shared" ref="AC40:AC68" si="18">AB40-J40</f>
        <v>0</v>
      </c>
      <c r="AD40" s="1741" t="s">
        <v>1499</v>
      </c>
      <c r="AE40" s="1742" t="s">
        <v>63</v>
      </c>
      <c r="AF40" s="1742" t="s">
        <v>38</v>
      </c>
      <c r="AG40" s="1720">
        <f>J40</f>
        <v>54</v>
      </c>
      <c r="AH40" s="1720">
        <f>J40</f>
        <v>54</v>
      </c>
      <c r="AI40" s="1754">
        <f>J40</f>
        <v>54</v>
      </c>
      <c r="AJ40" s="1755"/>
      <c r="AK40" s="1756"/>
      <c r="AL40" s="1756">
        <f>J40</f>
        <v>54</v>
      </c>
      <c r="AM40" s="1756"/>
      <c r="AN40" s="1756"/>
      <c r="AO40" s="1771"/>
      <c r="AP40" s="1771"/>
      <c r="AQ40" s="1772"/>
      <c r="AR40" s="1773"/>
      <c r="AS40" s="1754"/>
      <c r="AT40" s="1773"/>
      <c r="AU40" s="1774">
        <f>J40</f>
        <v>54</v>
      </c>
      <c r="AV40" s="1775"/>
      <c r="AW40" s="1777"/>
      <c r="AX40" s="1777"/>
      <c r="AY40" s="1777"/>
      <c r="AZ40" s="1777"/>
      <c r="BA40" s="1777"/>
      <c r="BB40" s="1777"/>
      <c r="BC40" s="1777"/>
      <c r="BD40" s="1777"/>
      <c r="BE40" s="1777"/>
      <c r="BF40" s="1777"/>
      <c r="BG40" s="1777"/>
      <c r="BH40" s="1777"/>
      <c r="BI40" s="1777"/>
      <c r="BJ40" s="1777"/>
      <c r="BK40" s="1777"/>
      <c r="BL40" s="1777"/>
      <c r="BM40" s="1777"/>
      <c r="BN40" s="1777"/>
      <c r="BO40" s="1777"/>
      <c r="BP40" s="1777"/>
      <c r="BQ40" s="1777"/>
      <c r="BR40" s="1777"/>
      <c r="BS40" s="1777"/>
      <c r="BT40" s="1777"/>
      <c r="BU40" s="1777"/>
      <c r="BV40" s="1777"/>
      <c r="BW40" s="1777"/>
      <c r="BX40" s="1777"/>
      <c r="BY40" s="1777"/>
      <c r="BZ40" s="1777"/>
      <c r="CA40" s="1777"/>
      <c r="CB40" s="1777"/>
      <c r="CC40" s="1777"/>
      <c r="CD40" s="1777"/>
      <c r="CE40" s="1777"/>
      <c r="CF40" s="1777"/>
      <c r="CG40" s="1777"/>
      <c r="CH40" s="1777"/>
      <c r="CI40" s="1777"/>
      <c r="CJ40" s="1777"/>
      <c r="CK40" s="1777"/>
      <c r="CL40" s="1777"/>
      <c r="CM40" s="1777"/>
      <c r="CN40" s="1777"/>
      <c r="CO40" s="1777"/>
      <c r="CP40" s="1777"/>
      <c r="CQ40" s="1777"/>
      <c r="CR40" s="1777"/>
      <c r="CS40" s="1777"/>
      <c r="CT40" s="1777"/>
      <c r="CU40" s="1777"/>
      <c r="CV40" s="1777"/>
      <c r="CW40" s="1777"/>
      <c r="CX40" s="1777"/>
      <c r="CY40" s="1777"/>
      <c r="CZ40" s="1777"/>
      <c r="DA40" s="1777"/>
      <c r="DB40" s="1777"/>
      <c r="DC40" s="1777"/>
      <c r="DD40" s="1777"/>
      <c r="DE40" s="1777"/>
      <c r="DF40" s="1777"/>
      <c r="DG40" s="1777"/>
      <c r="DH40" s="1777"/>
      <c r="DI40" s="1777"/>
      <c r="DJ40" s="1777"/>
      <c r="DK40" s="1777"/>
      <c r="DL40" s="1777"/>
      <c r="DM40" s="1777"/>
      <c r="DN40" s="1777"/>
      <c r="DO40" s="1777"/>
      <c r="DP40" s="1777"/>
      <c r="DQ40" s="1777"/>
      <c r="DR40" s="1777"/>
      <c r="DS40" s="1777"/>
      <c r="DT40" s="1777"/>
      <c r="DU40" s="1777"/>
      <c r="DV40" s="1777"/>
      <c r="DW40" s="1777"/>
      <c r="DX40" s="1779"/>
      <c r="DY40" s="1779"/>
      <c r="DZ40" s="1779"/>
      <c r="EA40" s="1779"/>
      <c r="EB40" s="1779"/>
      <c r="EC40" s="1779"/>
      <c r="ED40" s="1779"/>
      <c r="EE40" s="1779"/>
      <c r="EF40" s="1779"/>
      <c r="EG40" s="1779"/>
      <c r="EH40" s="1779"/>
      <c r="EI40" s="1779"/>
      <c r="EJ40" s="1779"/>
      <c r="EK40" s="1779"/>
      <c r="EL40" s="1779"/>
      <c r="EM40" s="1779"/>
      <c r="EN40" s="1779"/>
      <c r="EO40" s="1779"/>
      <c r="EP40" s="1779"/>
      <c r="EQ40" s="1779"/>
      <c r="ER40" s="1779"/>
      <c r="ES40" s="1779"/>
      <c r="ET40" s="1779"/>
      <c r="EU40" s="1779"/>
      <c r="EV40" s="1779"/>
      <c r="EW40" s="1779"/>
      <c r="EX40" s="1779"/>
      <c r="EY40" s="1779"/>
      <c r="EZ40" s="1779"/>
      <c r="FA40" s="1779"/>
      <c r="FB40" s="1779"/>
      <c r="FC40" s="1779"/>
      <c r="FD40" s="1779"/>
      <c r="FE40" s="1779"/>
      <c r="FF40" s="1779"/>
      <c r="FG40" s="1779"/>
      <c r="FH40" s="1779"/>
      <c r="FI40" s="1779"/>
      <c r="FJ40" s="1779"/>
      <c r="FK40" s="1779"/>
      <c r="FL40" s="1779"/>
      <c r="FM40" s="1779"/>
      <c r="FN40" s="1779"/>
      <c r="FO40" s="1779"/>
      <c r="FP40" s="1779"/>
      <c r="FQ40" s="1779"/>
      <c r="FR40" s="1779"/>
      <c r="FS40" s="1779"/>
      <c r="FT40" s="1779"/>
      <c r="FU40" s="1779"/>
      <c r="FV40" s="1779"/>
      <c r="FW40" s="1779"/>
      <c r="FX40" s="1779"/>
      <c r="FY40" s="1779"/>
      <c r="FZ40" s="1779"/>
      <c r="GA40" s="1779"/>
      <c r="XES40" s="1780"/>
      <c r="XET40" s="1780"/>
      <c r="XEU40" s="1780"/>
      <c r="XEV40" s="1780"/>
      <c r="XEW40" s="1780"/>
      <c r="XEX40" s="1780"/>
      <c r="XEY40" s="1780"/>
      <c r="XEZ40" s="1780"/>
      <c r="XFA40" s="1780"/>
      <c r="XFB40" s="1780"/>
      <c r="XFC40" s="1780"/>
      <c r="XFD40" s="1780"/>
    </row>
    <row r="41" s="1663" customFormat="1" ht="36" customHeight="1" spans="1:16384">
      <c r="A41" s="1693">
        <v>45818</v>
      </c>
      <c r="B41" s="1694" t="s">
        <v>1656</v>
      </c>
      <c r="C41" s="1695" t="s">
        <v>91</v>
      </c>
      <c r="D41" s="1696">
        <v>4500169495</v>
      </c>
      <c r="E41" s="1694" t="s">
        <v>1650</v>
      </c>
      <c r="F41" s="1696" t="s">
        <v>1657</v>
      </c>
      <c r="G41" s="1697" t="s">
        <v>1489</v>
      </c>
      <c r="H41" s="1697" t="s">
        <v>1658</v>
      </c>
      <c r="I41" s="1704" t="s">
        <v>1491</v>
      </c>
      <c r="J41" s="1697">
        <v>1998</v>
      </c>
      <c r="K41" s="1697">
        <v>0</v>
      </c>
      <c r="L41" s="1697">
        <v>18</v>
      </c>
      <c r="M41" s="1709">
        <f t="shared" si="0"/>
        <v>111</v>
      </c>
      <c r="N41" s="1706">
        <v>45855</v>
      </c>
      <c r="O41" s="1707">
        <v>45852</v>
      </c>
      <c r="P41" s="1710"/>
      <c r="Q41" s="1723" t="s">
        <v>56</v>
      </c>
      <c r="R41" s="1708"/>
      <c r="S41" s="1710" t="s">
        <v>1659</v>
      </c>
      <c r="T41" s="1724"/>
      <c r="U41" s="1724" t="s">
        <v>1660</v>
      </c>
      <c r="V41" s="1718" t="s">
        <v>1495</v>
      </c>
      <c r="W41" s="1719" t="s">
        <v>1661</v>
      </c>
      <c r="X41" s="1720" t="s">
        <v>1592</v>
      </c>
      <c r="Y41" s="1739">
        <v>2.2485</v>
      </c>
      <c r="Z41" s="1740">
        <f t="shared" si="1"/>
        <v>4492.503</v>
      </c>
      <c r="AA41" s="1741" t="s">
        <v>1662</v>
      </c>
      <c r="AB41" s="1741">
        <v>1998</v>
      </c>
      <c r="AC41" s="1746">
        <f t="shared" si="18"/>
        <v>0</v>
      </c>
      <c r="AD41" s="1741" t="s">
        <v>81</v>
      </c>
      <c r="AE41" s="1742" t="s">
        <v>63</v>
      </c>
      <c r="AF41" s="1742" t="s">
        <v>38</v>
      </c>
      <c r="AG41" s="1720">
        <f>J41</f>
        <v>1998</v>
      </c>
      <c r="AH41" s="1720">
        <f>J41</f>
        <v>1998</v>
      </c>
      <c r="AI41" s="1754">
        <f>J41</f>
        <v>1998</v>
      </c>
      <c r="AJ41" s="1755"/>
      <c r="AK41" s="1756"/>
      <c r="AL41" s="1756">
        <f>J41</f>
        <v>1998</v>
      </c>
      <c r="AM41" s="1756"/>
      <c r="AN41" s="1756"/>
      <c r="AO41" s="1771"/>
      <c r="AP41" s="1771"/>
      <c r="AQ41" s="1772"/>
      <c r="AR41" s="1773"/>
      <c r="AS41" s="1754"/>
      <c r="AT41" s="1773"/>
      <c r="AU41" s="1774">
        <f>J41</f>
        <v>1998</v>
      </c>
      <c r="AV41" s="1775"/>
      <c r="AW41" s="1777"/>
      <c r="AX41" s="1777"/>
      <c r="AY41" s="1777"/>
      <c r="AZ41" s="1777"/>
      <c r="BA41" s="1777"/>
      <c r="BB41" s="1777"/>
      <c r="BC41" s="1777"/>
      <c r="BD41" s="1777"/>
      <c r="BE41" s="1777"/>
      <c r="BF41" s="1777"/>
      <c r="BG41" s="1777"/>
      <c r="BH41" s="1777"/>
      <c r="BI41" s="1777"/>
      <c r="BJ41" s="1777"/>
      <c r="BK41" s="1777"/>
      <c r="BL41" s="1777"/>
      <c r="BM41" s="1777"/>
      <c r="BN41" s="1777"/>
      <c r="BO41" s="1777"/>
      <c r="BP41" s="1777"/>
      <c r="BQ41" s="1777"/>
      <c r="BR41" s="1777"/>
      <c r="BS41" s="1777"/>
      <c r="BT41" s="1777"/>
      <c r="BU41" s="1777"/>
      <c r="BV41" s="1777"/>
      <c r="BW41" s="1777"/>
      <c r="BX41" s="1777"/>
      <c r="BY41" s="1777"/>
      <c r="BZ41" s="1777"/>
      <c r="CA41" s="1777"/>
      <c r="CB41" s="1777"/>
      <c r="CC41" s="1777"/>
      <c r="CD41" s="1777"/>
      <c r="CE41" s="1777"/>
      <c r="CF41" s="1777"/>
      <c r="CG41" s="1777"/>
      <c r="CH41" s="1777"/>
      <c r="CI41" s="1777"/>
      <c r="CJ41" s="1777"/>
      <c r="CK41" s="1777"/>
      <c r="CL41" s="1777"/>
      <c r="CM41" s="1777"/>
      <c r="CN41" s="1777"/>
      <c r="CO41" s="1777"/>
      <c r="CP41" s="1777"/>
      <c r="CQ41" s="1777"/>
      <c r="CR41" s="1777"/>
      <c r="CS41" s="1777"/>
      <c r="CT41" s="1777"/>
      <c r="CU41" s="1777"/>
      <c r="CV41" s="1777"/>
      <c r="CW41" s="1777"/>
      <c r="CX41" s="1777"/>
      <c r="CY41" s="1777"/>
      <c r="CZ41" s="1777"/>
      <c r="DA41" s="1777"/>
      <c r="DB41" s="1777"/>
      <c r="DC41" s="1777"/>
      <c r="DD41" s="1777"/>
      <c r="DE41" s="1777"/>
      <c r="DF41" s="1777"/>
      <c r="DG41" s="1777"/>
      <c r="DH41" s="1777"/>
      <c r="DI41" s="1777"/>
      <c r="DJ41" s="1777"/>
      <c r="DK41" s="1777"/>
      <c r="DL41" s="1777"/>
      <c r="DM41" s="1777"/>
      <c r="DN41" s="1777"/>
      <c r="DO41" s="1777"/>
      <c r="DP41" s="1777"/>
      <c r="DQ41" s="1777"/>
      <c r="DR41" s="1777"/>
      <c r="DS41" s="1777"/>
      <c r="DT41" s="1777"/>
      <c r="DU41" s="1777"/>
      <c r="DV41" s="1777"/>
      <c r="DW41" s="1777"/>
      <c r="DX41" s="1779"/>
      <c r="DY41" s="1779"/>
      <c r="DZ41" s="1779"/>
      <c r="EA41" s="1779"/>
      <c r="EB41" s="1779"/>
      <c r="EC41" s="1779"/>
      <c r="ED41" s="1779"/>
      <c r="EE41" s="1779"/>
      <c r="EF41" s="1779"/>
      <c r="EG41" s="1779"/>
      <c r="EH41" s="1779"/>
      <c r="EI41" s="1779"/>
      <c r="EJ41" s="1779"/>
      <c r="EK41" s="1779"/>
      <c r="EL41" s="1779"/>
      <c r="EM41" s="1779"/>
      <c r="EN41" s="1779"/>
      <c r="EO41" s="1779"/>
      <c r="EP41" s="1779"/>
      <c r="EQ41" s="1779"/>
      <c r="ER41" s="1779"/>
      <c r="ES41" s="1779"/>
      <c r="ET41" s="1779"/>
      <c r="EU41" s="1779"/>
      <c r="EV41" s="1779"/>
      <c r="EW41" s="1779"/>
      <c r="EX41" s="1779"/>
      <c r="EY41" s="1779"/>
      <c r="EZ41" s="1779"/>
      <c r="FA41" s="1779"/>
      <c r="FB41" s="1779"/>
      <c r="FC41" s="1779"/>
      <c r="FD41" s="1779"/>
      <c r="FE41" s="1779"/>
      <c r="FF41" s="1779"/>
      <c r="FG41" s="1779"/>
      <c r="FH41" s="1779"/>
      <c r="FI41" s="1779"/>
      <c r="FJ41" s="1779"/>
      <c r="FK41" s="1779"/>
      <c r="FL41" s="1779"/>
      <c r="FM41" s="1779"/>
      <c r="FN41" s="1779"/>
      <c r="FO41" s="1779"/>
      <c r="FP41" s="1779"/>
      <c r="FQ41" s="1779"/>
      <c r="FR41" s="1779"/>
      <c r="FS41" s="1779"/>
      <c r="FT41" s="1779"/>
      <c r="FU41" s="1779"/>
      <c r="FV41" s="1779"/>
      <c r="FW41" s="1779"/>
      <c r="FX41" s="1779"/>
      <c r="FY41" s="1779"/>
      <c r="FZ41" s="1779"/>
      <c r="GA41" s="1779"/>
      <c r="XES41" s="1780"/>
      <c r="XET41" s="1780"/>
      <c r="XEU41" s="1780"/>
      <c r="XEV41" s="1780"/>
      <c r="XEW41" s="1780"/>
      <c r="XEX41" s="1780"/>
      <c r="XEY41" s="1780"/>
      <c r="XEZ41" s="1780"/>
      <c r="XFA41" s="1780"/>
      <c r="XFB41" s="1780"/>
      <c r="XFC41" s="1780"/>
      <c r="XFD41" s="1780"/>
    </row>
    <row r="42" s="1663" customFormat="1" ht="36" customHeight="1" spans="1:16384">
      <c r="A42" s="1693">
        <v>45741</v>
      </c>
      <c r="B42" s="1694" t="s">
        <v>1663</v>
      </c>
      <c r="C42" s="1695" t="s">
        <v>1664</v>
      </c>
      <c r="D42" s="1696">
        <v>4500160544</v>
      </c>
      <c r="E42" s="1694"/>
      <c r="F42" s="1696" t="s">
        <v>1665</v>
      </c>
      <c r="G42" s="1697" t="s">
        <v>1645</v>
      </c>
      <c r="H42" s="1697" t="s">
        <v>1568</v>
      </c>
      <c r="I42" s="1704" t="s">
        <v>1479</v>
      </c>
      <c r="J42" s="1697">
        <v>48</v>
      </c>
      <c r="K42" s="1697">
        <v>0</v>
      </c>
      <c r="L42" s="1697">
        <v>24</v>
      </c>
      <c r="M42" s="1705">
        <f t="shared" si="0"/>
        <v>2</v>
      </c>
      <c r="N42" s="1706">
        <v>45856</v>
      </c>
      <c r="O42" s="1707">
        <v>45852</v>
      </c>
      <c r="P42" s="1708"/>
      <c r="Q42" s="1723" t="s">
        <v>56</v>
      </c>
      <c r="R42" s="1708"/>
      <c r="S42" s="1725" t="s">
        <v>1666</v>
      </c>
      <c r="T42" s="1724"/>
      <c r="U42" s="1724" t="s">
        <v>1667</v>
      </c>
      <c r="V42" s="1721" t="s">
        <v>1668</v>
      </c>
      <c r="W42" s="1719" t="s">
        <v>1669</v>
      </c>
      <c r="X42" s="1720" t="s">
        <v>827</v>
      </c>
      <c r="Y42" s="1739">
        <v>1.5793</v>
      </c>
      <c r="Z42" s="1740">
        <f t="shared" si="1"/>
        <v>75.8064</v>
      </c>
      <c r="AA42" s="1741" t="s">
        <v>1670</v>
      </c>
      <c r="AB42" s="1741">
        <v>48</v>
      </c>
      <c r="AC42" s="1746">
        <f t="shared" si="18"/>
        <v>0</v>
      </c>
      <c r="AD42" s="1741" t="s">
        <v>1499</v>
      </c>
      <c r="AE42" s="1742" t="s">
        <v>63</v>
      </c>
      <c r="AF42" s="1742" t="s">
        <v>38</v>
      </c>
      <c r="AG42" s="1720">
        <f>J42/3</f>
        <v>16</v>
      </c>
      <c r="AH42" s="1720">
        <f>J42/3</f>
        <v>16</v>
      </c>
      <c r="AI42" s="1754">
        <f>J42/3</f>
        <v>16</v>
      </c>
      <c r="AJ42" s="1755"/>
      <c r="AK42" s="1756">
        <f>J42</f>
        <v>48</v>
      </c>
      <c r="AL42" s="1756">
        <f t="shared" ref="AL42:AL70" si="19">J42</f>
        <v>48</v>
      </c>
      <c r="AM42" s="1756">
        <f>J42/6</f>
        <v>8</v>
      </c>
      <c r="AN42" s="1756"/>
      <c r="AO42" s="1771"/>
      <c r="AP42" s="1771"/>
      <c r="AQ42" s="1772"/>
      <c r="AR42" s="1773"/>
      <c r="AS42" s="1754"/>
      <c r="AT42" s="1773"/>
      <c r="AU42" s="1774"/>
      <c r="AV42" s="1775"/>
      <c r="AW42" s="1777"/>
      <c r="AX42" s="1777"/>
      <c r="AY42" s="1777"/>
      <c r="AZ42" s="1777"/>
      <c r="BA42" s="1777"/>
      <c r="BB42" s="1777"/>
      <c r="BC42" s="1777"/>
      <c r="BD42" s="1777"/>
      <c r="BE42" s="1777"/>
      <c r="BF42" s="1777"/>
      <c r="BG42" s="1777"/>
      <c r="BH42" s="1777"/>
      <c r="BI42" s="1777"/>
      <c r="BJ42" s="1777"/>
      <c r="BK42" s="1777"/>
      <c r="BL42" s="1777"/>
      <c r="BM42" s="1777"/>
      <c r="BN42" s="1777"/>
      <c r="BO42" s="1777"/>
      <c r="BP42" s="1777"/>
      <c r="BQ42" s="1777"/>
      <c r="BR42" s="1777"/>
      <c r="BS42" s="1777"/>
      <c r="BT42" s="1777"/>
      <c r="BU42" s="1777"/>
      <c r="BV42" s="1777"/>
      <c r="BW42" s="1777"/>
      <c r="BX42" s="1777"/>
      <c r="BY42" s="1777"/>
      <c r="BZ42" s="1777"/>
      <c r="CA42" s="1777"/>
      <c r="CB42" s="1777"/>
      <c r="CC42" s="1777"/>
      <c r="CD42" s="1777"/>
      <c r="CE42" s="1777"/>
      <c r="CF42" s="1777"/>
      <c r="CG42" s="1777"/>
      <c r="CH42" s="1777"/>
      <c r="CI42" s="1777"/>
      <c r="CJ42" s="1777"/>
      <c r="CK42" s="1777"/>
      <c r="CL42" s="1777"/>
      <c r="CM42" s="1777"/>
      <c r="CN42" s="1777"/>
      <c r="CO42" s="1777"/>
      <c r="CP42" s="1777"/>
      <c r="CQ42" s="1777"/>
      <c r="CR42" s="1777"/>
      <c r="CS42" s="1777"/>
      <c r="CT42" s="1777"/>
      <c r="CU42" s="1777"/>
      <c r="CV42" s="1777"/>
      <c r="CW42" s="1777"/>
      <c r="CX42" s="1777"/>
      <c r="CY42" s="1777"/>
      <c r="CZ42" s="1777"/>
      <c r="DA42" s="1777"/>
      <c r="DB42" s="1777"/>
      <c r="DC42" s="1777"/>
      <c r="DD42" s="1777"/>
      <c r="DE42" s="1777"/>
      <c r="DF42" s="1777"/>
      <c r="DG42" s="1777"/>
      <c r="DH42" s="1777"/>
      <c r="DI42" s="1777"/>
      <c r="DJ42" s="1777"/>
      <c r="DK42" s="1777"/>
      <c r="DL42" s="1777"/>
      <c r="DM42" s="1777"/>
      <c r="DN42" s="1777"/>
      <c r="DO42" s="1777"/>
      <c r="DP42" s="1777"/>
      <c r="DQ42" s="1777"/>
      <c r="DR42" s="1777"/>
      <c r="DS42" s="1777"/>
      <c r="DT42" s="1777"/>
      <c r="DU42" s="1777"/>
      <c r="DV42" s="1777"/>
      <c r="DW42" s="1777"/>
      <c r="DX42" s="1779"/>
      <c r="DY42" s="1779"/>
      <c r="DZ42" s="1779"/>
      <c r="EA42" s="1779"/>
      <c r="EB42" s="1779"/>
      <c r="EC42" s="1779"/>
      <c r="ED42" s="1779"/>
      <c r="EE42" s="1779"/>
      <c r="EF42" s="1779"/>
      <c r="EG42" s="1779"/>
      <c r="EH42" s="1779"/>
      <c r="EI42" s="1779"/>
      <c r="EJ42" s="1779"/>
      <c r="EK42" s="1779"/>
      <c r="EL42" s="1779"/>
      <c r="EM42" s="1779"/>
      <c r="EN42" s="1779"/>
      <c r="EO42" s="1779"/>
      <c r="EP42" s="1779"/>
      <c r="EQ42" s="1779"/>
      <c r="ER42" s="1779"/>
      <c r="ES42" s="1779"/>
      <c r="ET42" s="1779"/>
      <c r="EU42" s="1779"/>
      <c r="EV42" s="1779"/>
      <c r="EW42" s="1779"/>
      <c r="EX42" s="1779"/>
      <c r="EY42" s="1779"/>
      <c r="EZ42" s="1779"/>
      <c r="FA42" s="1779"/>
      <c r="FB42" s="1779"/>
      <c r="FC42" s="1779"/>
      <c r="FD42" s="1779"/>
      <c r="FE42" s="1779"/>
      <c r="FF42" s="1779"/>
      <c r="FG42" s="1779"/>
      <c r="FH42" s="1779"/>
      <c r="FI42" s="1779"/>
      <c r="FJ42" s="1779"/>
      <c r="FK42" s="1779"/>
      <c r="FL42" s="1779"/>
      <c r="FM42" s="1779"/>
      <c r="FN42" s="1779"/>
      <c r="FO42" s="1779"/>
      <c r="FP42" s="1779"/>
      <c r="FQ42" s="1779"/>
      <c r="FR42" s="1779"/>
      <c r="FS42" s="1779"/>
      <c r="FT42" s="1779"/>
      <c r="FU42" s="1779"/>
      <c r="FV42" s="1779"/>
      <c r="FW42" s="1779"/>
      <c r="FX42" s="1779"/>
      <c r="FY42" s="1779"/>
      <c r="FZ42" s="1779"/>
      <c r="GA42" s="1779"/>
      <c r="XES42" s="1780"/>
      <c r="XET42" s="1780"/>
      <c r="XEU42" s="1780"/>
      <c r="XEV42" s="1780"/>
      <c r="XEW42" s="1780"/>
      <c r="XEX42" s="1780"/>
      <c r="XEY42" s="1780"/>
      <c r="XEZ42" s="1780"/>
      <c r="XFA42" s="1780"/>
      <c r="XFB42" s="1780"/>
      <c r="XFC42" s="1780"/>
      <c r="XFD42" s="1780"/>
    </row>
    <row r="43" s="1663" customFormat="1" ht="36" customHeight="1" spans="1:16384">
      <c r="A43" s="1693">
        <v>45821</v>
      </c>
      <c r="B43" s="1694" t="s">
        <v>1671</v>
      </c>
      <c r="C43" s="1695" t="s">
        <v>398</v>
      </c>
      <c r="D43" s="1696">
        <v>4500169971</v>
      </c>
      <c r="E43" s="1694" t="s">
        <v>1672</v>
      </c>
      <c r="F43" s="1696" t="s">
        <v>1673</v>
      </c>
      <c r="G43" s="1697" t="s">
        <v>1489</v>
      </c>
      <c r="H43" s="1697" t="s">
        <v>1490</v>
      </c>
      <c r="I43" s="1704" t="s">
        <v>1491</v>
      </c>
      <c r="J43" s="1697">
        <v>54</v>
      </c>
      <c r="K43" s="1697">
        <v>0</v>
      </c>
      <c r="L43" s="1697">
        <v>18</v>
      </c>
      <c r="M43" s="1705">
        <v>3</v>
      </c>
      <c r="N43" s="1706">
        <v>45856</v>
      </c>
      <c r="O43" s="1707">
        <v>45852</v>
      </c>
      <c r="P43" s="1708"/>
      <c r="Q43" s="1708" t="s">
        <v>1480</v>
      </c>
      <c r="R43" s="1708"/>
      <c r="S43" s="1725" t="s">
        <v>1674</v>
      </c>
      <c r="T43" s="1724"/>
      <c r="U43" s="1724" t="s">
        <v>1675</v>
      </c>
      <c r="V43" s="1721" t="s">
        <v>1676</v>
      </c>
      <c r="W43" s="1719" t="s">
        <v>1677</v>
      </c>
      <c r="X43" s="1720" t="s">
        <v>220</v>
      </c>
      <c r="Y43" s="1739">
        <v>3.5711</v>
      </c>
      <c r="Z43" s="1740">
        <f t="shared" ref="Z43:Z67" si="20">Y43*J43</f>
        <v>192.8394</v>
      </c>
      <c r="AA43" s="1741"/>
      <c r="AB43" s="1741">
        <v>54</v>
      </c>
      <c r="AC43" s="1746">
        <f t="shared" si="18"/>
        <v>0</v>
      </c>
      <c r="AD43" s="1741" t="s">
        <v>81</v>
      </c>
      <c r="AE43" s="1742" t="s">
        <v>63</v>
      </c>
      <c r="AF43" s="1742" t="s">
        <v>38</v>
      </c>
      <c r="AG43" s="1720">
        <f t="shared" ref="AG43:AG58" si="21">J43</f>
        <v>54</v>
      </c>
      <c r="AH43" s="1720">
        <f t="shared" ref="AH43:AH58" si="22">J43</f>
        <v>54</v>
      </c>
      <c r="AI43" s="1754">
        <f t="shared" ref="AI43:AI58" si="23">J43</f>
        <v>54</v>
      </c>
      <c r="AJ43" s="1755"/>
      <c r="AK43" s="1756"/>
      <c r="AL43" s="1756">
        <f t="shared" si="19"/>
        <v>54</v>
      </c>
      <c r="AM43" s="1756"/>
      <c r="AN43" s="1756"/>
      <c r="AO43" s="1771"/>
      <c r="AP43" s="1771"/>
      <c r="AQ43" s="1772"/>
      <c r="AR43" s="1773"/>
      <c r="AS43" s="1754"/>
      <c r="AT43" s="1773"/>
      <c r="AU43" s="1774">
        <f t="shared" ref="AU43:AU57" si="24">J43</f>
        <v>54</v>
      </c>
      <c r="AV43" s="1775"/>
      <c r="AW43" s="1777"/>
      <c r="AX43" s="1777"/>
      <c r="AY43" s="1777"/>
      <c r="AZ43" s="1777"/>
      <c r="BA43" s="1777"/>
      <c r="BB43" s="1777"/>
      <c r="BC43" s="1777"/>
      <c r="BD43" s="1777"/>
      <c r="BE43" s="1777"/>
      <c r="BF43" s="1777"/>
      <c r="BG43" s="1777"/>
      <c r="BH43" s="1777"/>
      <c r="BI43" s="1777"/>
      <c r="BJ43" s="1777"/>
      <c r="BK43" s="1777"/>
      <c r="BL43" s="1777"/>
      <c r="BM43" s="1777"/>
      <c r="BN43" s="1777"/>
      <c r="BO43" s="1777"/>
      <c r="BP43" s="1777"/>
      <c r="BQ43" s="1777"/>
      <c r="BR43" s="1777"/>
      <c r="BS43" s="1777"/>
      <c r="BT43" s="1777"/>
      <c r="BU43" s="1777"/>
      <c r="BV43" s="1777"/>
      <c r="BW43" s="1777"/>
      <c r="BX43" s="1777"/>
      <c r="BY43" s="1777"/>
      <c r="BZ43" s="1777"/>
      <c r="CA43" s="1777"/>
      <c r="CB43" s="1777"/>
      <c r="CC43" s="1777"/>
      <c r="CD43" s="1777"/>
      <c r="CE43" s="1777"/>
      <c r="CF43" s="1777"/>
      <c r="CG43" s="1777"/>
      <c r="CH43" s="1777"/>
      <c r="CI43" s="1777"/>
      <c r="CJ43" s="1777"/>
      <c r="CK43" s="1777"/>
      <c r="CL43" s="1777"/>
      <c r="CM43" s="1777"/>
      <c r="CN43" s="1777"/>
      <c r="CO43" s="1777"/>
      <c r="CP43" s="1777"/>
      <c r="CQ43" s="1777"/>
      <c r="CR43" s="1777"/>
      <c r="CS43" s="1777"/>
      <c r="CT43" s="1777"/>
      <c r="CU43" s="1777"/>
      <c r="CV43" s="1777"/>
      <c r="CW43" s="1777"/>
      <c r="CX43" s="1777"/>
      <c r="CY43" s="1777"/>
      <c r="CZ43" s="1777"/>
      <c r="DA43" s="1777"/>
      <c r="DB43" s="1777"/>
      <c r="DC43" s="1777"/>
      <c r="DD43" s="1777"/>
      <c r="DE43" s="1777"/>
      <c r="DF43" s="1777"/>
      <c r="DG43" s="1777"/>
      <c r="DH43" s="1777"/>
      <c r="DI43" s="1777"/>
      <c r="DJ43" s="1777"/>
      <c r="DK43" s="1777"/>
      <c r="DL43" s="1777"/>
      <c r="DM43" s="1777"/>
      <c r="DN43" s="1777"/>
      <c r="DO43" s="1777"/>
      <c r="DP43" s="1777"/>
      <c r="DQ43" s="1777"/>
      <c r="DR43" s="1777"/>
      <c r="DS43" s="1777"/>
      <c r="DT43" s="1777"/>
      <c r="DU43" s="1777"/>
      <c r="DV43" s="1777"/>
      <c r="DW43" s="1777"/>
      <c r="DX43" s="1779"/>
      <c r="DY43" s="1779"/>
      <c r="DZ43" s="1779"/>
      <c r="EA43" s="1779"/>
      <c r="EB43" s="1779"/>
      <c r="EC43" s="1779"/>
      <c r="ED43" s="1779"/>
      <c r="EE43" s="1779"/>
      <c r="EF43" s="1779"/>
      <c r="EG43" s="1779"/>
      <c r="EH43" s="1779"/>
      <c r="EI43" s="1779"/>
      <c r="EJ43" s="1779"/>
      <c r="EK43" s="1779"/>
      <c r="EL43" s="1779"/>
      <c r="EM43" s="1779"/>
      <c r="EN43" s="1779"/>
      <c r="EO43" s="1779"/>
      <c r="EP43" s="1779"/>
      <c r="EQ43" s="1779"/>
      <c r="ER43" s="1779"/>
      <c r="ES43" s="1779"/>
      <c r="ET43" s="1779"/>
      <c r="EU43" s="1779"/>
      <c r="EV43" s="1779"/>
      <c r="EW43" s="1779"/>
      <c r="EX43" s="1779"/>
      <c r="EY43" s="1779"/>
      <c r="EZ43" s="1779"/>
      <c r="FA43" s="1779"/>
      <c r="FB43" s="1779"/>
      <c r="FC43" s="1779"/>
      <c r="FD43" s="1779"/>
      <c r="FE43" s="1779"/>
      <c r="FF43" s="1779"/>
      <c r="FG43" s="1779"/>
      <c r="FH43" s="1779"/>
      <c r="FI43" s="1779"/>
      <c r="FJ43" s="1779"/>
      <c r="FK43" s="1779"/>
      <c r="FL43" s="1779"/>
      <c r="FM43" s="1779"/>
      <c r="FN43" s="1779"/>
      <c r="FO43" s="1779"/>
      <c r="FP43" s="1779"/>
      <c r="FQ43" s="1779"/>
      <c r="FR43" s="1779"/>
      <c r="FS43" s="1779"/>
      <c r="FT43" s="1779"/>
      <c r="FU43" s="1779"/>
      <c r="FV43" s="1779"/>
      <c r="FW43" s="1779"/>
      <c r="FX43" s="1779"/>
      <c r="FY43" s="1779"/>
      <c r="FZ43" s="1779"/>
      <c r="GA43" s="1779"/>
      <c r="XES43" s="1780"/>
      <c r="XET43" s="1780"/>
      <c r="XEU43" s="1780"/>
      <c r="XEV43" s="1780"/>
      <c r="XEW43" s="1780"/>
      <c r="XEX43" s="1780"/>
      <c r="XEY43" s="1780"/>
      <c r="XEZ43" s="1780"/>
      <c r="XFA43" s="1780"/>
      <c r="XFB43" s="1780"/>
      <c r="XFC43" s="1780"/>
      <c r="XFD43" s="1780"/>
    </row>
    <row r="44" s="1663" customFormat="1" ht="36" customHeight="1" spans="1:16384">
      <c r="A44" s="1693">
        <v>45821</v>
      </c>
      <c r="B44" s="1694" t="s">
        <v>1671</v>
      </c>
      <c r="C44" s="1695" t="s">
        <v>398</v>
      </c>
      <c r="D44" s="1696">
        <v>4500169971</v>
      </c>
      <c r="E44" s="1694" t="s">
        <v>1678</v>
      </c>
      <c r="F44" s="1696" t="s">
        <v>1679</v>
      </c>
      <c r="G44" s="1697" t="s">
        <v>1489</v>
      </c>
      <c r="H44" s="1697" t="s">
        <v>1490</v>
      </c>
      <c r="I44" s="1704" t="s">
        <v>1491</v>
      </c>
      <c r="J44" s="1697">
        <v>36</v>
      </c>
      <c r="K44" s="1697">
        <v>0</v>
      </c>
      <c r="L44" s="1697">
        <v>18</v>
      </c>
      <c r="M44" s="1705">
        <v>2</v>
      </c>
      <c r="N44" s="1706">
        <v>45856</v>
      </c>
      <c r="O44" s="1707">
        <v>45852</v>
      </c>
      <c r="P44" s="1708"/>
      <c r="Q44" s="1708" t="s">
        <v>1480</v>
      </c>
      <c r="R44" s="1708"/>
      <c r="S44" s="1725" t="s">
        <v>1674</v>
      </c>
      <c r="T44" s="1724"/>
      <c r="U44" s="1724" t="s">
        <v>1675</v>
      </c>
      <c r="V44" s="1721" t="s">
        <v>1676</v>
      </c>
      <c r="W44" s="1719" t="s">
        <v>1677</v>
      </c>
      <c r="X44" s="1720" t="s">
        <v>220</v>
      </c>
      <c r="Y44" s="1739">
        <v>3.5711</v>
      </c>
      <c r="Z44" s="1740">
        <f t="shared" si="20"/>
        <v>128.5596</v>
      </c>
      <c r="AA44" s="1741"/>
      <c r="AB44" s="1741">
        <v>36</v>
      </c>
      <c r="AC44" s="1746">
        <f t="shared" si="18"/>
        <v>0</v>
      </c>
      <c r="AD44" s="1741" t="s">
        <v>81</v>
      </c>
      <c r="AE44" s="1742" t="s">
        <v>63</v>
      </c>
      <c r="AF44" s="1742" t="s">
        <v>38</v>
      </c>
      <c r="AG44" s="1720">
        <f t="shared" si="21"/>
        <v>36</v>
      </c>
      <c r="AH44" s="1720">
        <f t="shared" si="22"/>
        <v>36</v>
      </c>
      <c r="AI44" s="1754">
        <f t="shared" si="23"/>
        <v>36</v>
      </c>
      <c r="AJ44" s="1755"/>
      <c r="AK44" s="1756"/>
      <c r="AL44" s="1756">
        <f t="shared" si="19"/>
        <v>36</v>
      </c>
      <c r="AM44" s="1756"/>
      <c r="AN44" s="1756"/>
      <c r="AO44" s="1771"/>
      <c r="AP44" s="1771"/>
      <c r="AQ44" s="1772"/>
      <c r="AR44" s="1773"/>
      <c r="AS44" s="1754"/>
      <c r="AT44" s="1773"/>
      <c r="AU44" s="1774">
        <f t="shared" si="24"/>
        <v>36</v>
      </c>
      <c r="AV44" s="1775"/>
      <c r="AW44" s="1777"/>
      <c r="AX44" s="1777"/>
      <c r="AY44" s="1777"/>
      <c r="AZ44" s="1777"/>
      <c r="BA44" s="1777"/>
      <c r="BB44" s="1777"/>
      <c r="BC44" s="1777"/>
      <c r="BD44" s="1777"/>
      <c r="BE44" s="1777"/>
      <c r="BF44" s="1777"/>
      <c r="BG44" s="1777"/>
      <c r="BH44" s="1777"/>
      <c r="BI44" s="1777"/>
      <c r="BJ44" s="1777"/>
      <c r="BK44" s="1777"/>
      <c r="BL44" s="1777"/>
      <c r="BM44" s="1777"/>
      <c r="BN44" s="1777"/>
      <c r="BO44" s="1777"/>
      <c r="BP44" s="1777"/>
      <c r="BQ44" s="1777"/>
      <c r="BR44" s="1777"/>
      <c r="BS44" s="1777"/>
      <c r="BT44" s="1777"/>
      <c r="BU44" s="1777"/>
      <c r="BV44" s="1777"/>
      <c r="BW44" s="1777"/>
      <c r="BX44" s="1777"/>
      <c r="BY44" s="1777"/>
      <c r="BZ44" s="1777"/>
      <c r="CA44" s="1777"/>
      <c r="CB44" s="1777"/>
      <c r="CC44" s="1777"/>
      <c r="CD44" s="1777"/>
      <c r="CE44" s="1777"/>
      <c r="CF44" s="1777"/>
      <c r="CG44" s="1777"/>
      <c r="CH44" s="1777"/>
      <c r="CI44" s="1777"/>
      <c r="CJ44" s="1777"/>
      <c r="CK44" s="1777"/>
      <c r="CL44" s="1777"/>
      <c r="CM44" s="1777"/>
      <c r="CN44" s="1777"/>
      <c r="CO44" s="1777"/>
      <c r="CP44" s="1777"/>
      <c r="CQ44" s="1777"/>
      <c r="CR44" s="1777"/>
      <c r="CS44" s="1777"/>
      <c r="CT44" s="1777"/>
      <c r="CU44" s="1777"/>
      <c r="CV44" s="1777"/>
      <c r="CW44" s="1777"/>
      <c r="CX44" s="1777"/>
      <c r="CY44" s="1777"/>
      <c r="CZ44" s="1777"/>
      <c r="DA44" s="1777"/>
      <c r="DB44" s="1777"/>
      <c r="DC44" s="1777"/>
      <c r="DD44" s="1777"/>
      <c r="DE44" s="1777"/>
      <c r="DF44" s="1777"/>
      <c r="DG44" s="1777"/>
      <c r="DH44" s="1777"/>
      <c r="DI44" s="1777"/>
      <c r="DJ44" s="1777"/>
      <c r="DK44" s="1777"/>
      <c r="DL44" s="1777"/>
      <c r="DM44" s="1777"/>
      <c r="DN44" s="1777"/>
      <c r="DO44" s="1777"/>
      <c r="DP44" s="1777"/>
      <c r="DQ44" s="1777"/>
      <c r="DR44" s="1777"/>
      <c r="DS44" s="1777"/>
      <c r="DT44" s="1777"/>
      <c r="DU44" s="1777"/>
      <c r="DV44" s="1777"/>
      <c r="DW44" s="1777"/>
      <c r="DX44" s="1779"/>
      <c r="DY44" s="1779"/>
      <c r="DZ44" s="1779"/>
      <c r="EA44" s="1779"/>
      <c r="EB44" s="1779"/>
      <c r="EC44" s="1779"/>
      <c r="ED44" s="1779"/>
      <c r="EE44" s="1779"/>
      <c r="EF44" s="1779"/>
      <c r="EG44" s="1779"/>
      <c r="EH44" s="1779"/>
      <c r="EI44" s="1779"/>
      <c r="EJ44" s="1779"/>
      <c r="EK44" s="1779"/>
      <c r="EL44" s="1779"/>
      <c r="EM44" s="1779"/>
      <c r="EN44" s="1779"/>
      <c r="EO44" s="1779"/>
      <c r="EP44" s="1779"/>
      <c r="EQ44" s="1779"/>
      <c r="ER44" s="1779"/>
      <c r="ES44" s="1779"/>
      <c r="ET44" s="1779"/>
      <c r="EU44" s="1779"/>
      <c r="EV44" s="1779"/>
      <c r="EW44" s="1779"/>
      <c r="EX44" s="1779"/>
      <c r="EY44" s="1779"/>
      <c r="EZ44" s="1779"/>
      <c r="FA44" s="1779"/>
      <c r="FB44" s="1779"/>
      <c r="FC44" s="1779"/>
      <c r="FD44" s="1779"/>
      <c r="FE44" s="1779"/>
      <c r="FF44" s="1779"/>
      <c r="FG44" s="1779"/>
      <c r="FH44" s="1779"/>
      <c r="FI44" s="1779"/>
      <c r="FJ44" s="1779"/>
      <c r="FK44" s="1779"/>
      <c r="FL44" s="1779"/>
      <c r="FM44" s="1779"/>
      <c r="FN44" s="1779"/>
      <c r="FO44" s="1779"/>
      <c r="FP44" s="1779"/>
      <c r="FQ44" s="1779"/>
      <c r="FR44" s="1779"/>
      <c r="FS44" s="1779"/>
      <c r="FT44" s="1779"/>
      <c r="FU44" s="1779"/>
      <c r="FV44" s="1779"/>
      <c r="FW44" s="1779"/>
      <c r="FX44" s="1779"/>
      <c r="FY44" s="1779"/>
      <c r="FZ44" s="1779"/>
      <c r="GA44" s="1779"/>
      <c r="XES44" s="1780"/>
      <c r="XET44" s="1780"/>
      <c r="XEU44" s="1780"/>
      <c r="XEV44" s="1780"/>
      <c r="XEW44" s="1780"/>
      <c r="XEX44" s="1780"/>
      <c r="XEY44" s="1780"/>
      <c r="XEZ44" s="1780"/>
      <c r="XFA44" s="1780"/>
      <c r="XFB44" s="1780"/>
      <c r="XFC44" s="1780"/>
      <c r="XFD44" s="1780"/>
    </row>
    <row r="45" s="1663" customFormat="1" ht="36" customHeight="1" spans="1:16384">
      <c r="A45" s="1693">
        <v>45821</v>
      </c>
      <c r="B45" s="1694" t="s">
        <v>1671</v>
      </c>
      <c r="C45" s="1695" t="s">
        <v>398</v>
      </c>
      <c r="D45" s="1696">
        <v>4500169971</v>
      </c>
      <c r="E45" s="1694" t="s">
        <v>1680</v>
      </c>
      <c r="F45" s="1696" t="s">
        <v>1681</v>
      </c>
      <c r="G45" s="1697" t="s">
        <v>1489</v>
      </c>
      <c r="H45" s="1697" t="s">
        <v>1490</v>
      </c>
      <c r="I45" s="1704" t="s">
        <v>1491</v>
      </c>
      <c r="J45" s="1697">
        <v>108</v>
      </c>
      <c r="K45" s="1697">
        <v>0</v>
      </c>
      <c r="L45" s="1697">
        <v>18</v>
      </c>
      <c r="M45" s="1705">
        <v>6</v>
      </c>
      <c r="N45" s="1706">
        <v>45856</v>
      </c>
      <c r="O45" s="1707">
        <v>45852</v>
      </c>
      <c r="P45" s="1708"/>
      <c r="Q45" s="1708" t="s">
        <v>1480</v>
      </c>
      <c r="R45" s="1708"/>
      <c r="S45" s="1725" t="s">
        <v>1674</v>
      </c>
      <c r="T45" s="1724"/>
      <c r="U45" s="1724" t="s">
        <v>1675</v>
      </c>
      <c r="V45" s="1721" t="s">
        <v>1676</v>
      </c>
      <c r="W45" s="1719" t="s">
        <v>1677</v>
      </c>
      <c r="X45" s="1720" t="s">
        <v>220</v>
      </c>
      <c r="Y45" s="1739">
        <v>3.5711</v>
      </c>
      <c r="Z45" s="1740">
        <f t="shared" si="20"/>
        <v>385.6788</v>
      </c>
      <c r="AA45" s="1741"/>
      <c r="AB45" s="1741">
        <v>108</v>
      </c>
      <c r="AC45" s="1746">
        <f t="shared" si="18"/>
        <v>0</v>
      </c>
      <c r="AD45" s="1741" t="s">
        <v>81</v>
      </c>
      <c r="AE45" s="1742" t="s">
        <v>63</v>
      </c>
      <c r="AF45" s="1742" t="s">
        <v>38</v>
      </c>
      <c r="AG45" s="1720">
        <f t="shared" si="21"/>
        <v>108</v>
      </c>
      <c r="AH45" s="1720">
        <f t="shared" si="22"/>
        <v>108</v>
      </c>
      <c r="AI45" s="1754">
        <f t="shared" si="23"/>
        <v>108</v>
      </c>
      <c r="AJ45" s="1755"/>
      <c r="AK45" s="1756"/>
      <c r="AL45" s="1756">
        <f t="shared" si="19"/>
        <v>108</v>
      </c>
      <c r="AM45" s="1756"/>
      <c r="AN45" s="1756"/>
      <c r="AO45" s="1771"/>
      <c r="AP45" s="1771"/>
      <c r="AQ45" s="1772"/>
      <c r="AR45" s="1773"/>
      <c r="AS45" s="1754"/>
      <c r="AT45" s="1773"/>
      <c r="AU45" s="1774">
        <f t="shared" si="24"/>
        <v>108</v>
      </c>
      <c r="AV45" s="1775"/>
      <c r="AW45" s="1777"/>
      <c r="AX45" s="1777"/>
      <c r="AY45" s="1777"/>
      <c r="AZ45" s="1777"/>
      <c r="BA45" s="1777"/>
      <c r="BB45" s="1777"/>
      <c r="BC45" s="1777"/>
      <c r="BD45" s="1777"/>
      <c r="BE45" s="1777"/>
      <c r="BF45" s="1777"/>
      <c r="BG45" s="1777"/>
      <c r="BH45" s="1777"/>
      <c r="BI45" s="1777"/>
      <c r="BJ45" s="1777"/>
      <c r="BK45" s="1777"/>
      <c r="BL45" s="1777"/>
      <c r="BM45" s="1777"/>
      <c r="BN45" s="1777"/>
      <c r="BO45" s="1777"/>
      <c r="BP45" s="1777"/>
      <c r="BQ45" s="1777"/>
      <c r="BR45" s="1777"/>
      <c r="BS45" s="1777"/>
      <c r="BT45" s="1777"/>
      <c r="BU45" s="1777"/>
      <c r="BV45" s="1777"/>
      <c r="BW45" s="1777"/>
      <c r="BX45" s="1777"/>
      <c r="BY45" s="1777"/>
      <c r="BZ45" s="1777"/>
      <c r="CA45" s="1777"/>
      <c r="CB45" s="1777"/>
      <c r="CC45" s="1777"/>
      <c r="CD45" s="1777"/>
      <c r="CE45" s="1777"/>
      <c r="CF45" s="1777"/>
      <c r="CG45" s="1777"/>
      <c r="CH45" s="1777"/>
      <c r="CI45" s="1777"/>
      <c r="CJ45" s="1777"/>
      <c r="CK45" s="1777"/>
      <c r="CL45" s="1777"/>
      <c r="CM45" s="1777"/>
      <c r="CN45" s="1777"/>
      <c r="CO45" s="1777"/>
      <c r="CP45" s="1777"/>
      <c r="CQ45" s="1777"/>
      <c r="CR45" s="1777"/>
      <c r="CS45" s="1777"/>
      <c r="CT45" s="1777"/>
      <c r="CU45" s="1777"/>
      <c r="CV45" s="1777"/>
      <c r="CW45" s="1777"/>
      <c r="CX45" s="1777"/>
      <c r="CY45" s="1777"/>
      <c r="CZ45" s="1777"/>
      <c r="DA45" s="1777"/>
      <c r="DB45" s="1777"/>
      <c r="DC45" s="1777"/>
      <c r="DD45" s="1777"/>
      <c r="DE45" s="1777"/>
      <c r="DF45" s="1777"/>
      <c r="DG45" s="1777"/>
      <c r="DH45" s="1777"/>
      <c r="DI45" s="1777"/>
      <c r="DJ45" s="1777"/>
      <c r="DK45" s="1777"/>
      <c r="DL45" s="1777"/>
      <c r="DM45" s="1777"/>
      <c r="DN45" s="1777"/>
      <c r="DO45" s="1777"/>
      <c r="DP45" s="1777"/>
      <c r="DQ45" s="1777"/>
      <c r="DR45" s="1777"/>
      <c r="DS45" s="1777"/>
      <c r="DT45" s="1777"/>
      <c r="DU45" s="1777"/>
      <c r="DV45" s="1777"/>
      <c r="DW45" s="1777"/>
      <c r="DX45" s="1779"/>
      <c r="DY45" s="1779"/>
      <c r="DZ45" s="1779"/>
      <c r="EA45" s="1779"/>
      <c r="EB45" s="1779"/>
      <c r="EC45" s="1779"/>
      <c r="ED45" s="1779"/>
      <c r="EE45" s="1779"/>
      <c r="EF45" s="1779"/>
      <c r="EG45" s="1779"/>
      <c r="EH45" s="1779"/>
      <c r="EI45" s="1779"/>
      <c r="EJ45" s="1779"/>
      <c r="EK45" s="1779"/>
      <c r="EL45" s="1779"/>
      <c r="EM45" s="1779"/>
      <c r="EN45" s="1779"/>
      <c r="EO45" s="1779"/>
      <c r="EP45" s="1779"/>
      <c r="EQ45" s="1779"/>
      <c r="ER45" s="1779"/>
      <c r="ES45" s="1779"/>
      <c r="ET45" s="1779"/>
      <c r="EU45" s="1779"/>
      <c r="EV45" s="1779"/>
      <c r="EW45" s="1779"/>
      <c r="EX45" s="1779"/>
      <c r="EY45" s="1779"/>
      <c r="EZ45" s="1779"/>
      <c r="FA45" s="1779"/>
      <c r="FB45" s="1779"/>
      <c r="FC45" s="1779"/>
      <c r="FD45" s="1779"/>
      <c r="FE45" s="1779"/>
      <c r="FF45" s="1779"/>
      <c r="FG45" s="1779"/>
      <c r="FH45" s="1779"/>
      <c r="FI45" s="1779"/>
      <c r="FJ45" s="1779"/>
      <c r="FK45" s="1779"/>
      <c r="FL45" s="1779"/>
      <c r="FM45" s="1779"/>
      <c r="FN45" s="1779"/>
      <c r="FO45" s="1779"/>
      <c r="FP45" s="1779"/>
      <c r="FQ45" s="1779"/>
      <c r="FR45" s="1779"/>
      <c r="FS45" s="1779"/>
      <c r="FT45" s="1779"/>
      <c r="FU45" s="1779"/>
      <c r="FV45" s="1779"/>
      <c r="FW45" s="1779"/>
      <c r="FX45" s="1779"/>
      <c r="FY45" s="1779"/>
      <c r="FZ45" s="1779"/>
      <c r="GA45" s="1779"/>
      <c r="XES45" s="1780"/>
      <c r="XET45" s="1780"/>
      <c r="XEU45" s="1780"/>
      <c r="XEV45" s="1780"/>
      <c r="XEW45" s="1780"/>
      <c r="XEX45" s="1780"/>
      <c r="XEY45" s="1780"/>
      <c r="XEZ45" s="1780"/>
      <c r="XFA45" s="1780"/>
      <c r="XFB45" s="1780"/>
      <c r="XFC45" s="1780"/>
      <c r="XFD45" s="1780"/>
    </row>
    <row r="46" s="1663" customFormat="1" ht="36" customHeight="1" spans="1:16384">
      <c r="A46" s="1693">
        <v>45821</v>
      </c>
      <c r="B46" s="1694" t="s">
        <v>1671</v>
      </c>
      <c r="C46" s="1695" t="s">
        <v>398</v>
      </c>
      <c r="D46" s="1696">
        <v>4500169971</v>
      </c>
      <c r="E46" s="1694" t="s">
        <v>1682</v>
      </c>
      <c r="F46" s="1696" t="s">
        <v>1683</v>
      </c>
      <c r="G46" s="1697" t="s">
        <v>1489</v>
      </c>
      <c r="H46" s="1697" t="s">
        <v>1490</v>
      </c>
      <c r="I46" s="1704" t="s">
        <v>1491</v>
      </c>
      <c r="J46" s="1697">
        <v>54</v>
      </c>
      <c r="K46" s="1697">
        <v>0</v>
      </c>
      <c r="L46" s="1697">
        <v>18</v>
      </c>
      <c r="M46" s="1705">
        <v>3</v>
      </c>
      <c r="N46" s="1706">
        <v>45856</v>
      </c>
      <c r="O46" s="1707">
        <v>45852</v>
      </c>
      <c r="P46" s="1708"/>
      <c r="Q46" s="1708" t="s">
        <v>1480</v>
      </c>
      <c r="R46" s="1708"/>
      <c r="S46" s="1725" t="s">
        <v>1674</v>
      </c>
      <c r="T46" s="1724"/>
      <c r="U46" s="1724" t="s">
        <v>1675</v>
      </c>
      <c r="V46" s="1721" t="s">
        <v>1676</v>
      </c>
      <c r="W46" s="1719" t="s">
        <v>1677</v>
      </c>
      <c r="X46" s="1720" t="s">
        <v>220</v>
      </c>
      <c r="Y46" s="1739">
        <v>3.5711</v>
      </c>
      <c r="Z46" s="1740">
        <f t="shared" si="20"/>
        <v>192.8394</v>
      </c>
      <c r="AA46" s="1741"/>
      <c r="AB46" s="1741">
        <v>54</v>
      </c>
      <c r="AC46" s="1746">
        <f t="shared" si="18"/>
        <v>0</v>
      </c>
      <c r="AD46" s="1741" t="s">
        <v>81</v>
      </c>
      <c r="AE46" s="1742" t="s">
        <v>63</v>
      </c>
      <c r="AF46" s="1742" t="s">
        <v>38</v>
      </c>
      <c r="AG46" s="1720">
        <f t="shared" si="21"/>
        <v>54</v>
      </c>
      <c r="AH46" s="1720">
        <f t="shared" si="22"/>
        <v>54</v>
      </c>
      <c r="AI46" s="1754">
        <f t="shared" si="23"/>
        <v>54</v>
      </c>
      <c r="AJ46" s="1755"/>
      <c r="AK46" s="1756"/>
      <c r="AL46" s="1756">
        <f t="shared" si="19"/>
        <v>54</v>
      </c>
      <c r="AM46" s="1756"/>
      <c r="AN46" s="1756"/>
      <c r="AO46" s="1771"/>
      <c r="AP46" s="1771"/>
      <c r="AQ46" s="1772"/>
      <c r="AR46" s="1773"/>
      <c r="AS46" s="1754"/>
      <c r="AT46" s="1773"/>
      <c r="AU46" s="1774">
        <f t="shared" si="24"/>
        <v>54</v>
      </c>
      <c r="AV46" s="1775"/>
      <c r="AW46" s="1777"/>
      <c r="AX46" s="1777"/>
      <c r="AY46" s="1777"/>
      <c r="AZ46" s="1777"/>
      <c r="BA46" s="1777"/>
      <c r="BB46" s="1777"/>
      <c r="BC46" s="1777"/>
      <c r="BD46" s="1777"/>
      <c r="BE46" s="1777"/>
      <c r="BF46" s="1777"/>
      <c r="BG46" s="1777"/>
      <c r="BH46" s="1777"/>
      <c r="BI46" s="1777"/>
      <c r="BJ46" s="1777"/>
      <c r="BK46" s="1777"/>
      <c r="BL46" s="1777"/>
      <c r="BM46" s="1777"/>
      <c r="BN46" s="1777"/>
      <c r="BO46" s="1777"/>
      <c r="BP46" s="1777"/>
      <c r="BQ46" s="1777"/>
      <c r="BR46" s="1777"/>
      <c r="BS46" s="1777"/>
      <c r="BT46" s="1777"/>
      <c r="BU46" s="1777"/>
      <c r="BV46" s="1777"/>
      <c r="BW46" s="1777"/>
      <c r="BX46" s="1777"/>
      <c r="BY46" s="1777"/>
      <c r="BZ46" s="1777"/>
      <c r="CA46" s="1777"/>
      <c r="CB46" s="1777"/>
      <c r="CC46" s="1777"/>
      <c r="CD46" s="1777"/>
      <c r="CE46" s="1777"/>
      <c r="CF46" s="1777"/>
      <c r="CG46" s="1777"/>
      <c r="CH46" s="1777"/>
      <c r="CI46" s="1777"/>
      <c r="CJ46" s="1777"/>
      <c r="CK46" s="1777"/>
      <c r="CL46" s="1777"/>
      <c r="CM46" s="1777"/>
      <c r="CN46" s="1777"/>
      <c r="CO46" s="1777"/>
      <c r="CP46" s="1777"/>
      <c r="CQ46" s="1777"/>
      <c r="CR46" s="1777"/>
      <c r="CS46" s="1777"/>
      <c r="CT46" s="1777"/>
      <c r="CU46" s="1777"/>
      <c r="CV46" s="1777"/>
      <c r="CW46" s="1777"/>
      <c r="CX46" s="1777"/>
      <c r="CY46" s="1777"/>
      <c r="CZ46" s="1777"/>
      <c r="DA46" s="1777"/>
      <c r="DB46" s="1777"/>
      <c r="DC46" s="1777"/>
      <c r="DD46" s="1777"/>
      <c r="DE46" s="1777"/>
      <c r="DF46" s="1777"/>
      <c r="DG46" s="1777"/>
      <c r="DH46" s="1777"/>
      <c r="DI46" s="1777"/>
      <c r="DJ46" s="1777"/>
      <c r="DK46" s="1777"/>
      <c r="DL46" s="1777"/>
      <c r="DM46" s="1777"/>
      <c r="DN46" s="1777"/>
      <c r="DO46" s="1777"/>
      <c r="DP46" s="1777"/>
      <c r="DQ46" s="1777"/>
      <c r="DR46" s="1777"/>
      <c r="DS46" s="1777"/>
      <c r="DT46" s="1777"/>
      <c r="DU46" s="1777"/>
      <c r="DV46" s="1777"/>
      <c r="DW46" s="1777"/>
      <c r="DX46" s="1779"/>
      <c r="DY46" s="1779"/>
      <c r="DZ46" s="1779"/>
      <c r="EA46" s="1779"/>
      <c r="EB46" s="1779"/>
      <c r="EC46" s="1779"/>
      <c r="ED46" s="1779"/>
      <c r="EE46" s="1779"/>
      <c r="EF46" s="1779"/>
      <c r="EG46" s="1779"/>
      <c r="EH46" s="1779"/>
      <c r="EI46" s="1779"/>
      <c r="EJ46" s="1779"/>
      <c r="EK46" s="1779"/>
      <c r="EL46" s="1779"/>
      <c r="EM46" s="1779"/>
      <c r="EN46" s="1779"/>
      <c r="EO46" s="1779"/>
      <c r="EP46" s="1779"/>
      <c r="EQ46" s="1779"/>
      <c r="ER46" s="1779"/>
      <c r="ES46" s="1779"/>
      <c r="ET46" s="1779"/>
      <c r="EU46" s="1779"/>
      <c r="EV46" s="1779"/>
      <c r="EW46" s="1779"/>
      <c r="EX46" s="1779"/>
      <c r="EY46" s="1779"/>
      <c r="EZ46" s="1779"/>
      <c r="FA46" s="1779"/>
      <c r="FB46" s="1779"/>
      <c r="FC46" s="1779"/>
      <c r="FD46" s="1779"/>
      <c r="FE46" s="1779"/>
      <c r="FF46" s="1779"/>
      <c r="FG46" s="1779"/>
      <c r="FH46" s="1779"/>
      <c r="FI46" s="1779"/>
      <c r="FJ46" s="1779"/>
      <c r="FK46" s="1779"/>
      <c r="FL46" s="1779"/>
      <c r="FM46" s="1779"/>
      <c r="FN46" s="1779"/>
      <c r="FO46" s="1779"/>
      <c r="FP46" s="1779"/>
      <c r="FQ46" s="1779"/>
      <c r="FR46" s="1779"/>
      <c r="FS46" s="1779"/>
      <c r="FT46" s="1779"/>
      <c r="FU46" s="1779"/>
      <c r="FV46" s="1779"/>
      <c r="FW46" s="1779"/>
      <c r="FX46" s="1779"/>
      <c r="FY46" s="1779"/>
      <c r="FZ46" s="1779"/>
      <c r="GA46" s="1779"/>
      <c r="XES46" s="1780"/>
      <c r="XET46" s="1780"/>
      <c r="XEU46" s="1780"/>
      <c r="XEV46" s="1780"/>
      <c r="XEW46" s="1780"/>
      <c r="XEX46" s="1780"/>
      <c r="XEY46" s="1780"/>
      <c r="XEZ46" s="1780"/>
      <c r="XFA46" s="1780"/>
      <c r="XFB46" s="1780"/>
      <c r="XFC46" s="1780"/>
      <c r="XFD46" s="1780"/>
    </row>
    <row r="47" s="1663" customFormat="1" ht="36" customHeight="1" spans="1:16384">
      <c r="A47" s="1693">
        <v>45821</v>
      </c>
      <c r="B47" s="1694" t="s">
        <v>1671</v>
      </c>
      <c r="C47" s="1695" t="s">
        <v>398</v>
      </c>
      <c r="D47" s="1696">
        <v>4500169971</v>
      </c>
      <c r="E47" s="1694" t="s">
        <v>1684</v>
      </c>
      <c r="F47" s="1696" t="s">
        <v>1685</v>
      </c>
      <c r="G47" s="1697" t="s">
        <v>1489</v>
      </c>
      <c r="H47" s="1697" t="s">
        <v>1490</v>
      </c>
      <c r="I47" s="1704" t="s">
        <v>1491</v>
      </c>
      <c r="J47" s="1697">
        <v>36</v>
      </c>
      <c r="K47" s="1697">
        <v>0</v>
      </c>
      <c r="L47" s="1697">
        <v>18</v>
      </c>
      <c r="M47" s="1705">
        <v>2</v>
      </c>
      <c r="N47" s="1706">
        <v>45856</v>
      </c>
      <c r="O47" s="1707">
        <v>45852</v>
      </c>
      <c r="P47" s="1708"/>
      <c r="Q47" s="1708" t="s">
        <v>1480</v>
      </c>
      <c r="R47" s="1708"/>
      <c r="S47" s="1725" t="s">
        <v>1674</v>
      </c>
      <c r="T47" s="1724"/>
      <c r="U47" s="1724" t="s">
        <v>1675</v>
      </c>
      <c r="V47" s="1721" t="s">
        <v>1676</v>
      </c>
      <c r="W47" s="1719" t="s">
        <v>1677</v>
      </c>
      <c r="X47" s="1720" t="s">
        <v>220</v>
      </c>
      <c r="Y47" s="1739">
        <v>3.5711</v>
      </c>
      <c r="Z47" s="1740">
        <f t="shared" si="20"/>
        <v>128.5596</v>
      </c>
      <c r="AA47" s="1741"/>
      <c r="AB47" s="1741">
        <v>36</v>
      </c>
      <c r="AC47" s="1746">
        <f t="shared" si="18"/>
        <v>0</v>
      </c>
      <c r="AD47" s="1741" t="s">
        <v>81</v>
      </c>
      <c r="AE47" s="1742" t="s">
        <v>63</v>
      </c>
      <c r="AF47" s="1742" t="s">
        <v>38</v>
      </c>
      <c r="AG47" s="1720">
        <f t="shared" si="21"/>
        <v>36</v>
      </c>
      <c r="AH47" s="1720">
        <f t="shared" si="22"/>
        <v>36</v>
      </c>
      <c r="AI47" s="1754">
        <f t="shared" si="23"/>
        <v>36</v>
      </c>
      <c r="AJ47" s="1755"/>
      <c r="AK47" s="1756"/>
      <c r="AL47" s="1756">
        <f t="shared" si="19"/>
        <v>36</v>
      </c>
      <c r="AM47" s="1756"/>
      <c r="AN47" s="1756"/>
      <c r="AO47" s="1771"/>
      <c r="AP47" s="1771"/>
      <c r="AQ47" s="1772"/>
      <c r="AR47" s="1773"/>
      <c r="AS47" s="1754"/>
      <c r="AT47" s="1773"/>
      <c r="AU47" s="1774">
        <f t="shared" si="24"/>
        <v>36</v>
      </c>
      <c r="AV47" s="1775"/>
      <c r="AW47" s="1777"/>
      <c r="AX47" s="1777"/>
      <c r="AY47" s="1777"/>
      <c r="AZ47" s="1777"/>
      <c r="BA47" s="1777"/>
      <c r="BB47" s="1777"/>
      <c r="BC47" s="1777"/>
      <c r="BD47" s="1777"/>
      <c r="BE47" s="1777"/>
      <c r="BF47" s="1777"/>
      <c r="BG47" s="1777"/>
      <c r="BH47" s="1777"/>
      <c r="BI47" s="1777"/>
      <c r="BJ47" s="1777"/>
      <c r="BK47" s="1777"/>
      <c r="BL47" s="1777"/>
      <c r="BM47" s="1777"/>
      <c r="BN47" s="1777"/>
      <c r="BO47" s="1777"/>
      <c r="BP47" s="1777"/>
      <c r="BQ47" s="1777"/>
      <c r="BR47" s="1777"/>
      <c r="BS47" s="1777"/>
      <c r="BT47" s="1777"/>
      <c r="BU47" s="1777"/>
      <c r="BV47" s="1777"/>
      <c r="BW47" s="1777"/>
      <c r="BX47" s="1777"/>
      <c r="BY47" s="1777"/>
      <c r="BZ47" s="1777"/>
      <c r="CA47" s="1777"/>
      <c r="CB47" s="1777"/>
      <c r="CC47" s="1777"/>
      <c r="CD47" s="1777"/>
      <c r="CE47" s="1777"/>
      <c r="CF47" s="1777"/>
      <c r="CG47" s="1777"/>
      <c r="CH47" s="1777"/>
      <c r="CI47" s="1777"/>
      <c r="CJ47" s="1777"/>
      <c r="CK47" s="1777"/>
      <c r="CL47" s="1777"/>
      <c r="CM47" s="1777"/>
      <c r="CN47" s="1777"/>
      <c r="CO47" s="1777"/>
      <c r="CP47" s="1777"/>
      <c r="CQ47" s="1777"/>
      <c r="CR47" s="1777"/>
      <c r="CS47" s="1777"/>
      <c r="CT47" s="1777"/>
      <c r="CU47" s="1777"/>
      <c r="CV47" s="1777"/>
      <c r="CW47" s="1777"/>
      <c r="CX47" s="1777"/>
      <c r="CY47" s="1777"/>
      <c r="CZ47" s="1777"/>
      <c r="DA47" s="1777"/>
      <c r="DB47" s="1777"/>
      <c r="DC47" s="1777"/>
      <c r="DD47" s="1777"/>
      <c r="DE47" s="1777"/>
      <c r="DF47" s="1777"/>
      <c r="DG47" s="1777"/>
      <c r="DH47" s="1777"/>
      <c r="DI47" s="1777"/>
      <c r="DJ47" s="1777"/>
      <c r="DK47" s="1777"/>
      <c r="DL47" s="1777"/>
      <c r="DM47" s="1777"/>
      <c r="DN47" s="1777"/>
      <c r="DO47" s="1777"/>
      <c r="DP47" s="1777"/>
      <c r="DQ47" s="1777"/>
      <c r="DR47" s="1777"/>
      <c r="DS47" s="1777"/>
      <c r="DT47" s="1777"/>
      <c r="DU47" s="1777"/>
      <c r="DV47" s="1777"/>
      <c r="DW47" s="1777"/>
      <c r="DX47" s="1779"/>
      <c r="DY47" s="1779"/>
      <c r="DZ47" s="1779"/>
      <c r="EA47" s="1779"/>
      <c r="EB47" s="1779"/>
      <c r="EC47" s="1779"/>
      <c r="ED47" s="1779"/>
      <c r="EE47" s="1779"/>
      <c r="EF47" s="1779"/>
      <c r="EG47" s="1779"/>
      <c r="EH47" s="1779"/>
      <c r="EI47" s="1779"/>
      <c r="EJ47" s="1779"/>
      <c r="EK47" s="1779"/>
      <c r="EL47" s="1779"/>
      <c r="EM47" s="1779"/>
      <c r="EN47" s="1779"/>
      <c r="EO47" s="1779"/>
      <c r="EP47" s="1779"/>
      <c r="EQ47" s="1779"/>
      <c r="ER47" s="1779"/>
      <c r="ES47" s="1779"/>
      <c r="ET47" s="1779"/>
      <c r="EU47" s="1779"/>
      <c r="EV47" s="1779"/>
      <c r="EW47" s="1779"/>
      <c r="EX47" s="1779"/>
      <c r="EY47" s="1779"/>
      <c r="EZ47" s="1779"/>
      <c r="FA47" s="1779"/>
      <c r="FB47" s="1779"/>
      <c r="FC47" s="1779"/>
      <c r="FD47" s="1779"/>
      <c r="FE47" s="1779"/>
      <c r="FF47" s="1779"/>
      <c r="FG47" s="1779"/>
      <c r="FH47" s="1779"/>
      <c r="FI47" s="1779"/>
      <c r="FJ47" s="1779"/>
      <c r="FK47" s="1779"/>
      <c r="FL47" s="1779"/>
      <c r="FM47" s="1779"/>
      <c r="FN47" s="1779"/>
      <c r="FO47" s="1779"/>
      <c r="FP47" s="1779"/>
      <c r="FQ47" s="1779"/>
      <c r="FR47" s="1779"/>
      <c r="FS47" s="1779"/>
      <c r="FT47" s="1779"/>
      <c r="FU47" s="1779"/>
      <c r="FV47" s="1779"/>
      <c r="FW47" s="1779"/>
      <c r="FX47" s="1779"/>
      <c r="FY47" s="1779"/>
      <c r="FZ47" s="1779"/>
      <c r="GA47" s="1779"/>
      <c r="XES47" s="1780"/>
      <c r="XET47" s="1780"/>
      <c r="XEU47" s="1780"/>
      <c r="XEV47" s="1780"/>
      <c r="XEW47" s="1780"/>
      <c r="XEX47" s="1780"/>
      <c r="XEY47" s="1780"/>
      <c r="XEZ47" s="1780"/>
      <c r="XFA47" s="1780"/>
      <c r="XFB47" s="1780"/>
      <c r="XFC47" s="1780"/>
      <c r="XFD47" s="1780"/>
    </row>
    <row r="48" s="1663" customFormat="1" ht="36" customHeight="1" spans="1:16384">
      <c r="A48" s="1693">
        <v>45821</v>
      </c>
      <c r="B48" s="1694" t="s">
        <v>1671</v>
      </c>
      <c r="C48" s="1695" t="s">
        <v>398</v>
      </c>
      <c r="D48" s="1696">
        <v>4500169971</v>
      </c>
      <c r="E48" s="1694" t="s">
        <v>1686</v>
      </c>
      <c r="F48" s="1696" t="s">
        <v>1687</v>
      </c>
      <c r="G48" s="1697" t="s">
        <v>1489</v>
      </c>
      <c r="H48" s="1697" t="s">
        <v>1490</v>
      </c>
      <c r="I48" s="1704" t="s">
        <v>1491</v>
      </c>
      <c r="J48" s="1697">
        <v>72</v>
      </c>
      <c r="K48" s="1697">
        <v>0</v>
      </c>
      <c r="L48" s="1697">
        <v>18</v>
      </c>
      <c r="M48" s="1705">
        <v>4</v>
      </c>
      <c r="N48" s="1706">
        <v>45856</v>
      </c>
      <c r="O48" s="1707">
        <v>45852</v>
      </c>
      <c r="P48" s="1708"/>
      <c r="Q48" s="1708" t="s">
        <v>1480</v>
      </c>
      <c r="R48" s="1708"/>
      <c r="S48" s="1725" t="s">
        <v>1674</v>
      </c>
      <c r="T48" s="1724"/>
      <c r="U48" s="1724" t="s">
        <v>1675</v>
      </c>
      <c r="V48" s="1721" t="s">
        <v>1676</v>
      </c>
      <c r="W48" s="1719" t="s">
        <v>1677</v>
      </c>
      <c r="X48" s="1720" t="s">
        <v>220</v>
      </c>
      <c r="Y48" s="1739">
        <v>3.5711</v>
      </c>
      <c r="Z48" s="1740">
        <f t="shared" si="20"/>
        <v>257.1192</v>
      </c>
      <c r="AA48" s="1741"/>
      <c r="AB48" s="1741">
        <v>72</v>
      </c>
      <c r="AC48" s="1746">
        <f t="shared" si="18"/>
        <v>0</v>
      </c>
      <c r="AD48" s="1741" t="s">
        <v>81</v>
      </c>
      <c r="AE48" s="1742" t="s">
        <v>63</v>
      </c>
      <c r="AF48" s="1742" t="s">
        <v>38</v>
      </c>
      <c r="AG48" s="1720">
        <f t="shared" si="21"/>
        <v>72</v>
      </c>
      <c r="AH48" s="1720">
        <f t="shared" si="22"/>
        <v>72</v>
      </c>
      <c r="AI48" s="1754">
        <f t="shared" si="23"/>
        <v>72</v>
      </c>
      <c r="AJ48" s="1755"/>
      <c r="AK48" s="1756"/>
      <c r="AL48" s="1756">
        <f t="shared" si="19"/>
        <v>72</v>
      </c>
      <c r="AM48" s="1756"/>
      <c r="AN48" s="1756"/>
      <c r="AO48" s="1771"/>
      <c r="AP48" s="1771"/>
      <c r="AQ48" s="1772"/>
      <c r="AR48" s="1773"/>
      <c r="AS48" s="1754"/>
      <c r="AT48" s="1773"/>
      <c r="AU48" s="1774">
        <f t="shared" si="24"/>
        <v>72</v>
      </c>
      <c r="AV48" s="1775"/>
      <c r="AW48" s="1777"/>
      <c r="AX48" s="1777"/>
      <c r="AY48" s="1777"/>
      <c r="AZ48" s="1777"/>
      <c r="BA48" s="1777"/>
      <c r="BB48" s="1777"/>
      <c r="BC48" s="1777"/>
      <c r="BD48" s="1777"/>
      <c r="BE48" s="1777"/>
      <c r="BF48" s="1777"/>
      <c r="BG48" s="1777"/>
      <c r="BH48" s="1777"/>
      <c r="BI48" s="1777"/>
      <c r="BJ48" s="1777"/>
      <c r="BK48" s="1777"/>
      <c r="BL48" s="1777"/>
      <c r="BM48" s="1777"/>
      <c r="BN48" s="1777"/>
      <c r="BO48" s="1777"/>
      <c r="BP48" s="1777"/>
      <c r="BQ48" s="1777"/>
      <c r="BR48" s="1777"/>
      <c r="BS48" s="1777"/>
      <c r="BT48" s="1777"/>
      <c r="BU48" s="1777"/>
      <c r="BV48" s="1777"/>
      <c r="BW48" s="1777"/>
      <c r="BX48" s="1777"/>
      <c r="BY48" s="1777"/>
      <c r="BZ48" s="1777"/>
      <c r="CA48" s="1777"/>
      <c r="CB48" s="1777"/>
      <c r="CC48" s="1777"/>
      <c r="CD48" s="1777"/>
      <c r="CE48" s="1777"/>
      <c r="CF48" s="1777"/>
      <c r="CG48" s="1777"/>
      <c r="CH48" s="1777"/>
      <c r="CI48" s="1777"/>
      <c r="CJ48" s="1777"/>
      <c r="CK48" s="1777"/>
      <c r="CL48" s="1777"/>
      <c r="CM48" s="1777"/>
      <c r="CN48" s="1777"/>
      <c r="CO48" s="1777"/>
      <c r="CP48" s="1777"/>
      <c r="CQ48" s="1777"/>
      <c r="CR48" s="1777"/>
      <c r="CS48" s="1777"/>
      <c r="CT48" s="1777"/>
      <c r="CU48" s="1777"/>
      <c r="CV48" s="1777"/>
      <c r="CW48" s="1777"/>
      <c r="CX48" s="1777"/>
      <c r="CY48" s="1777"/>
      <c r="CZ48" s="1777"/>
      <c r="DA48" s="1777"/>
      <c r="DB48" s="1777"/>
      <c r="DC48" s="1777"/>
      <c r="DD48" s="1777"/>
      <c r="DE48" s="1777"/>
      <c r="DF48" s="1777"/>
      <c r="DG48" s="1777"/>
      <c r="DH48" s="1777"/>
      <c r="DI48" s="1777"/>
      <c r="DJ48" s="1777"/>
      <c r="DK48" s="1777"/>
      <c r="DL48" s="1777"/>
      <c r="DM48" s="1777"/>
      <c r="DN48" s="1777"/>
      <c r="DO48" s="1777"/>
      <c r="DP48" s="1777"/>
      <c r="DQ48" s="1777"/>
      <c r="DR48" s="1777"/>
      <c r="DS48" s="1777"/>
      <c r="DT48" s="1777"/>
      <c r="DU48" s="1777"/>
      <c r="DV48" s="1777"/>
      <c r="DW48" s="1777"/>
      <c r="DX48" s="1779"/>
      <c r="DY48" s="1779"/>
      <c r="DZ48" s="1779"/>
      <c r="EA48" s="1779"/>
      <c r="EB48" s="1779"/>
      <c r="EC48" s="1779"/>
      <c r="ED48" s="1779"/>
      <c r="EE48" s="1779"/>
      <c r="EF48" s="1779"/>
      <c r="EG48" s="1779"/>
      <c r="EH48" s="1779"/>
      <c r="EI48" s="1779"/>
      <c r="EJ48" s="1779"/>
      <c r="EK48" s="1779"/>
      <c r="EL48" s="1779"/>
      <c r="EM48" s="1779"/>
      <c r="EN48" s="1779"/>
      <c r="EO48" s="1779"/>
      <c r="EP48" s="1779"/>
      <c r="EQ48" s="1779"/>
      <c r="ER48" s="1779"/>
      <c r="ES48" s="1779"/>
      <c r="ET48" s="1779"/>
      <c r="EU48" s="1779"/>
      <c r="EV48" s="1779"/>
      <c r="EW48" s="1779"/>
      <c r="EX48" s="1779"/>
      <c r="EY48" s="1779"/>
      <c r="EZ48" s="1779"/>
      <c r="FA48" s="1779"/>
      <c r="FB48" s="1779"/>
      <c r="FC48" s="1779"/>
      <c r="FD48" s="1779"/>
      <c r="FE48" s="1779"/>
      <c r="FF48" s="1779"/>
      <c r="FG48" s="1779"/>
      <c r="FH48" s="1779"/>
      <c r="FI48" s="1779"/>
      <c r="FJ48" s="1779"/>
      <c r="FK48" s="1779"/>
      <c r="FL48" s="1779"/>
      <c r="FM48" s="1779"/>
      <c r="FN48" s="1779"/>
      <c r="FO48" s="1779"/>
      <c r="FP48" s="1779"/>
      <c r="FQ48" s="1779"/>
      <c r="FR48" s="1779"/>
      <c r="FS48" s="1779"/>
      <c r="FT48" s="1779"/>
      <c r="FU48" s="1779"/>
      <c r="FV48" s="1779"/>
      <c r="FW48" s="1779"/>
      <c r="FX48" s="1779"/>
      <c r="FY48" s="1779"/>
      <c r="FZ48" s="1779"/>
      <c r="GA48" s="1779"/>
      <c r="XES48" s="1780"/>
      <c r="XET48" s="1780"/>
      <c r="XEU48" s="1780"/>
      <c r="XEV48" s="1780"/>
      <c r="XEW48" s="1780"/>
      <c r="XEX48" s="1780"/>
      <c r="XEY48" s="1780"/>
      <c r="XEZ48" s="1780"/>
      <c r="XFA48" s="1780"/>
      <c r="XFB48" s="1780"/>
      <c r="XFC48" s="1780"/>
      <c r="XFD48" s="1780"/>
    </row>
    <row r="49" s="1663" customFormat="1" ht="36" customHeight="1" spans="1:16384">
      <c r="A49" s="1693">
        <v>45824</v>
      </c>
      <c r="B49" s="1694" t="s">
        <v>1671</v>
      </c>
      <c r="C49" s="1695" t="s">
        <v>398</v>
      </c>
      <c r="D49" s="1696">
        <v>4500170137</v>
      </c>
      <c r="E49" s="1694" t="s">
        <v>1688</v>
      </c>
      <c r="F49" s="1696" t="s">
        <v>1689</v>
      </c>
      <c r="G49" s="1697" t="s">
        <v>1489</v>
      </c>
      <c r="H49" s="1697" t="s">
        <v>1490</v>
      </c>
      <c r="I49" s="1704" t="s">
        <v>1491</v>
      </c>
      <c r="J49" s="1697">
        <v>36</v>
      </c>
      <c r="K49" s="1697">
        <v>0</v>
      </c>
      <c r="L49" s="1697">
        <v>18</v>
      </c>
      <c r="M49" s="1705">
        <v>2</v>
      </c>
      <c r="N49" s="1706">
        <v>45859</v>
      </c>
      <c r="O49" s="1707">
        <v>45855</v>
      </c>
      <c r="P49" s="1708"/>
      <c r="Q49" s="1708" t="s">
        <v>1480</v>
      </c>
      <c r="R49" s="1708"/>
      <c r="S49" s="1726" t="s">
        <v>1690</v>
      </c>
      <c r="T49" s="1724"/>
      <c r="U49" s="1724" t="s">
        <v>1691</v>
      </c>
      <c r="V49" s="1721" t="s">
        <v>1676</v>
      </c>
      <c r="W49" s="1719" t="s">
        <v>1692</v>
      </c>
      <c r="X49" s="1720" t="s">
        <v>220</v>
      </c>
      <c r="Y49" s="1739">
        <v>3.5711</v>
      </c>
      <c r="Z49" s="1740">
        <f t="shared" si="20"/>
        <v>128.5596</v>
      </c>
      <c r="AA49" s="1741"/>
      <c r="AB49" s="1741">
        <v>36</v>
      </c>
      <c r="AC49" s="1746">
        <f t="shared" si="18"/>
        <v>0</v>
      </c>
      <c r="AD49" s="1741" t="s">
        <v>81</v>
      </c>
      <c r="AE49" s="1742" t="s">
        <v>63</v>
      </c>
      <c r="AF49" s="1742" t="s">
        <v>38</v>
      </c>
      <c r="AG49" s="1720">
        <f t="shared" si="21"/>
        <v>36</v>
      </c>
      <c r="AH49" s="1720">
        <f t="shared" si="22"/>
        <v>36</v>
      </c>
      <c r="AI49" s="1754">
        <f t="shared" si="23"/>
        <v>36</v>
      </c>
      <c r="AJ49" s="1755"/>
      <c r="AK49" s="1756"/>
      <c r="AL49" s="1756">
        <f t="shared" si="19"/>
        <v>36</v>
      </c>
      <c r="AM49" s="1756"/>
      <c r="AN49" s="1756"/>
      <c r="AO49" s="1771"/>
      <c r="AP49" s="1771"/>
      <c r="AQ49" s="1772"/>
      <c r="AR49" s="1773"/>
      <c r="AS49" s="1754"/>
      <c r="AT49" s="1773"/>
      <c r="AU49" s="1774">
        <f t="shared" si="24"/>
        <v>36</v>
      </c>
      <c r="AV49" s="1775"/>
      <c r="AW49" s="1777"/>
      <c r="AX49" s="1777"/>
      <c r="AY49" s="1777"/>
      <c r="AZ49" s="1777"/>
      <c r="BA49" s="1777"/>
      <c r="BB49" s="1777"/>
      <c r="BC49" s="1777"/>
      <c r="BD49" s="1777"/>
      <c r="BE49" s="1777"/>
      <c r="BF49" s="1777"/>
      <c r="BG49" s="1777"/>
      <c r="BH49" s="1777"/>
      <c r="BI49" s="1777"/>
      <c r="BJ49" s="1777"/>
      <c r="BK49" s="1777"/>
      <c r="BL49" s="1777"/>
      <c r="BM49" s="1777"/>
      <c r="BN49" s="1777"/>
      <c r="BO49" s="1777"/>
      <c r="BP49" s="1777"/>
      <c r="BQ49" s="1777"/>
      <c r="BR49" s="1777"/>
      <c r="BS49" s="1777"/>
      <c r="BT49" s="1777"/>
      <c r="BU49" s="1777"/>
      <c r="BV49" s="1777"/>
      <c r="BW49" s="1777"/>
      <c r="BX49" s="1777"/>
      <c r="BY49" s="1777"/>
      <c r="BZ49" s="1777"/>
      <c r="CA49" s="1777"/>
      <c r="CB49" s="1777"/>
      <c r="CC49" s="1777"/>
      <c r="CD49" s="1777"/>
      <c r="CE49" s="1777"/>
      <c r="CF49" s="1777"/>
      <c r="CG49" s="1777"/>
      <c r="CH49" s="1777"/>
      <c r="CI49" s="1777"/>
      <c r="CJ49" s="1777"/>
      <c r="CK49" s="1777"/>
      <c r="CL49" s="1777"/>
      <c r="CM49" s="1777"/>
      <c r="CN49" s="1777"/>
      <c r="CO49" s="1777"/>
      <c r="CP49" s="1777"/>
      <c r="CQ49" s="1777"/>
      <c r="CR49" s="1777"/>
      <c r="CS49" s="1777"/>
      <c r="CT49" s="1777"/>
      <c r="CU49" s="1777"/>
      <c r="CV49" s="1777"/>
      <c r="CW49" s="1777"/>
      <c r="CX49" s="1777"/>
      <c r="CY49" s="1777"/>
      <c r="CZ49" s="1777"/>
      <c r="DA49" s="1777"/>
      <c r="DB49" s="1777"/>
      <c r="DC49" s="1777"/>
      <c r="DD49" s="1777"/>
      <c r="DE49" s="1777"/>
      <c r="DF49" s="1777"/>
      <c r="DG49" s="1777"/>
      <c r="DH49" s="1777"/>
      <c r="DI49" s="1777"/>
      <c r="DJ49" s="1777"/>
      <c r="DK49" s="1777"/>
      <c r="DL49" s="1777"/>
      <c r="DM49" s="1777"/>
      <c r="DN49" s="1777"/>
      <c r="DO49" s="1777"/>
      <c r="DP49" s="1777"/>
      <c r="DQ49" s="1777"/>
      <c r="DR49" s="1777"/>
      <c r="DS49" s="1777"/>
      <c r="DT49" s="1777"/>
      <c r="DU49" s="1777"/>
      <c r="DV49" s="1777"/>
      <c r="DW49" s="1777"/>
      <c r="DX49" s="1779"/>
      <c r="DY49" s="1779"/>
      <c r="DZ49" s="1779"/>
      <c r="EA49" s="1779"/>
      <c r="EB49" s="1779"/>
      <c r="EC49" s="1779"/>
      <c r="ED49" s="1779"/>
      <c r="EE49" s="1779"/>
      <c r="EF49" s="1779"/>
      <c r="EG49" s="1779"/>
      <c r="EH49" s="1779"/>
      <c r="EI49" s="1779"/>
      <c r="EJ49" s="1779"/>
      <c r="EK49" s="1779"/>
      <c r="EL49" s="1779"/>
      <c r="EM49" s="1779"/>
      <c r="EN49" s="1779"/>
      <c r="EO49" s="1779"/>
      <c r="EP49" s="1779"/>
      <c r="EQ49" s="1779"/>
      <c r="ER49" s="1779"/>
      <c r="ES49" s="1779"/>
      <c r="ET49" s="1779"/>
      <c r="EU49" s="1779"/>
      <c r="EV49" s="1779"/>
      <c r="EW49" s="1779"/>
      <c r="EX49" s="1779"/>
      <c r="EY49" s="1779"/>
      <c r="EZ49" s="1779"/>
      <c r="FA49" s="1779"/>
      <c r="FB49" s="1779"/>
      <c r="FC49" s="1779"/>
      <c r="FD49" s="1779"/>
      <c r="FE49" s="1779"/>
      <c r="FF49" s="1779"/>
      <c r="FG49" s="1779"/>
      <c r="FH49" s="1779"/>
      <c r="FI49" s="1779"/>
      <c r="FJ49" s="1779"/>
      <c r="FK49" s="1779"/>
      <c r="FL49" s="1779"/>
      <c r="FM49" s="1779"/>
      <c r="FN49" s="1779"/>
      <c r="FO49" s="1779"/>
      <c r="FP49" s="1779"/>
      <c r="FQ49" s="1779"/>
      <c r="FR49" s="1779"/>
      <c r="FS49" s="1779"/>
      <c r="FT49" s="1779"/>
      <c r="FU49" s="1779"/>
      <c r="FV49" s="1779"/>
      <c r="FW49" s="1779"/>
      <c r="FX49" s="1779"/>
      <c r="FY49" s="1779"/>
      <c r="FZ49" s="1779"/>
      <c r="GA49" s="1779"/>
      <c r="XES49" s="1780"/>
      <c r="XET49" s="1780"/>
      <c r="XEU49" s="1780"/>
      <c r="XEV49" s="1780"/>
      <c r="XEW49" s="1780"/>
      <c r="XEX49" s="1780"/>
      <c r="XEY49" s="1780"/>
      <c r="XEZ49" s="1780"/>
      <c r="XFA49" s="1780"/>
      <c r="XFB49" s="1780"/>
      <c r="XFC49" s="1780"/>
      <c r="XFD49" s="1780"/>
    </row>
    <row r="50" s="1663" customFormat="1" ht="36" customHeight="1" spans="1:16384">
      <c r="A50" s="1693">
        <v>45824</v>
      </c>
      <c r="B50" s="1694" t="s">
        <v>1671</v>
      </c>
      <c r="C50" s="1695" t="s">
        <v>398</v>
      </c>
      <c r="D50" s="1696">
        <v>4500170137</v>
      </c>
      <c r="E50" s="1694" t="s">
        <v>1693</v>
      </c>
      <c r="F50" s="1696" t="s">
        <v>1694</v>
      </c>
      <c r="G50" s="1697" t="s">
        <v>1489</v>
      </c>
      <c r="H50" s="1697" t="s">
        <v>1490</v>
      </c>
      <c r="I50" s="1704" t="s">
        <v>1491</v>
      </c>
      <c r="J50" s="1697">
        <v>18</v>
      </c>
      <c r="K50" s="1697">
        <v>0</v>
      </c>
      <c r="L50" s="1697">
        <v>18</v>
      </c>
      <c r="M50" s="1705">
        <v>1</v>
      </c>
      <c r="N50" s="1706">
        <v>45859</v>
      </c>
      <c r="O50" s="1707">
        <v>45855</v>
      </c>
      <c r="P50" s="1708"/>
      <c r="Q50" s="1708" t="s">
        <v>1480</v>
      </c>
      <c r="R50" s="1708"/>
      <c r="S50" s="1726" t="s">
        <v>1690</v>
      </c>
      <c r="T50" s="1724"/>
      <c r="U50" s="1724" t="s">
        <v>1691</v>
      </c>
      <c r="V50" s="1721" t="s">
        <v>1676</v>
      </c>
      <c r="W50" s="1719" t="s">
        <v>1692</v>
      </c>
      <c r="X50" s="1720" t="s">
        <v>220</v>
      </c>
      <c r="Y50" s="1739">
        <v>3.5711</v>
      </c>
      <c r="Z50" s="1740">
        <f t="shared" si="20"/>
        <v>64.2798</v>
      </c>
      <c r="AA50" s="1741"/>
      <c r="AB50" s="1741">
        <v>18</v>
      </c>
      <c r="AC50" s="1746">
        <f t="shared" si="18"/>
        <v>0</v>
      </c>
      <c r="AD50" s="1741" t="s">
        <v>81</v>
      </c>
      <c r="AE50" s="1742" t="s">
        <v>63</v>
      </c>
      <c r="AF50" s="1742" t="s">
        <v>38</v>
      </c>
      <c r="AG50" s="1720">
        <f t="shared" si="21"/>
        <v>18</v>
      </c>
      <c r="AH50" s="1720">
        <f t="shared" si="22"/>
        <v>18</v>
      </c>
      <c r="AI50" s="1754">
        <f t="shared" si="23"/>
        <v>18</v>
      </c>
      <c r="AJ50" s="1755"/>
      <c r="AK50" s="1756"/>
      <c r="AL50" s="1756">
        <f t="shared" si="19"/>
        <v>18</v>
      </c>
      <c r="AM50" s="1756"/>
      <c r="AN50" s="1756"/>
      <c r="AO50" s="1771"/>
      <c r="AP50" s="1771"/>
      <c r="AQ50" s="1772"/>
      <c r="AR50" s="1773"/>
      <c r="AS50" s="1754"/>
      <c r="AT50" s="1773"/>
      <c r="AU50" s="1774">
        <f t="shared" si="24"/>
        <v>18</v>
      </c>
      <c r="AV50" s="1775"/>
      <c r="AW50" s="1777"/>
      <c r="AX50" s="1777"/>
      <c r="AY50" s="1777"/>
      <c r="AZ50" s="1777"/>
      <c r="BA50" s="1777"/>
      <c r="BB50" s="1777"/>
      <c r="BC50" s="1777"/>
      <c r="BD50" s="1777"/>
      <c r="BE50" s="1777"/>
      <c r="BF50" s="1777"/>
      <c r="BG50" s="1777"/>
      <c r="BH50" s="1777"/>
      <c r="BI50" s="1777"/>
      <c r="BJ50" s="1777"/>
      <c r="BK50" s="1777"/>
      <c r="BL50" s="1777"/>
      <c r="BM50" s="1777"/>
      <c r="BN50" s="1777"/>
      <c r="BO50" s="1777"/>
      <c r="BP50" s="1777"/>
      <c r="BQ50" s="1777"/>
      <c r="BR50" s="1777"/>
      <c r="BS50" s="1777"/>
      <c r="BT50" s="1777"/>
      <c r="BU50" s="1777"/>
      <c r="BV50" s="1777"/>
      <c r="BW50" s="1777"/>
      <c r="BX50" s="1777"/>
      <c r="BY50" s="1777"/>
      <c r="BZ50" s="1777"/>
      <c r="CA50" s="1777"/>
      <c r="CB50" s="1777"/>
      <c r="CC50" s="1777"/>
      <c r="CD50" s="1777"/>
      <c r="CE50" s="1777"/>
      <c r="CF50" s="1777"/>
      <c r="CG50" s="1777"/>
      <c r="CH50" s="1777"/>
      <c r="CI50" s="1777"/>
      <c r="CJ50" s="1777"/>
      <c r="CK50" s="1777"/>
      <c r="CL50" s="1777"/>
      <c r="CM50" s="1777"/>
      <c r="CN50" s="1777"/>
      <c r="CO50" s="1777"/>
      <c r="CP50" s="1777"/>
      <c r="CQ50" s="1777"/>
      <c r="CR50" s="1777"/>
      <c r="CS50" s="1777"/>
      <c r="CT50" s="1777"/>
      <c r="CU50" s="1777"/>
      <c r="CV50" s="1777"/>
      <c r="CW50" s="1777"/>
      <c r="CX50" s="1777"/>
      <c r="CY50" s="1777"/>
      <c r="CZ50" s="1777"/>
      <c r="DA50" s="1777"/>
      <c r="DB50" s="1777"/>
      <c r="DC50" s="1777"/>
      <c r="DD50" s="1777"/>
      <c r="DE50" s="1777"/>
      <c r="DF50" s="1777"/>
      <c r="DG50" s="1777"/>
      <c r="DH50" s="1777"/>
      <c r="DI50" s="1777"/>
      <c r="DJ50" s="1777"/>
      <c r="DK50" s="1777"/>
      <c r="DL50" s="1777"/>
      <c r="DM50" s="1777"/>
      <c r="DN50" s="1777"/>
      <c r="DO50" s="1777"/>
      <c r="DP50" s="1777"/>
      <c r="DQ50" s="1777"/>
      <c r="DR50" s="1777"/>
      <c r="DS50" s="1777"/>
      <c r="DT50" s="1777"/>
      <c r="DU50" s="1777"/>
      <c r="DV50" s="1777"/>
      <c r="DW50" s="1777"/>
      <c r="DX50" s="1779"/>
      <c r="DY50" s="1779"/>
      <c r="DZ50" s="1779"/>
      <c r="EA50" s="1779"/>
      <c r="EB50" s="1779"/>
      <c r="EC50" s="1779"/>
      <c r="ED50" s="1779"/>
      <c r="EE50" s="1779"/>
      <c r="EF50" s="1779"/>
      <c r="EG50" s="1779"/>
      <c r="EH50" s="1779"/>
      <c r="EI50" s="1779"/>
      <c r="EJ50" s="1779"/>
      <c r="EK50" s="1779"/>
      <c r="EL50" s="1779"/>
      <c r="EM50" s="1779"/>
      <c r="EN50" s="1779"/>
      <c r="EO50" s="1779"/>
      <c r="EP50" s="1779"/>
      <c r="EQ50" s="1779"/>
      <c r="ER50" s="1779"/>
      <c r="ES50" s="1779"/>
      <c r="ET50" s="1779"/>
      <c r="EU50" s="1779"/>
      <c r="EV50" s="1779"/>
      <c r="EW50" s="1779"/>
      <c r="EX50" s="1779"/>
      <c r="EY50" s="1779"/>
      <c r="EZ50" s="1779"/>
      <c r="FA50" s="1779"/>
      <c r="FB50" s="1779"/>
      <c r="FC50" s="1779"/>
      <c r="FD50" s="1779"/>
      <c r="FE50" s="1779"/>
      <c r="FF50" s="1779"/>
      <c r="FG50" s="1779"/>
      <c r="FH50" s="1779"/>
      <c r="FI50" s="1779"/>
      <c r="FJ50" s="1779"/>
      <c r="FK50" s="1779"/>
      <c r="FL50" s="1779"/>
      <c r="FM50" s="1779"/>
      <c r="FN50" s="1779"/>
      <c r="FO50" s="1779"/>
      <c r="FP50" s="1779"/>
      <c r="FQ50" s="1779"/>
      <c r="FR50" s="1779"/>
      <c r="FS50" s="1779"/>
      <c r="FT50" s="1779"/>
      <c r="FU50" s="1779"/>
      <c r="FV50" s="1779"/>
      <c r="FW50" s="1779"/>
      <c r="FX50" s="1779"/>
      <c r="FY50" s="1779"/>
      <c r="FZ50" s="1779"/>
      <c r="GA50" s="1779"/>
      <c r="XES50" s="1780"/>
      <c r="XET50" s="1780"/>
      <c r="XEU50" s="1780"/>
      <c r="XEV50" s="1780"/>
      <c r="XEW50" s="1780"/>
      <c r="XEX50" s="1780"/>
      <c r="XEY50" s="1780"/>
      <c r="XEZ50" s="1780"/>
      <c r="XFA50" s="1780"/>
      <c r="XFB50" s="1780"/>
      <c r="XFC50" s="1780"/>
      <c r="XFD50" s="1780"/>
    </row>
    <row r="51" s="1663" customFormat="1" ht="36" customHeight="1" spans="1:16384">
      <c r="A51" s="1693">
        <v>45824</v>
      </c>
      <c r="B51" s="1694" t="s">
        <v>1671</v>
      </c>
      <c r="C51" s="1695" t="s">
        <v>398</v>
      </c>
      <c r="D51" s="1696">
        <v>4500170137</v>
      </c>
      <c r="E51" s="1694" t="s">
        <v>1695</v>
      </c>
      <c r="F51" s="1696" t="s">
        <v>1696</v>
      </c>
      <c r="G51" s="1697" t="s">
        <v>1489</v>
      </c>
      <c r="H51" s="1697" t="s">
        <v>1490</v>
      </c>
      <c r="I51" s="1704" t="s">
        <v>1491</v>
      </c>
      <c r="J51" s="1697">
        <v>18</v>
      </c>
      <c r="K51" s="1697">
        <v>0</v>
      </c>
      <c r="L51" s="1697">
        <v>18</v>
      </c>
      <c r="M51" s="1705">
        <v>1</v>
      </c>
      <c r="N51" s="1706">
        <v>45859</v>
      </c>
      <c r="O51" s="1707">
        <v>45855</v>
      </c>
      <c r="P51" s="1708"/>
      <c r="Q51" s="1708" t="s">
        <v>1480</v>
      </c>
      <c r="R51" s="1708"/>
      <c r="S51" s="1726" t="s">
        <v>1690</v>
      </c>
      <c r="T51" s="1724"/>
      <c r="U51" s="1724" t="s">
        <v>1691</v>
      </c>
      <c r="V51" s="1721" t="s">
        <v>1676</v>
      </c>
      <c r="W51" s="1719" t="s">
        <v>1692</v>
      </c>
      <c r="X51" s="1720" t="s">
        <v>220</v>
      </c>
      <c r="Y51" s="1739">
        <v>3.5711</v>
      </c>
      <c r="Z51" s="1740">
        <f t="shared" si="20"/>
        <v>64.2798</v>
      </c>
      <c r="AA51" s="1741"/>
      <c r="AB51" s="1741">
        <v>18</v>
      </c>
      <c r="AC51" s="1746">
        <f t="shared" si="18"/>
        <v>0</v>
      </c>
      <c r="AD51" s="1741" t="s">
        <v>81</v>
      </c>
      <c r="AE51" s="1742" t="s">
        <v>63</v>
      </c>
      <c r="AF51" s="1742" t="s">
        <v>38</v>
      </c>
      <c r="AG51" s="1720">
        <f t="shared" si="21"/>
        <v>18</v>
      </c>
      <c r="AH51" s="1720">
        <f t="shared" si="22"/>
        <v>18</v>
      </c>
      <c r="AI51" s="1754">
        <f t="shared" si="23"/>
        <v>18</v>
      </c>
      <c r="AJ51" s="1755"/>
      <c r="AK51" s="1756"/>
      <c r="AL51" s="1756">
        <f t="shared" si="19"/>
        <v>18</v>
      </c>
      <c r="AM51" s="1756"/>
      <c r="AN51" s="1756"/>
      <c r="AO51" s="1771"/>
      <c r="AP51" s="1771"/>
      <c r="AQ51" s="1772"/>
      <c r="AR51" s="1773"/>
      <c r="AS51" s="1754"/>
      <c r="AT51" s="1773"/>
      <c r="AU51" s="1774">
        <f t="shared" si="24"/>
        <v>18</v>
      </c>
      <c r="AV51" s="1775"/>
      <c r="AW51" s="1777"/>
      <c r="AX51" s="1777"/>
      <c r="AY51" s="1777"/>
      <c r="AZ51" s="1777"/>
      <c r="BA51" s="1777"/>
      <c r="BB51" s="1777"/>
      <c r="BC51" s="1777"/>
      <c r="BD51" s="1777"/>
      <c r="BE51" s="1777"/>
      <c r="BF51" s="1777"/>
      <c r="BG51" s="1777"/>
      <c r="BH51" s="1777"/>
      <c r="BI51" s="1777"/>
      <c r="BJ51" s="1777"/>
      <c r="BK51" s="1777"/>
      <c r="BL51" s="1777"/>
      <c r="BM51" s="1777"/>
      <c r="BN51" s="1777"/>
      <c r="BO51" s="1777"/>
      <c r="BP51" s="1777"/>
      <c r="BQ51" s="1777"/>
      <c r="BR51" s="1777"/>
      <c r="BS51" s="1777"/>
      <c r="BT51" s="1777"/>
      <c r="BU51" s="1777"/>
      <c r="BV51" s="1777"/>
      <c r="BW51" s="1777"/>
      <c r="BX51" s="1777"/>
      <c r="BY51" s="1777"/>
      <c r="BZ51" s="1777"/>
      <c r="CA51" s="1777"/>
      <c r="CB51" s="1777"/>
      <c r="CC51" s="1777"/>
      <c r="CD51" s="1777"/>
      <c r="CE51" s="1777"/>
      <c r="CF51" s="1777"/>
      <c r="CG51" s="1777"/>
      <c r="CH51" s="1777"/>
      <c r="CI51" s="1777"/>
      <c r="CJ51" s="1777"/>
      <c r="CK51" s="1777"/>
      <c r="CL51" s="1777"/>
      <c r="CM51" s="1777"/>
      <c r="CN51" s="1777"/>
      <c r="CO51" s="1777"/>
      <c r="CP51" s="1777"/>
      <c r="CQ51" s="1777"/>
      <c r="CR51" s="1777"/>
      <c r="CS51" s="1777"/>
      <c r="CT51" s="1777"/>
      <c r="CU51" s="1777"/>
      <c r="CV51" s="1777"/>
      <c r="CW51" s="1777"/>
      <c r="CX51" s="1777"/>
      <c r="CY51" s="1777"/>
      <c r="CZ51" s="1777"/>
      <c r="DA51" s="1777"/>
      <c r="DB51" s="1777"/>
      <c r="DC51" s="1777"/>
      <c r="DD51" s="1777"/>
      <c r="DE51" s="1777"/>
      <c r="DF51" s="1777"/>
      <c r="DG51" s="1777"/>
      <c r="DH51" s="1777"/>
      <c r="DI51" s="1777"/>
      <c r="DJ51" s="1777"/>
      <c r="DK51" s="1777"/>
      <c r="DL51" s="1777"/>
      <c r="DM51" s="1777"/>
      <c r="DN51" s="1777"/>
      <c r="DO51" s="1777"/>
      <c r="DP51" s="1777"/>
      <c r="DQ51" s="1777"/>
      <c r="DR51" s="1777"/>
      <c r="DS51" s="1777"/>
      <c r="DT51" s="1777"/>
      <c r="DU51" s="1777"/>
      <c r="DV51" s="1777"/>
      <c r="DW51" s="1777"/>
      <c r="DX51" s="1779"/>
      <c r="DY51" s="1779"/>
      <c r="DZ51" s="1779"/>
      <c r="EA51" s="1779"/>
      <c r="EB51" s="1779"/>
      <c r="EC51" s="1779"/>
      <c r="ED51" s="1779"/>
      <c r="EE51" s="1779"/>
      <c r="EF51" s="1779"/>
      <c r="EG51" s="1779"/>
      <c r="EH51" s="1779"/>
      <c r="EI51" s="1779"/>
      <c r="EJ51" s="1779"/>
      <c r="EK51" s="1779"/>
      <c r="EL51" s="1779"/>
      <c r="EM51" s="1779"/>
      <c r="EN51" s="1779"/>
      <c r="EO51" s="1779"/>
      <c r="EP51" s="1779"/>
      <c r="EQ51" s="1779"/>
      <c r="ER51" s="1779"/>
      <c r="ES51" s="1779"/>
      <c r="ET51" s="1779"/>
      <c r="EU51" s="1779"/>
      <c r="EV51" s="1779"/>
      <c r="EW51" s="1779"/>
      <c r="EX51" s="1779"/>
      <c r="EY51" s="1779"/>
      <c r="EZ51" s="1779"/>
      <c r="FA51" s="1779"/>
      <c r="FB51" s="1779"/>
      <c r="FC51" s="1779"/>
      <c r="FD51" s="1779"/>
      <c r="FE51" s="1779"/>
      <c r="FF51" s="1779"/>
      <c r="FG51" s="1779"/>
      <c r="FH51" s="1779"/>
      <c r="FI51" s="1779"/>
      <c r="FJ51" s="1779"/>
      <c r="FK51" s="1779"/>
      <c r="FL51" s="1779"/>
      <c r="FM51" s="1779"/>
      <c r="FN51" s="1779"/>
      <c r="FO51" s="1779"/>
      <c r="FP51" s="1779"/>
      <c r="FQ51" s="1779"/>
      <c r="FR51" s="1779"/>
      <c r="FS51" s="1779"/>
      <c r="FT51" s="1779"/>
      <c r="FU51" s="1779"/>
      <c r="FV51" s="1779"/>
      <c r="FW51" s="1779"/>
      <c r="FX51" s="1779"/>
      <c r="FY51" s="1779"/>
      <c r="FZ51" s="1779"/>
      <c r="GA51" s="1779"/>
      <c r="XES51" s="1780"/>
      <c r="XET51" s="1780"/>
      <c r="XEU51" s="1780"/>
      <c r="XEV51" s="1780"/>
      <c r="XEW51" s="1780"/>
      <c r="XEX51" s="1780"/>
      <c r="XEY51" s="1780"/>
      <c r="XEZ51" s="1780"/>
      <c r="XFA51" s="1780"/>
      <c r="XFB51" s="1780"/>
      <c r="XFC51" s="1780"/>
      <c r="XFD51" s="1780"/>
    </row>
    <row r="52" s="1663" customFormat="1" ht="36" customHeight="1" spans="1:16384">
      <c r="A52" s="1693">
        <v>45824</v>
      </c>
      <c r="B52" s="1694" t="s">
        <v>1671</v>
      </c>
      <c r="C52" s="1695" t="s">
        <v>398</v>
      </c>
      <c r="D52" s="1696">
        <v>4500170137</v>
      </c>
      <c r="E52" s="1694" t="s">
        <v>1697</v>
      </c>
      <c r="F52" s="1696" t="s">
        <v>1698</v>
      </c>
      <c r="G52" s="1697" t="s">
        <v>1489</v>
      </c>
      <c r="H52" s="1697" t="s">
        <v>1490</v>
      </c>
      <c r="I52" s="1704" t="s">
        <v>1491</v>
      </c>
      <c r="J52" s="1697">
        <v>18</v>
      </c>
      <c r="K52" s="1697">
        <v>0</v>
      </c>
      <c r="L52" s="1697">
        <v>18</v>
      </c>
      <c r="M52" s="1705">
        <v>1</v>
      </c>
      <c r="N52" s="1706">
        <v>45859</v>
      </c>
      <c r="O52" s="1707">
        <v>45855</v>
      </c>
      <c r="P52" s="1708"/>
      <c r="Q52" s="1708" t="s">
        <v>1480</v>
      </c>
      <c r="R52" s="1708"/>
      <c r="S52" s="1726" t="s">
        <v>1690</v>
      </c>
      <c r="T52" s="1724"/>
      <c r="U52" s="1724" t="s">
        <v>1691</v>
      </c>
      <c r="V52" s="1721" t="s">
        <v>1676</v>
      </c>
      <c r="W52" s="1719" t="s">
        <v>1692</v>
      </c>
      <c r="X52" s="1720" t="s">
        <v>220</v>
      </c>
      <c r="Y52" s="1739">
        <v>3.5711</v>
      </c>
      <c r="Z52" s="1740">
        <f t="shared" si="20"/>
        <v>64.2798</v>
      </c>
      <c r="AA52" s="1741"/>
      <c r="AB52" s="1741">
        <v>18</v>
      </c>
      <c r="AC52" s="1746">
        <f t="shared" si="18"/>
        <v>0</v>
      </c>
      <c r="AD52" s="1741" t="s">
        <v>81</v>
      </c>
      <c r="AE52" s="1742" t="s">
        <v>63</v>
      </c>
      <c r="AF52" s="1742" t="s">
        <v>38</v>
      </c>
      <c r="AG52" s="1720">
        <f t="shared" si="21"/>
        <v>18</v>
      </c>
      <c r="AH52" s="1720">
        <f t="shared" si="22"/>
        <v>18</v>
      </c>
      <c r="AI52" s="1754">
        <f t="shared" si="23"/>
        <v>18</v>
      </c>
      <c r="AJ52" s="1755"/>
      <c r="AK52" s="1756"/>
      <c r="AL52" s="1756">
        <f t="shared" si="19"/>
        <v>18</v>
      </c>
      <c r="AM52" s="1756"/>
      <c r="AN52" s="1756"/>
      <c r="AO52" s="1771"/>
      <c r="AP52" s="1771"/>
      <c r="AQ52" s="1772"/>
      <c r="AR52" s="1773"/>
      <c r="AS52" s="1754"/>
      <c r="AT52" s="1773"/>
      <c r="AU52" s="1774">
        <f t="shared" si="24"/>
        <v>18</v>
      </c>
      <c r="AV52" s="1775"/>
      <c r="AW52" s="1777"/>
      <c r="AX52" s="1777"/>
      <c r="AY52" s="1777"/>
      <c r="AZ52" s="1777"/>
      <c r="BA52" s="1777"/>
      <c r="BB52" s="1777"/>
      <c r="BC52" s="1777"/>
      <c r="BD52" s="1777"/>
      <c r="BE52" s="1777"/>
      <c r="BF52" s="1777"/>
      <c r="BG52" s="1777"/>
      <c r="BH52" s="1777"/>
      <c r="BI52" s="1777"/>
      <c r="BJ52" s="1777"/>
      <c r="BK52" s="1777"/>
      <c r="BL52" s="1777"/>
      <c r="BM52" s="1777"/>
      <c r="BN52" s="1777"/>
      <c r="BO52" s="1777"/>
      <c r="BP52" s="1777"/>
      <c r="BQ52" s="1777"/>
      <c r="BR52" s="1777"/>
      <c r="BS52" s="1777"/>
      <c r="BT52" s="1777"/>
      <c r="BU52" s="1777"/>
      <c r="BV52" s="1777"/>
      <c r="BW52" s="1777"/>
      <c r="BX52" s="1777"/>
      <c r="BY52" s="1777"/>
      <c r="BZ52" s="1777"/>
      <c r="CA52" s="1777"/>
      <c r="CB52" s="1777"/>
      <c r="CC52" s="1777"/>
      <c r="CD52" s="1777"/>
      <c r="CE52" s="1777"/>
      <c r="CF52" s="1777"/>
      <c r="CG52" s="1777"/>
      <c r="CH52" s="1777"/>
      <c r="CI52" s="1777"/>
      <c r="CJ52" s="1777"/>
      <c r="CK52" s="1777"/>
      <c r="CL52" s="1777"/>
      <c r="CM52" s="1777"/>
      <c r="CN52" s="1777"/>
      <c r="CO52" s="1777"/>
      <c r="CP52" s="1777"/>
      <c r="CQ52" s="1777"/>
      <c r="CR52" s="1777"/>
      <c r="CS52" s="1777"/>
      <c r="CT52" s="1777"/>
      <c r="CU52" s="1777"/>
      <c r="CV52" s="1777"/>
      <c r="CW52" s="1777"/>
      <c r="CX52" s="1777"/>
      <c r="CY52" s="1777"/>
      <c r="CZ52" s="1777"/>
      <c r="DA52" s="1777"/>
      <c r="DB52" s="1777"/>
      <c r="DC52" s="1777"/>
      <c r="DD52" s="1777"/>
      <c r="DE52" s="1777"/>
      <c r="DF52" s="1777"/>
      <c r="DG52" s="1777"/>
      <c r="DH52" s="1777"/>
      <c r="DI52" s="1777"/>
      <c r="DJ52" s="1777"/>
      <c r="DK52" s="1777"/>
      <c r="DL52" s="1777"/>
      <c r="DM52" s="1777"/>
      <c r="DN52" s="1777"/>
      <c r="DO52" s="1777"/>
      <c r="DP52" s="1777"/>
      <c r="DQ52" s="1777"/>
      <c r="DR52" s="1777"/>
      <c r="DS52" s="1777"/>
      <c r="DT52" s="1777"/>
      <c r="DU52" s="1777"/>
      <c r="DV52" s="1777"/>
      <c r="DW52" s="1777"/>
      <c r="DX52" s="1779"/>
      <c r="DY52" s="1779"/>
      <c r="DZ52" s="1779"/>
      <c r="EA52" s="1779"/>
      <c r="EB52" s="1779"/>
      <c r="EC52" s="1779"/>
      <c r="ED52" s="1779"/>
      <c r="EE52" s="1779"/>
      <c r="EF52" s="1779"/>
      <c r="EG52" s="1779"/>
      <c r="EH52" s="1779"/>
      <c r="EI52" s="1779"/>
      <c r="EJ52" s="1779"/>
      <c r="EK52" s="1779"/>
      <c r="EL52" s="1779"/>
      <c r="EM52" s="1779"/>
      <c r="EN52" s="1779"/>
      <c r="EO52" s="1779"/>
      <c r="EP52" s="1779"/>
      <c r="EQ52" s="1779"/>
      <c r="ER52" s="1779"/>
      <c r="ES52" s="1779"/>
      <c r="ET52" s="1779"/>
      <c r="EU52" s="1779"/>
      <c r="EV52" s="1779"/>
      <c r="EW52" s="1779"/>
      <c r="EX52" s="1779"/>
      <c r="EY52" s="1779"/>
      <c r="EZ52" s="1779"/>
      <c r="FA52" s="1779"/>
      <c r="FB52" s="1779"/>
      <c r="FC52" s="1779"/>
      <c r="FD52" s="1779"/>
      <c r="FE52" s="1779"/>
      <c r="FF52" s="1779"/>
      <c r="FG52" s="1779"/>
      <c r="FH52" s="1779"/>
      <c r="FI52" s="1779"/>
      <c r="FJ52" s="1779"/>
      <c r="FK52" s="1779"/>
      <c r="FL52" s="1779"/>
      <c r="FM52" s="1779"/>
      <c r="FN52" s="1779"/>
      <c r="FO52" s="1779"/>
      <c r="FP52" s="1779"/>
      <c r="FQ52" s="1779"/>
      <c r="FR52" s="1779"/>
      <c r="FS52" s="1779"/>
      <c r="FT52" s="1779"/>
      <c r="FU52" s="1779"/>
      <c r="FV52" s="1779"/>
      <c r="FW52" s="1779"/>
      <c r="FX52" s="1779"/>
      <c r="FY52" s="1779"/>
      <c r="FZ52" s="1779"/>
      <c r="GA52" s="1779"/>
      <c r="XES52" s="1780"/>
      <c r="XET52" s="1780"/>
      <c r="XEU52" s="1780"/>
      <c r="XEV52" s="1780"/>
      <c r="XEW52" s="1780"/>
      <c r="XEX52" s="1780"/>
      <c r="XEY52" s="1780"/>
      <c r="XEZ52" s="1780"/>
      <c r="XFA52" s="1780"/>
      <c r="XFB52" s="1780"/>
      <c r="XFC52" s="1780"/>
      <c r="XFD52" s="1780"/>
    </row>
    <row r="53" s="1663" customFormat="1" ht="36" customHeight="1" spans="1:16384">
      <c r="A53" s="1693">
        <v>45824</v>
      </c>
      <c r="B53" s="1694" t="s">
        <v>1671</v>
      </c>
      <c r="C53" s="1695" t="s">
        <v>398</v>
      </c>
      <c r="D53" s="1696">
        <v>4500170137</v>
      </c>
      <c r="E53" s="1694" t="s">
        <v>1699</v>
      </c>
      <c r="F53" s="1696" t="s">
        <v>1700</v>
      </c>
      <c r="G53" s="1697" t="s">
        <v>1489</v>
      </c>
      <c r="H53" s="1697" t="s">
        <v>1490</v>
      </c>
      <c r="I53" s="1704" t="s">
        <v>1491</v>
      </c>
      <c r="J53" s="1697">
        <v>18</v>
      </c>
      <c r="K53" s="1697">
        <v>0</v>
      </c>
      <c r="L53" s="1697">
        <v>18</v>
      </c>
      <c r="M53" s="1705">
        <v>1</v>
      </c>
      <c r="N53" s="1706">
        <v>45859</v>
      </c>
      <c r="O53" s="1707">
        <v>45855</v>
      </c>
      <c r="P53" s="1708"/>
      <c r="Q53" s="1708" t="s">
        <v>1480</v>
      </c>
      <c r="R53" s="1708"/>
      <c r="S53" s="1726" t="s">
        <v>1690</v>
      </c>
      <c r="T53" s="1724"/>
      <c r="U53" s="1724" t="s">
        <v>1691</v>
      </c>
      <c r="V53" s="1721" t="s">
        <v>1676</v>
      </c>
      <c r="W53" s="1719" t="s">
        <v>1692</v>
      </c>
      <c r="X53" s="1720" t="s">
        <v>220</v>
      </c>
      <c r="Y53" s="1739">
        <v>3.5711</v>
      </c>
      <c r="Z53" s="1740">
        <f t="shared" si="20"/>
        <v>64.2798</v>
      </c>
      <c r="AA53" s="1741"/>
      <c r="AB53" s="1741">
        <v>18</v>
      </c>
      <c r="AC53" s="1746">
        <f t="shared" si="18"/>
        <v>0</v>
      </c>
      <c r="AD53" s="1741" t="s">
        <v>81</v>
      </c>
      <c r="AE53" s="1742" t="s">
        <v>63</v>
      </c>
      <c r="AF53" s="1742" t="s">
        <v>38</v>
      </c>
      <c r="AG53" s="1720">
        <f t="shared" si="21"/>
        <v>18</v>
      </c>
      <c r="AH53" s="1720">
        <f t="shared" si="22"/>
        <v>18</v>
      </c>
      <c r="AI53" s="1754">
        <f t="shared" si="23"/>
        <v>18</v>
      </c>
      <c r="AJ53" s="1755"/>
      <c r="AK53" s="1756"/>
      <c r="AL53" s="1756">
        <f t="shared" si="19"/>
        <v>18</v>
      </c>
      <c r="AM53" s="1756"/>
      <c r="AN53" s="1756"/>
      <c r="AO53" s="1771"/>
      <c r="AP53" s="1771"/>
      <c r="AQ53" s="1772"/>
      <c r="AR53" s="1773"/>
      <c r="AS53" s="1754"/>
      <c r="AT53" s="1773"/>
      <c r="AU53" s="1774">
        <f t="shared" si="24"/>
        <v>18</v>
      </c>
      <c r="AV53" s="1775"/>
      <c r="AW53" s="1777"/>
      <c r="AX53" s="1777"/>
      <c r="AY53" s="1777"/>
      <c r="AZ53" s="1777"/>
      <c r="BA53" s="1777"/>
      <c r="BB53" s="1777"/>
      <c r="BC53" s="1777"/>
      <c r="BD53" s="1777"/>
      <c r="BE53" s="1777"/>
      <c r="BF53" s="1777"/>
      <c r="BG53" s="1777"/>
      <c r="BH53" s="1777"/>
      <c r="BI53" s="1777"/>
      <c r="BJ53" s="1777"/>
      <c r="BK53" s="1777"/>
      <c r="BL53" s="1777"/>
      <c r="BM53" s="1777"/>
      <c r="BN53" s="1777"/>
      <c r="BO53" s="1777"/>
      <c r="BP53" s="1777"/>
      <c r="BQ53" s="1777"/>
      <c r="BR53" s="1777"/>
      <c r="BS53" s="1777"/>
      <c r="BT53" s="1777"/>
      <c r="BU53" s="1777"/>
      <c r="BV53" s="1777"/>
      <c r="BW53" s="1777"/>
      <c r="BX53" s="1777"/>
      <c r="BY53" s="1777"/>
      <c r="BZ53" s="1777"/>
      <c r="CA53" s="1777"/>
      <c r="CB53" s="1777"/>
      <c r="CC53" s="1777"/>
      <c r="CD53" s="1777"/>
      <c r="CE53" s="1777"/>
      <c r="CF53" s="1777"/>
      <c r="CG53" s="1777"/>
      <c r="CH53" s="1777"/>
      <c r="CI53" s="1777"/>
      <c r="CJ53" s="1777"/>
      <c r="CK53" s="1777"/>
      <c r="CL53" s="1777"/>
      <c r="CM53" s="1777"/>
      <c r="CN53" s="1777"/>
      <c r="CO53" s="1777"/>
      <c r="CP53" s="1777"/>
      <c r="CQ53" s="1777"/>
      <c r="CR53" s="1777"/>
      <c r="CS53" s="1777"/>
      <c r="CT53" s="1777"/>
      <c r="CU53" s="1777"/>
      <c r="CV53" s="1777"/>
      <c r="CW53" s="1777"/>
      <c r="CX53" s="1777"/>
      <c r="CY53" s="1777"/>
      <c r="CZ53" s="1777"/>
      <c r="DA53" s="1777"/>
      <c r="DB53" s="1777"/>
      <c r="DC53" s="1777"/>
      <c r="DD53" s="1777"/>
      <c r="DE53" s="1777"/>
      <c r="DF53" s="1777"/>
      <c r="DG53" s="1777"/>
      <c r="DH53" s="1777"/>
      <c r="DI53" s="1777"/>
      <c r="DJ53" s="1777"/>
      <c r="DK53" s="1777"/>
      <c r="DL53" s="1777"/>
      <c r="DM53" s="1777"/>
      <c r="DN53" s="1777"/>
      <c r="DO53" s="1777"/>
      <c r="DP53" s="1777"/>
      <c r="DQ53" s="1777"/>
      <c r="DR53" s="1777"/>
      <c r="DS53" s="1777"/>
      <c r="DT53" s="1777"/>
      <c r="DU53" s="1777"/>
      <c r="DV53" s="1777"/>
      <c r="DW53" s="1777"/>
      <c r="DX53" s="1779"/>
      <c r="DY53" s="1779"/>
      <c r="DZ53" s="1779"/>
      <c r="EA53" s="1779"/>
      <c r="EB53" s="1779"/>
      <c r="EC53" s="1779"/>
      <c r="ED53" s="1779"/>
      <c r="EE53" s="1779"/>
      <c r="EF53" s="1779"/>
      <c r="EG53" s="1779"/>
      <c r="EH53" s="1779"/>
      <c r="EI53" s="1779"/>
      <c r="EJ53" s="1779"/>
      <c r="EK53" s="1779"/>
      <c r="EL53" s="1779"/>
      <c r="EM53" s="1779"/>
      <c r="EN53" s="1779"/>
      <c r="EO53" s="1779"/>
      <c r="EP53" s="1779"/>
      <c r="EQ53" s="1779"/>
      <c r="ER53" s="1779"/>
      <c r="ES53" s="1779"/>
      <c r="ET53" s="1779"/>
      <c r="EU53" s="1779"/>
      <c r="EV53" s="1779"/>
      <c r="EW53" s="1779"/>
      <c r="EX53" s="1779"/>
      <c r="EY53" s="1779"/>
      <c r="EZ53" s="1779"/>
      <c r="FA53" s="1779"/>
      <c r="FB53" s="1779"/>
      <c r="FC53" s="1779"/>
      <c r="FD53" s="1779"/>
      <c r="FE53" s="1779"/>
      <c r="FF53" s="1779"/>
      <c r="FG53" s="1779"/>
      <c r="FH53" s="1779"/>
      <c r="FI53" s="1779"/>
      <c r="FJ53" s="1779"/>
      <c r="FK53" s="1779"/>
      <c r="FL53" s="1779"/>
      <c r="FM53" s="1779"/>
      <c r="FN53" s="1779"/>
      <c r="FO53" s="1779"/>
      <c r="FP53" s="1779"/>
      <c r="FQ53" s="1779"/>
      <c r="FR53" s="1779"/>
      <c r="FS53" s="1779"/>
      <c r="FT53" s="1779"/>
      <c r="FU53" s="1779"/>
      <c r="FV53" s="1779"/>
      <c r="FW53" s="1779"/>
      <c r="FX53" s="1779"/>
      <c r="FY53" s="1779"/>
      <c r="FZ53" s="1779"/>
      <c r="GA53" s="1779"/>
      <c r="XES53" s="1780"/>
      <c r="XET53" s="1780"/>
      <c r="XEU53" s="1780"/>
      <c r="XEV53" s="1780"/>
      <c r="XEW53" s="1780"/>
      <c r="XEX53" s="1780"/>
      <c r="XEY53" s="1780"/>
      <c r="XEZ53" s="1780"/>
      <c r="XFA53" s="1780"/>
      <c r="XFB53" s="1780"/>
      <c r="XFC53" s="1780"/>
      <c r="XFD53" s="1780"/>
    </row>
    <row r="54" s="1663" customFormat="1" ht="36" customHeight="1" spans="1:16384">
      <c r="A54" s="1693">
        <v>45807</v>
      </c>
      <c r="B54" s="1694" t="s">
        <v>1701</v>
      </c>
      <c r="C54" s="1695" t="s">
        <v>91</v>
      </c>
      <c r="D54" s="1696">
        <v>4500168600</v>
      </c>
      <c r="E54" s="1694" t="s">
        <v>1702</v>
      </c>
      <c r="F54" s="1696" t="s">
        <v>1703</v>
      </c>
      <c r="G54" s="1697" t="s">
        <v>1489</v>
      </c>
      <c r="H54" s="1697" t="s">
        <v>1490</v>
      </c>
      <c r="I54" s="1704" t="s">
        <v>1491</v>
      </c>
      <c r="J54" s="1697">
        <v>522</v>
      </c>
      <c r="K54" s="1697">
        <v>0</v>
      </c>
      <c r="L54" s="1697">
        <v>18</v>
      </c>
      <c r="M54" s="1709">
        <f t="shared" ref="M54:M70" si="25">J54/L54</f>
        <v>29</v>
      </c>
      <c r="N54" s="1706">
        <v>45860</v>
      </c>
      <c r="O54" s="1711">
        <f>N54-4</f>
        <v>45856</v>
      </c>
      <c r="P54" s="1708"/>
      <c r="Q54" s="1708" t="s">
        <v>1480</v>
      </c>
      <c r="R54" s="1708"/>
      <c r="S54" s="1725" t="s">
        <v>1704</v>
      </c>
      <c r="T54" s="1724"/>
      <c r="U54" s="1724" t="s">
        <v>1691</v>
      </c>
      <c r="V54" s="1721" t="s">
        <v>1705</v>
      </c>
      <c r="W54" s="1719" t="s">
        <v>1706</v>
      </c>
      <c r="X54" s="1720" t="s">
        <v>1592</v>
      </c>
      <c r="Y54" s="1739">
        <v>3.5711</v>
      </c>
      <c r="Z54" s="1740">
        <f t="shared" si="20"/>
        <v>1864.1142</v>
      </c>
      <c r="AA54" s="1741"/>
      <c r="AB54" s="1741">
        <f>504+18</f>
        <v>522</v>
      </c>
      <c r="AC54" s="1746">
        <f t="shared" si="18"/>
        <v>0</v>
      </c>
      <c r="AD54" s="1741" t="s">
        <v>81</v>
      </c>
      <c r="AE54" s="1742" t="s">
        <v>63</v>
      </c>
      <c r="AF54" s="1742" t="s">
        <v>38</v>
      </c>
      <c r="AG54" s="1720">
        <f t="shared" si="21"/>
        <v>522</v>
      </c>
      <c r="AH54" s="1720">
        <f t="shared" si="22"/>
        <v>522</v>
      </c>
      <c r="AI54" s="1754">
        <f t="shared" si="23"/>
        <v>522</v>
      </c>
      <c r="AJ54" s="1755"/>
      <c r="AK54" s="1756"/>
      <c r="AL54" s="1756">
        <f t="shared" si="19"/>
        <v>522</v>
      </c>
      <c r="AM54" s="1756"/>
      <c r="AN54" s="1756"/>
      <c r="AO54" s="1771"/>
      <c r="AP54" s="1771"/>
      <c r="AQ54" s="1772"/>
      <c r="AR54" s="1773"/>
      <c r="AS54" s="1754"/>
      <c r="AT54" s="1773"/>
      <c r="AU54" s="1774">
        <f t="shared" si="24"/>
        <v>522</v>
      </c>
      <c r="AV54" s="1775"/>
      <c r="AW54" s="1777"/>
      <c r="AX54" s="1777"/>
      <c r="AY54" s="1777"/>
      <c r="AZ54" s="1777"/>
      <c r="BA54" s="1777"/>
      <c r="BB54" s="1777"/>
      <c r="BC54" s="1777"/>
      <c r="BD54" s="1777"/>
      <c r="BE54" s="1777"/>
      <c r="BF54" s="1777"/>
      <c r="BG54" s="1777"/>
      <c r="BH54" s="1777"/>
      <c r="BI54" s="1777"/>
      <c r="BJ54" s="1777"/>
      <c r="BK54" s="1777"/>
      <c r="BL54" s="1777"/>
      <c r="BM54" s="1777"/>
      <c r="BN54" s="1777"/>
      <c r="BO54" s="1777"/>
      <c r="BP54" s="1777"/>
      <c r="BQ54" s="1777"/>
      <c r="BR54" s="1777"/>
      <c r="BS54" s="1777"/>
      <c r="BT54" s="1777"/>
      <c r="BU54" s="1777"/>
      <c r="BV54" s="1777"/>
      <c r="BW54" s="1777"/>
      <c r="BX54" s="1777"/>
      <c r="BY54" s="1777"/>
      <c r="BZ54" s="1777"/>
      <c r="CA54" s="1777"/>
      <c r="CB54" s="1777"/>
      <c r="CC54" s="1777"/>
      <c r="CD54" s="1777"/>
      <c r="CE54" s="1777"/>
      <c r="CF54" s="1777"/>
      <c r="CG54" s="1777"/>
      <c r="CH54" s="1777"/>
      <c r="CI54" s="1777"/>
      <c r="CJ54" s="1777"/>
      <c r="CK54" s="1777"/>
      <c r="CL54" s="1777"/>
      <c r="CM54" s="1777"/>
      <c r="CN54" s="1777"/>
      <c r="CO54" s="1777"/>
      <c r="CP54" s="1777"/>
      <c r="CQ54" s="1777"/>
      <c r="CR54" s="1777"/>
      <c r="CS54" s="1777"/>
      <c r="CT54" s="1777"/>
      <c r="CU54" s="1777"/>
      <c r="CV54" s="1777"/>
      <c r="CW54" s="1777"/>
      <c r="CX54" s="1777"/>
      <c r="CY54" s="1777"/>
      <c r="CZ54" s="1777"/>
      <c r="DA54" s="1777"/>
      <c r="DB54" s="1777"/>
      <c r="DC54" s="1777"/>
      <c r="DD54" s="1777"/>
      <c r="DE54" s="1777"/>
      <c r="DF54" s="1777"/>
      <c r="DG54" s="1777"/>
      <c r="DH54" s="1777"/>
      <c r="DI54" s="1777"/>
      <c r="DJ54" s="1777"/>
      <c r="DK54" s="1777"/>
      <c r="DL54" s="1777"/>
      <c r="DM54" s="1777"/>
      <c r="DN54" s="1777"/>
      <c r="DO54" s="1777"/>
      <c r="DP54" s="1777"/>
      <c r="DQ54" s="1777"/>
      <c r="DR54" s="1777"/>
      <c r="DS54" s="1777"/>
      <c r="DT54" s="1777"/>
      <c r="DU54" s="1777"/>
      <c r="DV54" s="1777"/>
      <c r="DW54" s="1777"/>
      <c r="DX54" s="1779"/>
      <c r="DY54" s="1779"/>
      <c r="DZ54" s="1779"/>
      <c r="EA54" s="1779"/>
      <c r="EB54" s="1779"/>
      <c r="EC54" s="1779"/>
      <c r="ED54" s="1779"/>
      <c r="EE54" s="1779"/>
      <c r="EF54" s="1779"/>
      <c r="EG54" s="1779"/>
      <c r="EH54" s="1779"/>
      <c r="EI54" s="1779"/>
      <c r="EJ54" s="1779"/>
      <c r="EK54" s="1779"/>
      <c r="EL54" s="1779"/>
      <c r="EM54" s="1779"/>
      <c r="EN54" s="1779"/>
      <c r="EO54" s="1779"/>
      <c r="EP54" s="1779"/>
      <c r="EQ54" s="1779"/>
      <c r="ER54" s="1779"/>
      <c r="ES54" s="1779"/>
      <c r="ET54" s="1779"/>
      <c r="EU54" s="1779"/>
      <c r="EV54" s="1779"/>
      <c r="EW54" s="1779"/>
      <c r="EX54" s="1779"/>
      <c r="EY54" s="1779"/>
      <c r="EZ54" s="1779"/>
      <c r="FA54" s="1779"/>
      <c r="FB54" s="1779"/>
      <c r="FC54" s="1779"/>
      <c r="FD54" s="1779"/>
      <c r="FE54" s="1779"/>
      <c r="FF54" s="1779"/>
      <c r="FG54" s="1779"/>
      <c r="FH54" s="1779"/>
      <c r="FI54" s="1779"/>
      <c r="FJ54" s="1779"/>
      <c r="FK54" s="1779"/>
      <c r="FL54" s="1779"/>
      <c r="FM54" s="1779"/>
      <c r="FN54" s="1779"/>
      <c r="FO54" s="1779"/>
      <c r="FP54" s="1779"/>
      <c r="FQ54" s="1779"/>
      <c r="FR54" s="1779"/>
      <c r="FS54" s="1779"/>
      <c r="FT54" s="1779"/>
      <c r="FU54" s="1779"/>
      <c r="FV54" s="1779"/>
      <c r="FW54" s="1779"/>
      <c r="FX54" s="1779"/>
      <c r="FY54" s="1779"/>
      <c r="FZ54" s="1779"/>
      <c r="GA54" s="1779"/>
      <c r="XES54" s="1780"/>
      <c r="XET54" s="1780"/>
      <c r="XEU54" s="1780"/>
      <c r="XEV54" s="1780"/>
      <c r="XEW54" s="1780"/>
      <c r="XEX54" s="1780"/>
      <c r="XEY54" s="1780"/>
      <c r="XEZ54" s="1780"/>
      <c r="XFA54" s="1780"/>
      <c r="XFB54" s="1780"/>
      <c r="XFC54" s="1780"/>
      <c r="XFD54" s="1780"/>
    </row>
    <row r="55" s="1663" customFormat="1" ht="36" customHeight="1" spans="1:16384">
      <c r="A55" s="1693">
        <v>45811</v>
      </c>
      <c r="B55" s="1694" t="s">
        <v>1701</v>
      </c>
      <c r="C55" s="1695" t="s">
        <v>91</v>
      </c>
      <c r="D55" s="1696">
        <v>4500168775</v>
      </c>
      <c r="E55" s="1694" t="s">
        <v>1707</v>
      </c>
      <c r="F55" s="1696" t="s">
        <v>1708</v>
      </c>
      <c r="G55" s="1697" t="s">
        <v>1489</v>
      </c>
      <c r="H55" s="1697" t="s">
        <v>1490</v>
      </c>
      <c r="I55" s="1704" t="s">
        <v>1491</v>
      </c>
      <c r="J55" s="1697">
        <v>36</v>
      </c>
      <c r="K55" s="1697">
        <v>0</v>
      </c>
      <c r="L55" s="1697">
        <v>18</v>
      </c>
      <c r="M55" s="1709">
        <f t="shared" si="25"/>
        <v>2</v>
      </c>
      <c r="N55" s="1706">
        <v>45866</v>
      </c>
      <c r="O55" s="1707">
        <v>45862</v>
      </c>
      <c r="P55" s="1708"/>
      <c r="Q55" s="1708" t="s">
        <v>1480</v>
      </c>
      <c r="R55" s="1708" t="s">
        <v>1709</v>
      </c>
      <c r="S55" s="1725" t="s">
        <v>1710</v>
      </c>
      <c r="T55" s="1724"/>
      <c r="U55" s="1724" t="s">
        <v>1691</v>
      </c>
      <c r="V55" s="1721" t="s">
        <v>1705</v>
      </c>
      <c r="W55" s="1719" t="s">
        <v>1706</v>
      </c>
      <c r="X55" s="1720" t="s">
        <v>1592</v>
      </c>
      <c r="Y55" s="1739">
        <v>3.5711</v>
      </c>
      <c r="Z55" s="1740">
        <f t="shared" si="20"/>
        <v>128.5596</v>
      </c>
      <c r="AA55" s="1741" t="s">
        <v>1711</v>
      </c>
      <c r="AB55" s="1741">
        <v>36</v>
      </c>
      <c r="AC55" s="1746">
        <f t="shared" si="18"/>
        <v>0</v>
      </c>
      <c r="AD55" s="1741" t="s">
        <v>81</v>
      </c>
      <c r="AE55" s="1742" t="s">
        <v>63</v>
      </c>
      <c r="AF55" s="1742" t="s">
        <v>38</v>
      </c>
      <c r="AG55" s="1720">
        <f t="shared" si="21"/>
        <v>36</v>
      </c>
      <c r="AH55" s="1720">
        <f t="shared" si="22"/>
        <v>36</v>
      </c>
      <c r="AI55" s="1754">
        <f t="shared" si="23"/>
        <v>36</v>
      </c>
      <c r="AJ55" s="1755"/>
      <c r="AK55" s="1756"/>
      <c r="AL55" s="1756">
        <f t="shared" si="19"/>
        <v>36</v>
      </c>
      <c r="AM55" s="1756"/>
      <c r="AN55" s="1756"/>
      <c r="AO55" s="1771"/>
      <c r="AP55" s="1771"/>
      <c r="AQ55" s="1772"/>
      <c r="AR55" s="1773"/>
      <c r="AS55" s="1754"/>
      <c r="AT55" s="1773"/>
      <c r="AU55" s="1774">
        <f t="shared" si="24"/>
        <v>36</v>
      </c>
      <c r="AV55" s="1775"/>
      <c r="AW55" s="1777"/>
      <c r="AX55" s="1777"/>
      <c r="AY55" s="1777"/>
      <c r="AZ55" s="1777"/>
      <c r="BA55" s="1777"/>
      <c r="BB55" s="1777"/>
      <c r="BC55" s="1777"/>
      <c r="BD55" s="1777"/>
      <c r="BE55" s="1777"/>
      <c r="BF55" s="1777"/>
      <c r="BG55" s="1777"/>
      <c r="BH55" s="1777"/>
      <c r="BI55" s="1777"/>
      <c r="BJ55" s="1777"/>
      <c r="BK55" s="1777"/>
      <c r="BL55" s="1777"/>
      <c r="BM55" s="1777"/>
      <c r="BN55" s="1777"/>
      <c r="BO55" s="1777"/>
      <c r="BP55" s="1777"/>
      <c r="BQ55" s="1777"/>
      <c r="BR55" s="1777"/>
      <c r="BS55" s="1777"/>
      <c r="BT55" s="1777"/>
      <c r="BU55" s="1777"/>
      <c r="BV55" s="1777"/>
      <c r="BW55" s="1777"/>
      <c r="BX55" s="1777"/>
      <c r="BY55" s="1777"/>
      <c r="BZ55" s="1777"/>
      <c r="CA55" s="1777"/>
      <c r="CB55" s="1777"/>
      <c r="CC55" s="1777"/>
      <c r="CD55" s="1777"/>
      <c r="CE55" s="1777"/>
      <c r="CF55" s="1777"/>
      <c r="CG55" s="1777"/>
      <c r="CH55" s="1777"/>
      <c r="CI55" s="1777"/>
      <c r="CJ55" s="1777"/>
      <c r="CK55" s="1777"/>
      <c r="CL55" s="1777"/>
      <c r="CM55" s="1777"/>
      <c r="CN55" s="1777"/>
      <c r="CO55" s="1777"/>
      <c r="CP55" s="1777"/>
      <c r="CQ55" s="1777"/>
      <c r="CR55" s="1777"/>
      <c r="CS55" s="1777"/>
      <c r="CT55" s="1777"/>
      <c r="CU55" s="1777"/>
      <c r="CV55" s="1777"/>
      <c r="CW55" s="1777"/>
      <c r="CX55" s="1777"/>
      <c r="CY55" s="1777"/>
      <c r="CZ55" s="1777"/>
      <c r="DA55" s="1777"/>
      <c r="DB55" s="1777"/>
      <c r="DC55" s="1777"/>
      <c r="DD55" s="1777"/>
      <c r="DE55" s="1777"/>
      <c r="DF55" s="1777"/>
      <c r="DG55" s="1777"/>
      <c r="DH55" s="1777"/>
      <c r="DI55" s="1777"/>
      <c r="DJ55" s="1777"/>
      <c r="DK55" s="1777"/>
      <c r="DL55" s="1777"/>
      <c r="DM55" s="1777"/>
      <c r="DN55" s="1777"/>
      <c r="DO55" s="1777"/>
      <c r="DP55" s="1777"/>
      <c r="DQ55" s="1777"/>
      <c r="DR55" s="1777"/>
      <c r="DS55" s="1777"/>
      <c r="DT55" s="1777"/>
      <c r="DU55" s="1777"/>
      <c r="DV55" s="1777"/>
      <c r="DW55" s="1777"/>
      <c r="DX55" s="1779"/>
      <c r="DY55" s="1779"/>
      <c r="DZ55" s="1779"/>
      <c r="EA55" s="1779"/>
      <c r="EB55" s="1779"/>
      <c r="EC55" s="1779"/>
      <c r="ED55" s="1779"/>
      <c r="EE55" s="1779"/>
      <c r="EF55" s="1779"/>
      <c r="EG55" s="1779"/>
      <c r="EH55" s="1779"/>
      <c r="EI55" s="1779"/>
      <c r="EJ55" s="1779"/>
      <c r="EK55" s="1779"/>
      <c r="EL55" s="1779"/>
      <c r="EM55" s="1779"/>
      <c r="EN55" s="1779"/>
      <c r="EO55" s="1779"/>
      <c r="EP55" s="1779"/>
      <c r="EQ55" s="1779"/>
      <c r="ER55" s="1779"/>
      <c r="ES55" s="1779"/>
      <c r="ET55" s="1779"/>
      <c r="EU55" s="1779"/>
      <c r="EV55" s="1779"/>
      <c r="EW55" s="1779"/>
      <c r="EX55" s="1779"/>
      <c r="EY55" s="1779"/>
      <c r="EZ55" s="1779"/>
      <c r="FA55" s="1779"/>
      <c r="FB55" s="1779"/>
      <c r="FC55" s="1779"/>
      <c r="FD55" s="1779"/>
      <c r="FE55" s="1779"/>
      <c r="FF55" s="1779"/>
      <c r="FG55" s="1779"/>
      <c r="FH55" s="1779"/>
      <c r="FI55" s="1779"/>
      <c r="FJ55" s="1779"/>
      <c r="FK55" s="1779"/>
      <c r="FL55" s="1779"/>
      <c r="FM55" s="1779"/>
      <c r="FN55" s="1779"/>
      <c r="FO55" s="1779"/>
      <c r="FP55" s="1779"/>
      <c r="FQ55" s="1779"/>
      <c r="FR55" s="1779"/>
      <c r="FS55" s="1779"/>
      <c r="FT55" s="1779"/>
      <c r="FU55" s="1779"/>
      <c r="FV55" s="1779"/>
      <c r="FW55" s="1779"/>
      <c r="FX55" s="1779"/>
      <c r="FY55" s="1779"/>
      <c r="FZ55" s="1779"/>
      <c r="GA55" s="1779"/>
      <c r="XES55" s="1780"/>
      <c r="XET55" s="1780"/>
      <c r="XEU55" s="1780"/>
      <c r="XEV55" s="1780"/>
      <c r="XEW55" s="1780"/>
      <c r="XEX55" s="1780"/>
      <c r="XEY55" s="1780"/>
      <c r="XEZ55" s="1780"/>
      <c r="XFA55" s="1780"/>
      <c r="XFB55" s="1780"/>
      <c r="XFC55" s="1780"/>
      <c r="XFD55" s="1780"/>
    </row>
    <row r="56" s="1663" customFormat="1" ht="36" customHeight="1" spans="1:16384">
      <c r="A56" s="1693">
        <v>45813</v>
      </c>
      <c r="B56" s="1694" t="s">
        <v>1701</v>
      </c>
      <c r="C56" s="1695" t="s">
        <v>91</v>
      </c>
      <c r="D56" s="1696">
        <v>4500169031</v>
      </c>
      <c r="E56" s="1694" t="s">
        <v>1712</v>
      </c>
      <c r="F56" s="1696" t="s">
        <v>1713</v>
      </c>
      <c r="G56" s="1697" t="s">
        <v>1489</v>
      </c>
      <c r="H56" s="1697" t="s">
        <v>1490</v>
      </c>
      <c r="I56" s="1704" t="s">
        <v>1491</v>
      </c>
      <c r="J56" s="1697">
        <v>648</v>
      </c>
      <c r="K56" s="1697">
        <v>0</v>
      </c>
      <c r="L56" s="1697">
        <v>18</v>
      </c>
      <c r="M56" s="1709">
        <f t="shared" si="25"/>
        <v>36</v>
      </c>
      <c r="N56" s="1706">
        <v>45866</v>
      </c>
      <c r="O56" s="1707">
        <v>45862</v>
      </c>
      <c r="P56" s="1708"/>
      <c r="Q56" s="1708" t="s">
        <v>1480</v>
      </c>
      <c r="R56" s="1708"/>
      <c r="S56" s="1725" t="s">
        <v>1714</v>
      </c>
      <c r="T56" s="1724"/>
      <c r="U56" s="1724" t="s">
        <v>1691</v>
      </c>
      <c r="V56" s="1721" t="s">
        <v>1705</v>
      </c>
      <c r="W56" s="1719" t="s">
        <v>1715</v>
      </c>
      <c r="X56" s="1720" t="s">
        <v>1592</v>
      </c>
      <c r="Y56" s="1739">
        <v>3.5711</v>
      </c>
      <c r="Z56" s="1740">
        <f t="shared" si="20"/>
        <v>2314.0728</v>
      </c>
      <c r="AA56" s="1741" t="s">
        <v>1716</v>
      </c>
      <c r="AB56" s="1741">
        <v>648</v>
      </c>
      <c r="AC56" s="1746">
        <f t="shared" si="18"/>
        <v>0</v>
      </c>
      <c r="AD56" s="1741" t="s">
        <v>81</v>
      </c>
      <c r="AE56" s="1742" t="s">
        <v>63</v>
      </c>
      <c r="AF56" s="1742" t="s">
        <v>38</v>
      </c>
      <c r="AG56" s="1720">
        <f t="shared" si="21"/>
        <v>648</v>
      </c>
      <c r="AH56" s="1720">
        <f t="shared" si="22"/>
        <v>648</v>
      </c>
      <c r="AI56" s="1754">
        <f t="shared" si="23"/>
        <v>648</v>
      </c>
      <c r="AJ56" s="1755"/>
      <c r="AK56" s="1756"/>
      <c r="AL56" s="1756">
        <f t="shared" si="19"/>
        <v>648</v>
      </c>
      <c r="AM56" s="1756"/>
      <c r="AN56" s="1756"/>
      <c r="AO56" s="1771"/>
      <c r="AP56" s="1771"/>
      <c r="AQ56" s="1772"/>
      <c r="AR56" s="1773"/>
      <c r="AS56" s="1754"/>
      <c r="AT56" s="1773"/>
      <c r="AU56" s="1774">
        <f t="shared" si="24"/>
        <v>648</v>
      </c>
      <c r="AV56" s="1775"/>
      <c r="AW56" s="1777"/>
      <c r="AX56" s="1777"/>
      <c r="AY56" s="1777"/>
      <c r="AZ56" s="1777"/>
      <c r="BA56" s="1777"/>
      <c r="BB56" s="1777"/>
      <c r="BC56" s="1777"/>
      <c r="BD56" s="1777"/>
      <c r="BE56" s="1777"/>
      <c r="BF56" s="1777"/>
      <c r="BG56" s="1777"/>
      <c r="BH56" s="1777"/>
      <c r="BI56" s="1777"/>
      <c r="BJ56" s="1777"/>
      <c r="BK56" s="1777"/>
      <c r="BL56" s="1777"/>
      <c r="BM56" s="1777"/>
      <c r="BN56" s="1777"/>
      <c r="BO56" s="1777"/>
      <c r="BP56" s="1777"/>
      <c r="BQ56" s="1777"/>
      <c r="BR56" s="1777"/>
      <c r="BS56" s="1777"/>
      <c r="BT56" s="1777"/>
      <c r="BU56" s="1777"/>
      <c r="BV56" s="1777"/>
      <c r="BW56" s="1777"/>
      <c r="BX56" s="1777"/>
      <c r="BY56" s="1777"/>
      <c r="BZ56" s="1777"/>
      <c r="CA56" s="1777"/>
      <c r="CB56" s="1777"/>
      <c r="CC56" s="1777"/>
      <c r="CD56" s="1777"/>
      <c r="CE56" s="1777"/>
      <c r="CF56" s="1777"/>
      <c r="CG56" s="1777"/>
      <c r="CH56" s="1777"/>
      <c r="CI56" s="1777"/>
      <c r="CJ56" s="1777"/>
      <c r="CK56" s="1777"/>
      <c r="CL56" s="1777"/>
      <c r="CM56" s="1777"/>
      <c r="CN56" s="1777"/>
      <c r="CO56" s="1777"/>
      <c r="CP56" s="1777"/>
      <c r="CQ56" s="1777"/>
      <c r="CR56" s="1777"/>
      <c r="CS56" s="1777"/>
      <c r="CT56" s="1777"/>
      <c r="CU56" s="1777"/>
      <c r="CV56" s="1777"/>
      <c r="CW56" s="1777"/>
      <c r="CX56" s="1777"/>
      <c r="CY56" s="1777"/>
      <c r="CZ56" s="1777"/>
      <c r="DA56" s="1777"/>
      <c r="DB56" s="1777"/>
      <c r="DC56" s="1777"/>
      <c r="DD56" s="1777"/>
      <c r="DE56" s="1777"/>
      <c r="DF56" s="1777"/>
      <c r="DG56" s="1777"/>
      <c r="DH56" s="1777"/>
      <c r="DI56" s="1777"/>
      <c r="DJ56" s="1777"/>
      <c r="DK56" s="1777"/>
      <c r="DL56" s="1777"/>
      <c r="DM56" s="1777"/>
      <c r="DN56" s="1777"/>
      <c r="DO56" s="1777"/>
      <c r="DP56" s="1777"/>
      <c r="DQ56" s="1777"/>
      <c r="DR56" s="1777"/>
      <c r="DS56" s="1777"/>
      <c r="DT56" s="1777"/>
      <c r="DU56" s="1777"/>
      <c r="DV56" s="1777"/>
      <c r="DW56" s="1777"/>
      <c r="DX56" s="1779"/>
      <c r="DY56" s="1779"/>
      <c r="DZ56" s="1779"/>
      <c r="EA56" s="1779"/>
      <c r="EB56" s="1779"/>
      <c r="EC56" s="1779"/>
      <c r="ED56" s="1779"/>
      <c r="EE56" s="1779"/>
      <c r="EF56" s="1779"/>
      <c r="EG56" s="1779"/>
      <c r="EH56" s="1779"/>
      <c r="EI56" s="1779"/>
      <c r="EJ56" s="1779"/>
      <c r="EK56" s="1779"/>
      <c r="EL56" s="1779"/>
      <c r="EM56" s="1779"/>
      <c r="EN56" s="1779"/>
      <c r="EO56" s="1779"/>
      <c r="EP56" s="1779"/>
      <c r="EQ56" s="1779"/>
      <c r="ER56" s="1779"/>
      <c r="ES56" s="1779"/>
      <c r="ET56" s="1779"/>
      <c r="EU56" s="1779"/>
      <c r="EV56" s="1779"/>
      <c r="EW56" s="1779"/>
      <c r="EX56" s="1779"/>
      <c r="EY56" s="1779"/>
      <c r="EZ56" s="1779"/>
      <c r="FA56" s="1779"/>
      <c r="FB56" s="1779"/>
      <c r="FC56" s="1779"/>
      <c r="FD56" s="1779"/>
      <c r="FE56" s="1779"/>
      <c r="FF56" s="1779"/>
      <c r="FG56" s="1779"/>
      <c r="FH56" s="1779"/>
      <c r="FI56" s="1779"/>
      <c r="FJ56" s="1779"/>
      <c r="FK56" s="1779"/>
      <c r="FL56" s="1779"/>
      <c r="FM56" s="1779"/>
      <c r="FN56" s="1779"/>
      <c r="FO56" s="1779"/>
      <c r="FP56" s="1779"/>
      <c r="FQ56" s="1779"/>
      <c r="FR56" s="1779"/>
      <c r="FS56" s="1779"/>
      <c r="FT56" s="1779"/>
      <c r="FU56" s="1779"/>
      <c r="FV56" s="1779"/>
      <c r="FW56" s="1779"/>
      <c r="FX56" s="1779"/>
      <c r="FY56" s="1779"/>
      <c r="FZ56" s="1779"/>
      <c r="GA56" s="1779"/>
      <c r="XES56" s="1780"/>
      <c r="XET56" s="1780"/>
      <c r="XEU56" s="1780"/>
      <c r="XEV56" s="1780"/>
      <c r="XEW56" s="1780"/>
      <c r="XEX56" s="1780"/>
      <c r="XEY56" s="1780"/>
      <c r="XEZ56" s="1780"/>
      <c r="XFA56" s="1780"/>
      <c r="XFB56" s="1780"/>
      <c r="XFC56" s="1780"/>
      <c r="XFD56" s="1780"/>
    </row>
    <row r="57" s="1663" customFormat="1" ht="36" customHeight="1" spans="1:16384">
      <c r="A57" s="1693">
        <v>45813</v>
      </c>
      <c r="B57" s="1694" t="s">
        <v>1701</v>
      </c>
      <c r="C57" s="1695" t="s">
        <v>91</v>
      </c>
      <c r="D57" s="1696">
        <v>4500168994</v>
      </c>
      <c r="E57" s="1694" t="s">
        <v>1717</v>
      </c>
      <c r="F57" s="1696" t="s">
        <v>1718</v>
      </c>
      <c r="G57" s="1697" t="s">
        <v>1489</v>
      </c>
      <c r="H57" s="1697" t="s">
        <v>1490</v>
      </c>
      <c r="I57" s="1704" t="s">
        <v>1491</v>
      </c>
      <c r="J57" s="1697">
        <v>630</v>
      </c>
      <c r="K57" s="1697">
        <v>0</v>
      </c>
      <c r="L57" s="1697">
        <v>18</v>
      </c>
      <c r="M57" s="1709">
        <f t="shared" si="25"/>
        <v>35</v>
      </c>
      <c r="N57" s="1706">
        <v>45866</v>
      </c>
      <c r="O57" s="1707">
        <v>45862</v>
      </c>
      <c r="P57" s="1708"/>
      <c r="Q57" s="1708" t="s">
        <v>1480</v>
      </c>
      <c r="R57" s="1708" t="s">
        <v>1719</v>
      </c>
      <c r="S57" s="1725" t="s">
        <v>1714</v>
      </c>
      <c r="T57" s="1724"/>
      <c r="U57" s="1724" t="s">
        <v>1691</v>
      </c>
      <c r="V57" s="1721" t="s">
        <v>1705</v>
      </c>
      <c r="W57" s="1719" t="s">
        <v>1720</v>
      </c>
      <c r="X57" s="1720" t="s">
        <v>1592</v>
      </c>
      <c r="Y57" s="1739">
        <v>3.5711</v>
      </c>
      <c r="Z57" s="1740">
        <f t="shared" si="20"/>
        <v>2249.793</v>
      </c>
      <c r="AA57" s="1741"/>
      <c r="AB57" s="1741">
        <v>630</v>
      </c>
      <c r="AC57" s="1746">
        <f t="shared" si="18"/>
        <v>0</v>
      </c>
      <c r="AD57" s="1741" t="s">
        <v>81</v>
      </c>
      <c r="AE57" s="1742" t="s">
        <v>63</v>
      </c>
      <c r="AF57" s="1742" t="s">
        <v>38</v>
      </c>
      <c r="AG57" s="1720">
        <f t="shared" si="21"/>
        <v>630</v>
      </c>
      <c r="AH57" s="1720">
        <f t="shared" si="22"/>
        <v>630</v>
      </c>
      <c r="AI57" s="1754">
        <f t="shared" si="23"/>
        <v>630</v>
      </c>
      <c r="AJ57" s="1755"/>
      <c r="AK57" s="1756"/>
      <c r="AL57" s="1756">
        <f t="shared" si="19"/>
        <v>630</v>
      </c>
      <c r="AM57" s="1756"/>
      <c r="AN57" s="1756"/>
      <c r="AO57" s="1771"/>
      <c r="AP57" s="1771"/>
      <c r="AQ57" s="1772"/>
      <c r="AR57" s="1773"/>
      <c r="AS57" s="1754"/>
      <c r="AT57" s="1773"/>
      <c r="AU57" s="1774">
        <f t="shared" si="24"/>
        <v>630</v>
      </c>
      <c r="AV57" s="1775"/>
      <c r="AW57" s="1777"/>
      <c r="AX57" s="1777"/>
      <c r="AY57" s="1777"/>
      <c r="AZ57" s="1777"/>
      <c r="BA57" s="1777"/>
      <c r="BB57" s="1777"/>
      <c r="BC57" s="1777"/>
      <c r="BD57" s="1777"/>
      <c r="BE57" s="1777"/>
      <c r="BF57" s="1777"/>
      <c r="BG57" s="1777"/>
      <c r="BH57" s="1777"/>
      <c r="BI57" s="1777"/>
      <c r="BJ57" s="1777"/>
      <c r="BK57" s="1777"/>
      <c r="BL57" s="1777"/>
      <c r="BM57" s="1777"/>
      <c r="BN57" s="1777"/>
      <c r="BO57" s="1777"/>
      <c r="BP57" s="1777"/>
      <c r="BQ57" s="1777"/>
      <c r="BR57" s="1777"/>
      <c r="BS57" s="1777"/>
      <c r="BT57" s="1777"/>
      <c r="BU57" s="1777"/>
      <c r="BV57" s="1777"/>
      <c r="BW57" s="1777"/>
      <c r="BX57" s="1777"/>
      <c r="BY57" s="1777"/>
      <c r="BZ57" s="1777"/>
      <c r="CA57" s="1777"/>
      <c r="CB57" s="1777"/>
      <c r="CC57" s="1777"/>
      <c r="CD57" s="1777"/>
      <c r="CE57" s="1777"/>
      <c r="CF57" s="1777"/>
      <c r="CG57" s="1777"/>
      <c r="CH57" s="1777"/>
      <c r="CI57" s="1777"/>
      <c r="CJ57" s="1777"/>
      <c r="CK57" s="1777"/>
      <c r="CL57" s="1777"/>
      <c r="CM57" s="1777"/>
      <c r="CN57" s="1777"/>
      <c r="CO57" s="1777"/>
      <c r="CP57" s="1777"/>
      <c r="CQ57" s="1777"/>
      <c r="CR57" s="1777"/>
      <c r="CS57" s="1777"/>
      <c r="CT57" s="1777"/>
      <c r="CU57" s="1777"/>
      <c r="CV57" s="1777"/>
      <c r="CW57" s="1777"/>
      <c r="CX57" s="1777"/>
      <c r="CY57" s="1777"/>
      <c r="CZ57" s="1777"/>
      <c r="DA57" s="1777"/>
      <c r="DB57" s="1777"/>
      <c r="DC57" s="1777"/>
      <c r="DD57" s="1777"/>
      <c r="DE57" s="1777"/>
      <c r="DF57" s="1777"/>
      <c r="DG57" s="1777"/>
      <c r="DH57" s="1777"/>
      <c r="DI57" s="1777"/>
      <c r="DJ57" s="1777"/>
      <c r="DK57" s="1777"/>
      <c r="DL57" s="1777"/>
      <c r="DM57" s="1777"/>
      <c r="DN57" s="1777"/>
      <c r="DO57" s="1777"/>
      <c r="DP57" s="1777"/>
      <c r="DQ57" s="1777"/>
      <c r="DR57" s="1777"/>
      <c r="DS57" s="1777"/>
      <c r="DT57" s="1777"/>
      <c r="DU57" s="1777"/>
      <c r="DV57" s="1777"/>
      <c r="DW57" s="1777"/>
      <c r="DX57" s="1779"/>
      <c r="DY57" s="1779"/>
      <c r="DZ57" s="1779"/>
      <c r="EA57" s="1779"/>
      <c r="EB57" s="1779"/>
      <c r="EC57" s="1779"/>
      <c r="ED57" s="1779"/>
      <c r="EE57" s="1779"/>
      <c r="EF57" s="1779"/>
      <c r="EG57" s="1779"/>
      <c r="EH57" s="1779"/>
      <c r="EI57" s="1779"/>
      <c r="EJ57" s="1779"/>
      <c r="EK57" s="1779"/>
      <c r="EL57" s="1779"/>
      <c r="EM57" s="1779"/>
      <c r="EN57" s="1779"/>
      <c r="EO57" s="1779"/>
      <c r="EP57" s="1779"/>
      <c r="EQ57" s="1779"/>
      <c r="ER57" s="1779"/>
      <c r="ES57" s="1779"/>
      <c r="ET57" s="1779"/>
      <c r="EU57" s="1779"/>
      <c r="EV57" s="1779"/>
      <c r="EW57" s="1779"/>
      <c r="EX57" s="1779"/>
      <c r="EY57" s="1779"/>
      <c r="EZ57" s="1779"/>
      <c r="FA57" s="1779"/>
      <c r="FB57" s="1779"/>
      <c r="FC57" s="1779"/>
      <c r="FD57" s="1779"/>
      <c r="FE57" s="1779"/>
      <c r="FF57" s="1779"/>
      <c r="FG57" s="1779"/>
      <c r="FH57" s="1779"/>
      <c r="FI57" s="1779"/>
      <c r="FJ57" s="1779"/>
      <c r="FK57" s="1779"/>
      <c r="FL57" s="1779"/>
      <c r="FM57" s="1779"/>
      <c r="FN57" s="1779"/>
      <c r="FO57" s="1779"/>
      <c r="FP57" s="1779"/>
      <c r="FQ57" s="1779"/>
      <c r="FR57" s="1779"/>
      <c r="FS57" s="1779"/>
      <c r="FT57" s="1779"/>
      <c r="FU57" s="1779"/>
      <c r="FV57" s="1779"/>
      <c r="FW57" s="1779"/>
      <c r="FX57" s="1779"/>
      <c r="FY57" s="1779"/>
      <c r="FZ57" s="1779"/>
      <c r="GA57" s="1779"/>
      <c r="XES57" s="1780"/>
      <c r="XET57" s="1780"/>
      <c r="XEU57" s="1780"/>
      <c r="XEV57" s="1780"/>
      <c r="XEW57" s="1780"/>
      <c r="XEX57" s="1780"/>
      <c r="XEY57" s="1780"/>
      <c r="XEZ57" s="1780"/>
      <c r="XFA57" s="1780"/>
      <c r="XFB57" s="1780"/>
      <c r="XFC57" s="1780"/>
      <c r="XFD57" s="1780"/>
    </row>
    <row r="58" s="1663" customFormat="1" ht="36" customHeight="1" spans="1:16384">
      <c r="A58" s="1693">
        <v>45828</v>
      </c>
      <c r="B58" s="1694" t="s">
        <v>1721</v>
      </c>
      <c r="C58" s="1695" t="s">
        <v>752</v>
      </c>
      <c r="D58" s="1696">
        <v>4500170860</v>
      </c>
      <c r="E58" s="1694" t="s">
        <v>1722</v>
      </c>
      <c r="F58" s="1696" t="s">
        <v>1723</v>
      </c>
      <c r="G58" s="1697" t="s">
        <v>1724</v>
      </c>
      <c r="H58" s="1697" t="s">
        <v>1490</v>
      </c>
      <c r="I58" s="1704" t="s">
        <v>1491</v>
      </c>
      <c r="J58" s="1697">
        <v>504</v>
      </c>
      <c r="K58" s="1697">
        <v>0</v>
      </c>
      <c r="L58" s="1697">
        <v>18</v>
      </c>
      <c r="M58" s="1709">
        <f t="shared" si="25"/>
        <v>28</v>
      </c>
      <c r="N58" s="1706">
        <v>45873</v>
      </c>
      <c r="O58" s="1711">
        <f>N58-4</f>
        <v>45869</v>
      </c>
      <c r="P58" s="1708"/>
      <c r="Q58" s="1708" t="s">
        <v>1480</v>
      </c>
      <c r="R58" s="1708"/>
      <c r="S58" s="1725" t="s">
        <v>808</v>
      </c>
      <c r="T58" s="1724"/>
      <c r="U58" s="1724" t="s">
        <v>1725</v>
      </c>
      <c r="V58" s="1721" t="s">
        <v>1726</v>
      </c>
      <c r="W58" s="1719" t="s">
        <v>1727</v>
      </c>
      <c r="X58" s="1720" t="s">
        <v>690</v>
      </c>
      <c r="Y58" s="1739">
        <v>3.6743</v>
      </c>
      <c r="Z58" s="1740">
        <f t="shared" si="20"/>
        <v>1851.8472</v>
      </c>
      <c r="AA58" s="1741"/>
      <c r="AB58" s="1741">
        <v>504</v>
      </c>
      <c r="AC58" s="1741">
        <f t="shared" si="18"/>
        <v>0</v>
      </c>
      <c r="AD58" s="1744" t="s">
        <v>327</v>
      </c>
      <c r="AE58" s="1742" t="s">
        <v>63</v>
      </c>
      <c r="AF58" s="1742" t="s">
        <v>38</v>
      </c>
      <c r="AG58" s="1720">
        <f t="shared" si="21"/>
        <v>504</v>
      </c>
      <c r="AH58" s="1720">
        <f t="shared" si="22"/>
        <v>504</v>
      </c>
      <c r="AI58" s="1754">
        <f t="shared" si="23"/>
        <v>504</v>
      </c>
      <c r="AJ58" s="1755"/>
      <c r="AK58" s="1756"/>
      <c r="AL58" s="1756">
        <f t="shared" si="19"/>
        <v>504</v>
      </c>
      <c r="AM58" s="1756"/>
      <c r="AN58" s="1756"/>
      <c r="AO58" s="1771"/>
      <c r="AP58" s="1771"/>
      <c r="AQ58" s="1772"/>
      <c r="AR58" s="1773"/>
      <c r="AS58" s="1754"/>
      <c r="AT58" s="1773">
        <f>J58</f>
        <v>504</v>
      </c>
      <c r="AU58" s="1774"/>
      <c r="AV58" s="1775"/>
      <c r="AW58" s="1777"/>
      <c r="AX58" s="1777"/>
      <c r="AY58" s="1777"/>
      <c r="AZ58" s="1777"/>
      <c r="BA58" s="1777"/>
      <c r="BB58" s="1777"/>
      <c r="BC58" s="1777"/>
      <c r="BD58" s="1777"/>
      <c r="BE58" s="1777"/>
      <c r="BF58" s="1777"/>
      <c r="BG58" s="1777"/>
      <c r="BH58" s="1777"/>
      <c r="BI58" s="1777"/>
      <c r="BJ58" s="1777"/>
      <c r="BK58" s="1777"/>
      <c r="BL58" s="1777"/>
      <c r="BM58" s="1777"/>
      <c r="BN58" s="1777"/>
      <c r="BO58" s="1777"/>
      <c r="BP58" s="1777"/>
      <c r="BQ58" s="1777"/>
      <c r="BR58" s="1777"/>
      <c r="BS58" s="1777"/>
      <c r="BT58" s="1777"/>
      <c r="BU58" s="1777"/>
      <c r="BV58" s="1777"/>
      <c r="BW58" s="1777"/>
      <c r="BX58" s="1777"/>
      <c r="BY58" s="1777"/>
      <c r="BZ58" s="1777"/>
      <c r="CA58" s="1777"/>
      <c r="CB58" s="1777"/>
      <c r="CC58" s="1777"/>
      <c r="CD58" s="1777"/>
      <c r="CE58" s="1777"/>
      <c r="CF58" s="1777"/>
      <c r="CG58" s="1777"/>
      <c r="CH58" s="1777"/>
      <c r="CI58" s="1777"/>
      <c r="CJ58" s="1777"/>
      <c r="CK58" s="1777"/>
      <c r="CL58" s="1777"/>
      <c r="CM58" s="1777"/>
      <c r="CN58" s="1777"/>
      <c r="CO58" s="1777"/>
      <c r="CP58" s="1777"/>
      <c r="CQ58" s="1777"/>
      <c r="CR58" s="1777"/>
      <c r="CS58" s="1777"/>
      <c r="CT58" s="1777"/>
      <c r="CU58" s="1777"/>
      <c r="CV58" s="1777"/>
      <c r="CW58" s="1777"/>
      <c r="CX58" s="1777"/>
      <c r="CY58" s="1777"/>
      <c r="CZ58" s="1777"/>
      <c r="DA58" s="1777"/>
      <c r="DB58" s="1777"/>
      <c r="DC58" s="1777"/>
      <c r="DD58" s="1777"/>
      <c r="DE58" s="1777"/>
      <c r="DF58" s="1777"/>
      <c r="DG58" s="1777"/>
      <c r="DH58" s="1777"/>
      <c r="DI58" s="1777"/>
      <c r="DJ58" s="1777"/>
      <c r="DK58" s="1777"/>
      <c r="DL58" s="1777"/>
      <c r="DM58" s="1777"/>
      <c r="DN58" s="1777"/>
      <c r="DO58" s="1777"/>
      <c r="DP58" s="1777"/>
      <c r="DQ58" s="1777"/>
      <c r="DR58" s="1777"/>
      <c r="DS58" s="1777"/>
      <c r="DT58" s="1777"/>
      <c r="DU58" s="1777"/>
      <c r="DV58" s="1777"/>
      <c r="DW58" s="1777"/>
      <c r="DX58" s="1779"/>
      <c r="DY58" s="1779"/>
      <c r="DZ58" s="1779"/>
      <c r="EA58" s="1779"/>
      <c r="EB58" s="1779"/>
      <c r="EC58" s="1779"/>
      <c r="ED58" s="1779"/>
      <c r="EE58" s="1779"/>
      <c r="EF58" s="1779"/>
      <c r="EG58" s="1779"/>
      <c r="EH58" s="1779"/>
      <c r="EI58" s="1779"/>
      <c r="EJ58" s="1779"/>
      <c r="EK58" s="1779"/>
      <c r="EL58" s="1779"/>
      <c r="EM58" s="1779"/>
      <c r="EN58" s="1779"/>
      <c r="EO58" s="1779"/>
      <c r="EP58" s="1779"/>
      <c r="EQ58" s="1779"/>
      <c r="ER58" s="1779"/>
      <c r="ES58" s="1779"/>
      <c r="ET58" s="1779"/>
      <c r="EU58" s="1779"/>
      <c r="EV58" s="1779"/>
      <c r="EW58" s="1779"/>
      <c r="EX58" s="1779"/>
      <c r="EY58" s="1779"/>
      <c r="EZ58" s="1779"/>
      <c r="FA58" s="1779"/>
      <c r="FB58" s="1779"/>
      <c r="FC58" s="1779"/>
      <c r="FD58" s="1779"/>
      <c r="FE58" s="1779"/>
      <c r="FF58" s="1779"/>
      <c r="FG58" s="1779"/>
      <c r="FH58" s="1779"/>
      <c r="FI58" s="1779"/>
      <c r="FJ58" s="1779"/>
      <c r="FK58" s="1779"/>
      <c r="FL58" s="1779"/>
      <c r="FM58" s="1779"/>
      <c r="FN58" s="1779"/>
      <c r="FO58" s="1779"/>
      <c r="FP58" s="1779"/>
      <c r="FQ58" s="1779"/>
      <c r="FR58" s="1779"/>
      <c r="FS58" s="1779"/>
      <c r="FT58" s="1779"/>
      <c r="FU58" s="1779"/>
      <c r="FV58" s="1779"/>
      <c r="FW58" s="1779"/>
      <c r="FX58" s="1779"/>
      <c r="FY58" s="1779"/>
      <c r="FZ58" s="1779"/>
      <c r="GA58" s="1779"/>
      <c r="XES58" s="1780"/>
      <c r="XET58" s="1780"/>
      <c r="XEU58" s="1780"/>
      <c r="XEV58" s="1780"/>
      <c r="XEW58" s="1780"/>
      <c r="XEX58" s="1780"/>
      <c r="XEY58" s="1780"/>
      <c r="XEZ58" s="1780"/>
      <c r="XFA58" s="1780"/>
      <c r="XFB58" s="1780"/>
      <c r="XFC58" s="1780"/>
      <c r="XFD58" s="1780"/>
    </row>
    <row r="59" s="1663" customFormat="1" ht="36" customHeight="1" spans="1:16384">
      <c r="A59" s="1693">
        <v>45838</v>
      </c>
      <c r="B59" s="1694" t="s">
        <v>833</v>
      </c>
      <c r="C59" s="1695" t="s">
        <v>91</v>
      </c>
      <c r="D59" s="1696">
        <v>4500171200</v>
      </c>
      <c r="E59" s="1694">
        <v>1613019</v>
      </c>
      <c r="F59" s="1696" t="s">
        <v>1728</v>
      </c>
      <c r="G59" s="1697" t="s">
        <v>1477</v>
      </c>
      <c r="H59" s="1697" t="s">
        <v>1478</v>
      </c>
      <c r="I59" s="1704" t="s">
        <v>1479</v>
      </c>
      <c r="J59" s="1697">
        <v>816</v>
      </c>
      <c r="K59" s="1697">
        <v>0</v>
      </c>
      <c r="L59" s="1697">
        <v>24</v>
      </c>
      <c r="M59" s="1705">
        <f t="shared" si="25"/>
        <v>34</v>
      </c>
      <c r="N59" s="1706">
        <v>45875</v>
      </c>
      <c r="O59" s="1711">
        <v>45871</v>
      </c>
      <c r="P59" s="1708" t="s">
        <v>1729</v>
      </c>
      <c r="Q59" s="1708" t="s">
        <v>1480</v>
      </c>
      <c r="R59" s="1708" t="s">
        <v>807</v>
      </c>
      <c r="S59" s="1727" t="s">
        <v>835</v>
      </c>
      <c r="T59" s="1728"/>
      <c r="U59" s="1729" t="s">
        <v>836</v>
      </c>
      <c r="V59" s="1721" t="s">
        <v>837</v>
      </c>
      <c r="W59" s="1719" t="s">
        <v>838</v>
      </c>
      <c r="X59" s="1720" t="s">
        <v>839</v>
      </c>
      <c r="Y59" s="1739">
        <v>0.9025</v>
      </c>
      <c r="Z59" s="1740">
        <f t="shared" si="20"/>
        <v>736.44</v>
      </c>
      <c r="AA59" s="1741" t="s">
        <v>840</v>
      </c>
      <c r="AB59" s="1741">
        <v>816</v>
      </c>
      <c r="AC59" s="1741">
        <f t="shared" si="18"/>
        <v>0</v>
      </c>
      <c r="AD59" s="1741" t="s">
        <v>327</v>
      </c>
      <c r="AE59" s="1742" t="s">
        <v>63</v>
      </c>
      <c r="AF59" s="1742" t="s">
        <v>38</v>
      </c>
      <c r="AG59" s="1720">
        <f>J59/3</f>
        <v>272</v>
      </c>
      <c r="AH59" s="1720">
        <f>J59/3</f>
        <v>272</v>
      </c>
      <c r="AI59" s="1754">
        <f>J59/3</f>
        <v>272</v>
      </c>
      <c r="AJ59" s="1755"/>
      <c r="AK59" s="1756">
        <f>J59</f>
        <v>816</v>
      </c>
      <c r="AL59" s="1756">
        <f t="shared" si="19"/>
        <v>816</v>
      </c>
      <c r="AM59" s="1756"/>
      <c r="AN59" s="1756"/>
      <c r="AO59" s="1771"/>
      <c r="AP59" s="1771"/>
      <c r="AQ59" s="1772"/>
      <c r="AR59" s="1773"/>
      <c r="AS59" s="1754"/>
      <c r="AT59" s="1773"/>
      <c r="AU59" s="1774"/>
      <c r="AV59" s="1775"/>
      <c r="AW59" s="1777"/>
      <c r="AX59" s="1777"/>
      <c r="AY59" s="1777"/>
      <c r="AZ59" s="1777"/>
      <c r="BA59" s="1777"/>
      <c r="BB59" s="1777"/>
      <c r="BC59" s="1777"/>
      <c r="BD59" s="1777"/>
      <c r="BE59" s="1777"/>
      <c r="BF59" s="1777"/>
      <c r="BG59" s="1777"/>
      <c r="BH59" s="1777"/>
      <c r="BI59" s="1777"/>
      <c r="BJ59" s="1777"/>
      <c r="BK59" s="1777"/>
      <c r="BL59" s="1777"/>
      <c r="BM59" s="1777"/>
      <c r="BN59" s="1777"/>
      <c r="BO59" s="1777"/>
      <c r="BP59" s="1777"/>
      <c r="BQ59" s="1777"/>
      <c r="BR59" s="1777"/>
      <c r="BS59" s="1777"/>
      <c r="BT59" s="1777"/>
      <c r="BU59" s="1777"/>
      <c r="BV59" s="1777"/>
      <c r="BW59" s="1777"/>
      <c r="BX59" s="1777"/>
      <c r="BY59" s="1777"/>
      <c r="BZ59" s="1777"/>
      <c r="CA59" s="1777"/>
      <c r="CB59" s="1777"/>
      <c r="CC59" s="1777"/>
      <c r="CD59" s="1777"/>
      <c r="CE59" s="1777"/>
      <c r="CF59" s="1777"/>
      <c r="CG59" s="1777"/>
      <c r="CH59" s="1777"/>
      <c r="CI59" s="1777"/>
      <c r="CJ59" s="1777"/>
      <c r="CK59" s="1777"/>
      <c r="CL59" s="1777"/>
      <c r="CM59" s="1777"/>
      <c r="CN59" s="1777"/>
      <c r="CO59" s="1777"/>
      <c r="CP59" s="1777"/>
      <c r="CQ59" s="1777"/>
      <c r="CR59" s="1777"/>
      <c r="CS59" s="1777"/>
      <c r="CT59" s="1777"/>
      <c r="CU59" s="1777"/>
      <c r="CV59" s="1777"/>
      <c r="CW59" s="1777"/>
      <c r="CX59" s="1777"/>
      <c r="CY59" s="1777"/>
      <c r="CZ59" s="1777"/>
      <c r="DA59" s="1777"/>
      <c r="DB59" s="1777"/>
      <c r="DC59" s="1777"/>
      <c r="DD59" s="1777"/>
      <c r="DE59" s="1777"/>
      <c r="DF59" s="1777"/>
      <c r="DG59" s="1777"/>
      <c r="DH59" s="1777"/>
      <c r="DI59" s="1777"/>
      <c r="DJ59" s="1777"/>
      <c r="DK59" s="1777"/>
      <c r="DL59" s="1777"/>
      <c r="DM59" s="1777"/>
      <c r="DN59" s="1777"/>
      <c r="DO59" s="1777"/>
      <c r="DP59" s="1777"/>
      <c r="DQ59" s="1777"/>
      <c r="DR59" s="1777"/>
      <c r="DS59" s="1777"/>
      <c r="DT59" s="1777"/>
      <c r="DU59" s="1777"/>
      <c r="DV59" s="1777"/>
      <c r="DW59" s="1777"/>
      <c r="DX59" s="1779"/>
      <c r="DY59" s="1779"/>
      <c r="DZ59" s="1779"/>
      <c r="EA59" s="1779"/>
      <c r="EB59" s="1779"/>
      <c r="EC59" s="1779"/>
      <c r="ED59" s="1779"/>
      <c r="EE59" s="1779"/>
      <c r="EF59" s="1779"/>
      <c r="EG59" s="1779"/>
      <c r="EH59" s="1779"/>
      <c r="EI59" s="1779"/>
      <c r="EJ59" s="1779"/>
      <c r="EK59" s="1779"/>
      <c r="EL59" s="1779"/>
      <c r="EM59" s="1779"/>
      <c r="EN59" s="1779"/>
      <c r="EO59" s="1779"/>
      <c r="EP59" s="1779"/>
      <c r="EQ59" s="1779"/>
      <c r="ER59" s="1779"/>
      <c r="ES59" s="1779"/>
      <c r="ET59" s="1779"/>
      <c r="EU59" s="1779"/>
      <c r="EV59" s="1779"/>
      <c r="EW59" s="1779"/>
      <c r="EX59" s="1779"/>
      <c r="EY59" s="1779"/>
      <c r="EZ59" s="1779"/>
      <c r="FA59" s="1779"/>
      <c r="FB59" s="1779"/>
      <c r="FC59" s="1779"/>
      <c r="FD59" s="1779"/>
      <c r="FE59" s="1779"/>
      <c r="FF59" s="1779"/>
      <c r="FG59" s="1779"/>
      <c r="FH59" s="1779"/>
      <c r="FI59" s="1779"/>
      <c r="FJ59" s="1779"/>
      <c r="FK59" s="1779"/>
      <c r="FL59" s="1779"/>
      <c r="FM59" s="1779"/>
      <c r="FN59" s="1779"/>
      <c r="FO59" s="1779"/>
      <c r="FP59" s="1779"/>
      <c r="FQ59" s="1779"/>
      <c r="FR59" s="1779"/>
      <c r="FS59" s="1779"/>
      <c r="FT59" s="1779"/>
      <c r="FU59" s="1779"/>
      <c r="FV59" s="1779"/>
      <c r="FW59" s="1779"/>
      <c r="FX59" s="1779"/>
      <c r="FY59" s="1779"/>
      <c r="FZ59" s="1779"/>
      <c r="GA59" s="1779"/>
      <c r="XES59" s="1780"/>
      <c r="XET59" s="1780"/>
      <c r="XEU59" s="1780"/>
      <c r="XEV59" s="1780"/>
      <c r="XEW59" s="1780"/>
      <c r="XEX59" s="1780"/>
      <c r="XEY59" s="1780"/>
      <c r="XEZ59" s="1780"/>
      <c r="XFA59" s="1780"/>
      <c r="XFB59" s="1780"/>
      <c r="XFC59" s="1780"/>
      <c r="XFD59" s="1780"/>
    </row>
    <row r="60" s="1663" customFormat="1" ht="36" customHeight="1" spans="1:16384">
      <c r="A60" s="1693">
        <v>45863</v>
      </c>
      <c r="B60" s="1694" t="s">
        <v>1730</v>
      </c>
      <c r="C60" s="1695" t="s">
        <v>493</v>
      </c>
      <c r="D60" s="1696">
        <v>4500175056</v>
      </c>
      <c r="E60" s="1694">
        <v>55255876</v>
      </c>
      <c r="F60" s="1696" t="s">
        <v>1731</v>
      </c>
      <c r="G60" s="1697" t="s">
        <v>1732</v>
      </c>
      <c r="H60" s="1697" t="s">
        <v>1478</v>
      </c>
      <c r="I60" s="1704" t="s">
        <v>1479</v>
      </c>
      <c r="J60" s="1697">
        <v>1008</v>
      </c>
      <c r="K60" s="1697">
        <v>0</v>
      </c>
      <c r="L60" s="1697">
        <v>24</v>
      </c>
      <c r="M60" s="1705">
        <f t="shared" si="25"/>
        <v>42</v>
      </c>
      <c r="N60" s="1706">
        <v>45891</v>
      </c>
      <c r="O60" s="1711">
        <v>45887</v>
      </c>
      <c r="P60" s="1708" t="s">
        <v>1733</v>
      </c>
      <c r="Q60" s="1708" t="s">
        <v>1480</v>
      </c>
      <c r="R60" s="1708"/>
      <c r="S60" s="1727" t="s">
        <v>1734</v>
      </c>
      <c r="T60" s="1728"/>
      <c r="U60" s="1729" t="s">
        <v>1735</v>
      </c>
      <c r="V60" s="1718" t="s">
        <v>1736</v>
      </c>
      <c r="W60" s="1719" t="s">
        <v>1737</v>
      </c>
      <c r="X60" s="1720" t="s">
        <v>1738</v>
      </c>
      <c r="Y60" s="1739">
        <v>1.5121</v>
      </c>
      <c r="Z60" s="1740">
        <f t="shared" si="20"/>
        <v>1524.1968</v>
      </c>
      <c r="AA60" s="1741"/>
      <c r="AB60" s="1741">
        <v>1008</v>
      </c>
      <c r="AC60" s="1741">
        <f t="shared" si="18"/>
        <v>0</v>
      </c>
      <c r="AD60" s="1741" t="s">
        <v>327</v>
      </c>
      <c r="AE60" s="1742" t="s">
        <v>63</v>
      </c>
      <c r="AF60" s="1742" t="s">
        <v>38</v>
      </c>
      <c r="AG60" s="1720">
        <f>J60/3</f>
        <v>336</v>
      </c>
      <c r="AH60" s="1720">
        <f>J60/3</f>
        <v>336</v>
      </c>
      <c r="AI60" s="1754">
        <f>J60/3</f>
        <v>336</v>
      </c>
      <c r="AJ60" s="1755">
        <f>J60</f>
        <v>1008</v>
      </c>
      <c r="AK60" s="1756"/>
      <c r="AL60" s="1756">
        <f t="shared" si="19"/>
        <v>1008</v>
      </c>
      <c r="AM60" s="1756"/>
      <c r="AN60" s="1756"/>
      <c r="AO60" s="1771"/>
      <c r="AP60" s="1771"/>
      <c r="AQ60" s="1772"/>
      <c r="AR60" s="1773"/>
      <c r="AS60" s="1754"/>
      <c r="AT60" s="1773"/>
      <c r="AU60" s="1774"/>
      <c r="AV60" s="1775"/>
      <c r="AW60" s="1777"/>
      <c r="AX60" s="1777"/>
      <c r="AY60" s="1777"/>
      <c r="AZ60" s="1777"/>
      <c r="BA60" s="1777"/>
      <c r="BB60" s="1777"/>
      <c r="BC60" s="1777"/>
      <c r="BD60" s="1777"/>
      <c r="BE60" s="1777"/>
      <c r="BF60" s="1777"/>
      <c r="BG60" s="1777"/>
      <c r="BH60" s="1777"/>
      <c r="BI60" s="1777"/>
      <c r="BJ60" s="1777"/>
      <c r="BK60" s="1777"/>
      <c r="BL60" s="1777"/>
      <c r="BM60" s="1777"/>
      <c r="BN60" s="1777"/>
      <c r="BO60" s="1777"/>
      <c r="BP60" s="1777"/>
      <c r="BQ60" s="1777"/>
      <c r="BR60" s="1777"/>
      <c r="BS60" s="1777"/>
      <c r="BT60" s="1777"/>
      <c r="BU60" s="1777"/>
      <c r="BV60" s="1777"/>
      <c r="BW60" s="1777"/>
      <c r="BX60" s="1777"/>
      <c r="BY60" s="1777"/>
      <c r="BZ60" s="1777"/>
      <c r="CA60" s="1777"/>
      <c r="CB60" s="1777"/>
      <c r="CC60" s="1777"/>
      <c r="CD60" s="1777"/>
      <c r="CE60" s="1777"/>
      <c r="CF60" s="1777"/>
      <c r="CG60" s="1777"/>
      <c r="CH60" s="1777"/>
      <c r="CI60" s="1777"/>
      <c r="CJ60" s="1777"/>
      <c r="CK60" s="1777"/>
      <c r="CL60" s="1777"/>
      <c r="CM60" s="1777"/>
      <c r="CN60" s="1777"/>
      <c r="CO60" s="1777"/>
      <c r="CP60" s="1777"/>
      <c r="CQ60" s="1777"/>
      <c r="CR60" s="1777"/>
      <c r="CS60" s="1777"/>
      <c r="CT60" s="1777"/>
      <c r="CU60" s="1777"/>
      <c r="CV60" s="1777"/>
      <c r="CW60" s="1777"/>
      <c r="CX60" s="1777"/>
      <c r="CY60" s="1777"/>
      <c r="CZ60" s="1777"/>
      <c r="DA60" s="1777"/>
      <c r="DB60" s="1777"/>
      <c r="DC60" s="1777"/>
      <c r="DD60" s="1777"/>
      <c r="DE60" s="1777"/>
      <c r="DF60" s="1777"/>
      <c r="DG60" s="1777"/>
      <c r="DH60" s="1777"/>
      <c r="DI60" s="1777"/>
      <c r="DJ60" s="1777"/>
      <c r="DK60" s="1777"/>
      <c r="DL60" s="1777"/>
      <c r="DM60" s="1777"/>
      <c r="DN60" s="1777"/>
      <c r="DO60" s="1777"/>
      <c r="DP60" s="1777"/>
      <c r="DQ60" s="1777"/>
      <c r="DR60" s="1777"/>
      <c r="DS60" s="1777"/>
      <c r="DT60" s="1777"/>
      <c r="DU60" s="1777"/>
      <c r="DV60" s="1777"/>
      <c r="DW60" s="1777"/>
      <c r="DX60" s="1779"/>
      <c r="DY60" s="1779"/>
      <c r="DZ60" s="1779"/>
      <c r="EA60" s="1779"/>
      <c r="EB60" s="1779"/>
      <c r="EC60" s="1779"/>
      <c r="ED60" s="1779"/>
      <c r="EE60" s="1779"/>
      <c r="EF60" s="1779"/>
      <c r="EG60" s="1779"/>
      <c r="EH60" s="1779"/>
      <c r="EI60" s="1779"/>
      <c r="EJ60" s="1779"/>
      <c r="EK60" s="1779"/>
      <c r="EL60" s="1779"/>
      <c r="EM60" s="1779"/>
      <c r="EN60" s="1779"/>
      <c r="EO60" s="1779"/>
      <c r="EP60" s="1779"/>
      <c r="EQ60" s="1779"/>
      <c r="ER60" s="1779"/>
      <c r="ES60" s="1779"/>
      <c r="ET60" s="1779"/>
      <c r="EU60" s="1779"/>
      <c r="EV60" s="1779"/>
      <c r="EW60" s="1779"/>
      <c r="EX60" s="1779"/>
      <c r="EY60" s="1779"/>
      <c r="EZ60" s="1779"/>
      <c r="FA60" s="1779"/>
      <c r="FB60" s="1779"/>
      <c r="FC60" s="1779"/>
      <c r="FD60" s="1779"/>
      <c r="FE60" s="1779"/>
      <c r="FF60" s="1779"/>
      <c r="FG60" s="1779"/>
      <c r="FH60" s="1779"/>
      <c r="FI60" s="1779"/>
      <c r="FJ60" s="1779"/>
      <c r="FK60" s="1779"/>
      <c r="FL60" s="1779"/>
      <c r="FM60" s="1779"/>
      <c r="FN60" s="1779"/>
      <c r="FO60" s="1779"/>
      <c r="FP60" s="1779"/>
      <c r="FQ60" s="1779"/>
      <c r="FR60" s="1779"/>
      <c r="FS60" s="1779"/>
      <c r="FT60" s="1779"/>
      <c r="FU60" s="1779"/>
      <c r="FV60" s="1779"/>
      <c r="FW60" s="1779"/>
      <c r="FX60" s="1779"/>
      <c r="FY60" s="1779"/>
      <c r="FZ60" s="1779"/>
      <c r="GA60" s="1779"/>
      <c r="XES60" s="1780"/>
      <c r="XET60" s="1780"/>
      <c r="XEU60" s="1780"/>
      <c r="XEV60" s="1780"/>
      <c r="XEW60" s="1780"/>
      <c r="XEX60" s="1780"/>
      <c r="XEY60" s="1780"/>
      <c r="XEZ60" s="1780"/>
      <c r="XFA60" s="1780"/>
      <c r="XFB60" s="1780"/>
      <c r="XFC60" s="1780"/>
      <c r="XFD60" s="1780"/>
    </row>
    <row r="61" s="1663" customFormat="1" ht="36" customHeight="1" spans="1:16384">
      <c r="A61" s="1693">
        <v>45863</v>
      </c>
      <c r="B61" s="1694" t="s">
        <v>1739</v>
      </c>
      <c r="C61" s="1695" t="s">
        <v>123</v>
      </c>
      <c r="D61" s="1696">
        <v>4500175035</v>
      </c>
      <c r="E61" s="1694">
        <v>50077882</v>
      </c>
      <c r="F61" s="1696" t="s">
        <v>1740</v>
      </c>
      <c r="G61" s="1697" t="s">
        <v>1732</v>
      </c>
      <c r="H61" s="1697" t="s">
        <v>1478</v>
      </c>
      <c r="I61" s="1704" t="s">
        <v>1479</v>
      </c>
      <c r="J61" s="1697">
        <v>1008</v>
      </c>
      <c r="K61" s="1697">
        <v>0</v>
      </c>
      <c r="L61" s="1697">
        <v>24</v>
      </c>
      <c r="M61" s="1705">
        <f t="shared" si="25"/>
        <v>42</v>
      </c>
      <c r="N61" s="1706">
        <v>45891</v>
      </c>
      <c r="O61" s="1711">
        <v>45887</v>
      </c>
      <c r="P61" s="1708" t="s">
        <v>1733</v>
      </c>
      <c r="Q61" s="1708" t="s">
        <v>1480</v>
      </c>
      <c r="R61" s="1708"/>
      <c r="S61" s="1727" t="s">
        <v>1734</v>
      </c>
      <c r="T61" s="1728"/>
      <c r="U61" s="1729" t="s">
        <v>1741</v>
      </c>
      <c r="V61" s="1718" t="s">
        <v>1736</v>
      </c>
      <c r="W61" s="1719" t="s">
        <v>1742</v>
      </c>
      <c r="X61" s="1720" t="s">
        <v>1738</v>
      </c>
      <c r="Y61" s="1739">
        <v>1.5121</v>
      </c>
      <c r="Z61" s="1740">
        <f t="shared" si="20"/>
        <v>1524.1968</v>
      </c>
      <c r="AA61" s="1741"/>
      <c r="AB61" s="1741">
        <v>1008</v>
      </c>
      <c r="AC61" s="1741">
        <f t="shared" si="18"/>
        <v>0</v>
      </c>
      <c r="AD61" s="1741" t="s">
        <v>81</v>
      </c>
      <c r="AE61" s="1742" t="s">
        <v>63</v>
      </c>
      <c r="AF61" s="1742" t="s">
        <v>38</v>
      </c>
      <c r="AG61" s="1720">
        <f>J61/3</f>
        <v>336</v>
      </c>
      <c r="AH61" s="1720">
        <f>J61/3</f>
        <v>336</v>
      </c>
      <c r="AI61" s="1754">
        <f>J61/3</f>
        <v>336</v>
      </c>
      <c r="AJ61" s="1755">
        <f>J61</f>
        <v>1008</v>
      </c>
      <c r="AK61" s="1756"/>
      <c r="AL61" s="1756">
        <f t="shared" si="19"/>
        <v>1008</v>
      </c>
      <c r="AM61" s="1756"/>
      <c r="AN61" s="1756"/>
      <c r="AO61" s="1771"/>
      <c r="AP61" s="1771"/>
      <c r="AQ61" s="1772"/>
      <c r="AR61" s="1773"/>
      <c r="AS61" s="1754"/>
      <c r="AT61" s="1773"/>
      <c r="AU61" s="1774"/>
      <c r="AV61" s="1775"/>
      <c r="AW61" s="1777"/>
      <c r="AX61" s="1777"/>
      <c r="AY61" s="1777"/>
      <c r="AZ61" s="1777"/>
      <c r="BA61" s="1777"/>
      <c r="BB61" s="1777"/>
      <c r="BC61" s="1777"/>
      <c r="BD61" s="1777"/>
      <c r="BE61" s="1777"/>
      <c r="BF61" s="1777"/>
      <c r="BG61" s="1777"/>
      <c r="BH61" s="1777"/>
      <c r="BI61" s="1777"/>
      <c r="BJ61" s="1777"/>
      <c r="BK61" s="1777"/>
      <c r="BL61" s="1777"/>
      <c r="BM61" s="1777"/>
      <c r="BN61" s="1777"/>
      <c r="BO61" s="1777"/>
      <c r="BP61" s="1777"/>
      <c r="BQ61" s="1777"/>
      <c r="BR61" s="1777"/>
      <c r="BS61" s="1777"/>
      <c r="BT61" s="1777"/>
      <c r="BU61" s="1777"/>
      <c r="BV61" s="1777"/>
      <c r="BW61" s="1777"/>
      <c r="BX61" s="1777"/>
      <c r="BY61" s="1777"/>
      <c r="BZ61" s="1777"/>
      <c r="CA61" s="1777"/>
      <c r="CB61" s="1777"/>
      <c r="CC61" s="1777"/>
      <c r="CD61" s="1777"/>
      <c r="CE61" s="1777"/>
      <c r="CF61" s="1777"/>
      <c r="CG61" s="1777"/>
      <c r="CH61" s="1777"/>
      <c r="CI61" s="1777"/>
      <c r="CJ61" s="1777"/>
      <c r="CK61" s="1777"/>
      <c r="CL61" s="1777"/>
      <c r="CM61" s="1777"/>
      <c r="CN61" s="1777"/>
      <c r="CO61" s="1777"/>
      <c r="CP61" s="1777"/>
      <c r="CQ61" s="1777"/>
      <c r="CR61" s="1777"/>
      <c r="CS61" s="1777"/>
      <c r="CT61" s="1777"/>
      <c r="CU61" s="1777"/>
      <c r="CV61" s="1777"/>
      <c r="CW61" s="1777"/>
      <c r="CX61" s="1777"/>
      <c r="CY61" s="1777"/>
      <c r="CZ61" s="1777"/>
      <c r="DA61" s="1777"/>
      <c r="DB61" s="1777"/>
      <c r="DC61" s="1777"/>
      <c r="DD61" s="1777"/>
      <c r="DE61" s="1777"/>
      <c r="DF61" s="1777"/>
      <c r="DG61" s="1777"/>
      <c r="DH61" s="1777"/>
      <c r="DI61" s="1777"/>
      <c r="DJ61" s="1777"/>
      <c r="DK61" s="1777"/>
      <c r="DL61" s="1777"/>
      <c r="DM61" s="1777"/>
      <c r="DN61" s="1777"/>
      <c r="DO61" s="1777"/>
      <c r="DP61" s="1777"/>
      <c r="DQ61" s="1777"/>
      <c r="DR61" s="1777"/>
      <c r="DS61" s="1777"/>
      <c r="DT61" s="1777"/>
      <c r="DU61" s="1777"/>
      <c r="DV61" s="1777"/>
      <c r="DW61" s="1777"/>
      <c r="DX61" s="1779"/>
      <c r="DY61" s="1779"/>
      <c r="DZ61" s="1779"/>
      <c r="EA61" s="1779"/>
      <c r="EB61" s="1779"/>
      <c r="EC61" s="1779"/>
      <c r="ED61" s="1779"/>
      <c r="EE61" s="1779"/>
      <c r="EF61" s="1779"/>
      <c r="EG61" s="1779"/>
      <c r="EH61" s="1779"/>
      <c r="EI61" s="1779"/>
      <c r="EJ61" s="1779"/>
      <c r="EK61" s="1779"/>
      <c r="EL61" s="1779"/>
      <c r="EM61" s="1779"/>
      <c r="EN61" s="1779"/>
      <c r="EO61" s="1779"/>
      <c r="EP61" s="1779"/>
      <c r="EQ61" s="1779"/>
      <c r="ER61" s="1779"/>
      <c r="ES61" s="1779"/>
      <c r="ET61" s="1779"/>
      <c r="EU61" s="1779"/>
      <c r="EV61" s="1779"/>
      <c r="EW61" s="1779"/>
      <c r="EX61" s="1779"/>
      <c r="EY61" s="1779"/>
      <c r="EZ61" s="1779"/>
      <c r="FA61" s="1779"/>
      <c r="FB61" s="1779"/>
      <c r="FC61" s="1779"/>
      <c r="FD61" s="1779"/>
      <c r="FE61" s="1779"/>
      <c r="FF61" s="1779"/>
      <c r="FG61" s="1779"/>
      <c r="FH61" s="1779"/>
      <c r="FI61" s="1779"/>
      <c r="FJ61" s="1779"/>
      <c r="FK61" s="1779"/>
      <c r="FL61" s="1779"/>
      <c r="FM61" s="1779"/>
      <c r="FN61" s="1779"/>
      <c r="FO61" s="1779"/>
      <c r="FP61" s="1779"/>
      <c r="FQ61" s="1779"/>
      <c r="FR61" s="1779"/>
      <c r="FS61" s="1779"/>
      <c r="FT61" s="1779"/>
      <c r="FU61" s="1779"/>
      <c r="FV61" s="1779"/>
      <c r="FW61" s="1779"/>
      <c r="FX61" s="1779"/>
      <c r="FY61" s="1779"/>
      <c r="FZ61" s="1779"/>
      <c r="GA61" s="1779"/>
      <c r="XES61" s="1780"/>
      <c r="XET61" s="1780"/>
      <c r="XEU61" s="1780"/>
      <c r="XEV61" s="1780"/>
      <c r="XEW61" s="1780"/>
      <c r="XEX61" s="1780"/>
      <c r="XEY61" s="1780"/>
      <c r="XEZ61" s="1780"/>
      <c r="XFA61" s="1780"/>
      <c r="XFB61" s="1780"/>
      <c r="XFC61" s="1780"/>
      <c r="XFD61" s="1780"/>
    </row>
    <row r="62" s="1663" customFormat="1" ht="36" customHeight="1" spans="1:16384">
      <c r="A62" s="1693">
        <v>45860</v>
      </c>
      <c r="B62" s="1694" t="s">
        <v>833</v>
      </c>
      <c r="C62" s="1695" t="s">
        <v>91</v>
      </c>
      <c r="D62" s="1696">
        <v>4500174533</v>
      </c>
      <c r="E62" s="1694">
        <v>1613020</v>
      </c>
      <c r="F62" s="1696" t="s">
        <v>1743</v>
      </c>
      <c r="G62" s="1697" t="s">
        <v>1732</v>
      </c>
      <c r="H62" s="1697" t="s">
        <v>1478</v>
      </c>
      <c r="I62" s="1704" t="s">
        <v>1479</v>
      </c>
      <c r="J62" s="1697">
        <v>408</v>
      </c>
      <c r="K62" s="1697">
        <v>0</v>
      </c>
      <c r="L62" s="1697">
        <v>24</v>
      </c>
      <c r="M62" s="1705">
        <f t="shared" si="25"/>
        <v>17</v>
      </c>
      <c r="N62" s="1706">
        <v>45903</v>
      </c>
      <c r="O62" s="1711">
        <f>N62-4</f>
        <v>45899</v>
      </c>
      <c r="P62" s="1708" t="s">
        <v>1744</v>
      </c>
      <c r="Q62" s="1708" t="s">
        <v>1480</v>
      </c>
      <c r="R62" s="1363" t="s">
        <v>928</v>
      </c>
      <c r="S62" s="1727" t="s">
        <v>929</v>
      </c>
      <c r="T62" s="1728"/>
      <c r="U62" s="1407" t="s">
        <v>917</v>
      </c>
      <c r="V62" s="1721" t="s">
        <v>1745</v>
      </c>
      <c r="W62" s="1719" t="s">
        <v>930</v>
      </c>
      <c r="X62" s="1720" t="s">
        <v>839</v>
      </c>
      <c r="Y62" s="1739">
        <v>0.9025</v>
      </c>
      <c r="Z62" s="1740">
        <f t="shared" si="20"/>
        <v>368.22</v>
      </c>
      <c r="AA62" s="1741" t="s">
        <v>1746</v>
      </c>
      <c r="AB62" s="1741">
        <v>408</v>
      </c>
      <c r="AC62" s="1741">
        <f t="shared" si="18"/>
        <v>0</v>
      </c>
      <c r="AD62" s="1741" t="s">
        <v>81</v>
      </c>
      <c r="AE62" s="1742" t="s">
        <v>63</v>
      </c>
      <c r="AF62" s="1742" t="s">
        <v>38</v>
      </c>
      <c r="AG62" s="1720">
        <f>J62/3</f>
        <v>136</v>
      </c>
      <c r="AH62" s="1720">
        <f>J62/3</f>
        <v>136</v>
      </c>
      <c r="AI62" s="1754">
        <f>J62/3</f>
        <v>136</v>
      </c>
      <c r="AJ62" s="1755">
        <f>J62</f>
        <v>408</v>
      </c>
      <c r="AK62" s="1756"/>
      <c r="AL62" s="1756">
        <f t="shared" si="19"/>
        <v>408</v>
      </c>
      <c r="AM62" s="1756"/>
      <c r="AN62" s="1756"/>
      <c r="AO62" s="1771"/>
      <c r="AP62" s="1771"/>
      <c r="AQ62" s="1772"/>
      <c r="AR62" s="1773"/>
      <c r="AS62" s="1754"/>
      <c r="AT62" s="1773"/>
      <c r="AU62" s="1774"/>
      <c r="AV62" s="1775"/>
      <c r="AW62" s="1777"/>
      <c r="AX62" s="1777"/>
      <c r="AY62" s="1777"/>
      <c r="AZ62" s="1777"/>
      <c r="BA62" s="1777"/>
      <c r="BB62" s="1777"/>
      <c r="BC62" s="1777"/>
      <c r="BD62" s="1777"/>
      <c r="BE62" s="1777"/>
      <c r="BF62" s="1777"/>
      <c r="BG62" s="1777"/>
      <c r="BH62" s="1777"/>
      <c r="BI62" s="1777"/>
      <c r="BJ62" s="1777"/>
      <c r="BK62" s="1777"/>
      <c r="BL62" s="1777"/>
      <c r="BM62" s="1777"/>
      <c r="BN62" s="1777"/>
      <c r="BO62" s="1777"/>
      <c r="BP62" s="1777"/>
      <c r="BQ62" s="1777"/>
      <c r="BR62" s="1777"/>
      <c r="BS62" s="1777"/>
      <c r="BT62" s="1777"/>
      <c r="BU62" s="1777"/>
      <c r="BV62" s="1777"/>
      <c r="BW62" s="1777"/>
      <c r="BX62" s="1777"/>
      <c r="BY62" s="1777"/>
      <c r="BZ62" s="1777"/>
      <c r="CA62" s="1777"/>
      <c r="CB62" s="1777"/>
      <c r="CC62" s="1777"/>
      <c r="CD62" s="1777"/>
      <c r="CE62" s="1777"/>
      <c r="CF62" s="1777"/>
      <c r="CG62" s="1777"/>
      <c r="CH62" s="1777"/>
      <c r="CI62" s="1777"/>
      <c r="CJ62" s="1777"/>
      <c r="CK62" s="1777"/>
      <c r="CL62" s="1777"/>
      <c r="CM62" s="1777"/>
      <c r="CN62" s="1777"/>
      <c r="CO62" s="1777"/>
      <c r="CP62" s="1777"/>
      <c r="CQ62" s="1777"/>
      <c r="CR62" s="1777"/>
      <c r="CS62" s="1777"/>
      <c r="CT62" s="1777"/>
      <c r="CU62" s="1777"/>
      <c r="CV62" s="1777"/>
      <c r="CW62" s="1777"/>
      <c r="CX62" s="1777"/>
      <c r="CY62" s="1777"/>
      <c r="CZ62" s="1777"/>
      <c r="DA62" s="1777"/>
      <c r="DB62" s="1777"/>
      <c r="DC62" s="1777"/>
      <c r="DD62" s="1777"/>
      <c r="DE62" s="1777"/>
      <c r="DF62" s="1777"/>
      <c r="DG62" s="1777"/>
      <c r="DH62" s="1777"/>
      <c r="DI62" s="1777"/>
      <c r="DJ62" s="1777"/>
      <c r="DK62" s="1777"/>
      <c r="DL62" s="1777"/>
      <c r="DM62" s="1777"/>
      <c r="DN62" s="1777"/>
      <c r="DO62" s="1777"/>
      <c r="DP62" s="1777"/>
      <c r="DQ62" s="1777"/>
      <c r="DR62" s="1777"/>
      <c r="DS62" s="1777"/>
      <c r="DT62" s="1777"/>
      <c r="DU62" s="1777"/>
      <c r="DV62" s="1777"/>
      <c r="DW62" s="1777"/>
      <c r="DX62" s="1779"/>
      <c r="DY62" s="1779"/>
      <c r="DZ62" s="1779"/>
      <c r="EA62" s="1779"/>
      <c r="EB62" s="1779"/>
      <c r="EC62" s="1779"/>
      <c r="ED62" s="1779"/>
      <c r="EE62" s="1779"/>
      <c r="EF62" s="1779"/>
      <c r="EG62" s="1779"/>
      <c r="EH62" s="1779"/>
      <c r="EI62" s="1779"/>
      <c r="EJ62" s="1779"/>
      <c r="EK62" s="1779"/>
      <c r="EL62" s="1779"/>
      <c r="EM62" s="1779"/>
      <c r="EN62" s="1779"/>
      <c r="EO62" s="1779"/>
      <c r="EP62" s="1779"/>
      <c r="EQ62" s="1779"/>
      <c r="ER62" s="1779"/>
      <c r="ES62" s="1779"/>
      <c r="ET62" s="1779"/>
      <c r="EU62" s="1779"/>
      <c r="EV62" s="1779"/>
      <c r="EW62" s="1779"/>
      <c r="EX62" s="1779"/>
      <c r="EY62" s="1779"/>
      <c r="EZ62" s="1779"/>
      <c r="FA62" s="1779"/>
      <c r="FB62" s="1779"/>
      <c r="FC62" s="1779"/>
      <c r="FD62" s="1779"/>
      <c r="FE62" s="1779"/>
      <c r="FF62" s="1779"/>
      <c r="FG62" s="1779"/>
      <c r="FH62" s="1779"/>
      <c r="FI62" s="1779"/>
      <c r="FJ62" s="1779"/>
      <c r="FK62" s="1779"/>
      <c r="FL62" s="1779"/>
      <c r="FM62" s="1779"/>
      <c r="FN62" s="1779"/>
      <c r="FO62" s="1779"/>
      <c r="FP62" s="1779"/>
      <c r="FQ62" s="1779"/>
      <c r="FR62" s="1779"/>
      <c r="FS62" s="1779"/>
      <c r="FT62" s="1779"/>
      <c r="FU62" s="1779"/>
      <c r="FV62" s="1779"/>
      <c r="FW62" s="1779"/>
      <c r="FX62" s="1779"/>
      <c r="FY62" s="1779"/>
      <c r="FZ62" s="1779"/>
      <c r="GA62" s="1779"/>
      <c r="XES62" s="1780"/>
      <c r="XET62" s="1780"/>
      <c r="XEU62" s="1780"/>
      <c r="XEV62" s="1780"/>
      <c r="XEW62" s="1780"/>
      <c r="XEX62" s="1780"/>
      <c r="XEY62" s="1780"/>
      <c r="XEZ62" s="1780"/>
      <c r="XFA62" s="1780"/>
      <c r="XFB62" s="1780"/>
      <c r="XFC62" s="1780"/>
      <c r="XFD62" s="1780"/>
    </row>
    <row r="63" s="1663" customFormat="1" ht="36" customHeight="1" spans="1:16384">
      <c r="A63" s="1693">
        <v>45855</v>
      </c>
      <c r="B63" s="1694" t="s">
        <v>1721</v>
      </c>
      <c r="C63" s="1695" t="s">
        <v>752</v>
      </c>
      <c r="D63" s="1696">
        <v>4500174099</v>
      </c>
      <c r="E63" s="1694" t="s">
        <v>1747</v>
      </c>
      <c r="F63" s="1696" t="s">
        <v>1748</v>
      </c>
      <c r="G63" s="1697" t="s">
        <v>1724</v>
      </c>
      <c r="H63" s="1697" t="s">
        <v>1490</v>
      </c>
      <c r="I63" s="1704" t="s">
        <v>1491</v>
      </c>
      <c r="J63" s="1697">
        <v>180</v>
      </c>
      <c r="K63" s="1697">
        <v>0</v>
      </c>
      <c r="L63" s="1697">
        <v>18</v>
      </c>
      <c r="M63" s="1709">
        <f t="shared" si="25"/>
        <v>10</v>
      </c>
      <c r="N63" s="1706">
        <v>45905</v>
      </c>
      <c r="O63" s="1711">
        <v>45901</v>
      </c>
      <c r="P63" s="1708"/>
      <c r="Q63" s="1708" t="s">
        <v>1480</v>
      </c>
      <c r="R63" s="1708"/>
      <c r="S63" s="1727" t="s">
        <v>1749</v>
      </c>
      <c r="T63" s="1728"/>
      <c r="U63" s="1729" t="s">
        <v>1750</v>
      </c>
      <c r="V63" s="1721" t="s">
        <v>1185</v>
      </c>
      <c r="W63" s="1719" t="s">
        <v>1751</v>
      </c>
      <c r="X63" s="1720" t="s">
        <v>690</v>
      </c>
      <c r="Y63" s="1739">
        <v>3.6437</v>
      </c>
      <c r="Z63" s="1740">
        <f t="shared" si="20"/>
        <v>655.866</v>
      </c>
      <c r="AA63" s="1741"/>
      <c r="AB63" s="1741">
        <v>180</v>
      </c>
      <c r="AC63" s="1741">
        <f t="shared" si="18"/>
        <v>0</v>
      </c>
      <c r="AD63" s="1741" t="s">
        <v>81</v>
      </c>
      <c r="AE63" s="1742" t="s">
        <v>63</v>
      </c>
      <c r="AF63" s="1742" t="s">
        <v>38</v>
      </c>
      <c r="AG63" s="1720">
        <f>J63</f>
        <v>180</v>
      </c>
      <c r="AH63" s="1720">
        <f>J63</f>
        <v>180</v>
      </c>
      <c r="AI63" s="1754">
        <f>J63</f>
        <v>180</v>
      </c>
      <c r="AJ63" s="1755"/>
      <c r="AK63" s="1756"/>
      <c r="AL63" s="1756">
        <f t="shared" si="19"/>
        <v>180</v>
      </c>
      <c r="AM63" s="1756"/>
      <c r="AN63" s="1756"/>
      <c r="AO63" s="1771"/>
      <c r="AP63" s="1771"/>
      <c r="AQ63" s="1772"/>
      <c r="AR63" s="1773"/>
      <c r="AS63" s="1754"/>
      <c r="AT63" s="1773">
        <f>J63</f>
        <v>180</v>
      </c>
      <c r="AU63" s="1774"/>
      <c r="AV63" s="1775"/>
      <c r="AW63" s="1777"/>
      <c r="AX63" s="1777"/>
      <c r="AY63" s="1777"/>
      <c r="AZ63" s="1777"/>
      <c r="BA63" s="1777"/>
      <c r="BB63" s="1777"/>
      <c r="BC63" s="1777"/>
      <c r="BD63" s="1777"/>
      <c r="BE63" s="1777"/>
      <c r="BF63" s="1777"/>
      <c r="BG63" s="1777"/>
      <c r="BH63" s="1777"/>
      <c r="BI63" s="1777"/>
      <c r="BJ63" s="1777"/>
      <c r="BK63" s="1777"/>
      <c r="BL63" s="1777"/>
      <c r="BM63" s="1777"/>
      <c r="BN63" s="1777"/>
      <c r="BO63" s="1777"/>
      <c r="BP63" s="1777"/>
      <c r="BQ63" s="1777"/>
      <c r="BR63" s="1777"/>
      <c r="BS63" s="1777"/>
      <c r="BT63" s="1777"/>
      <c r="BU63" s="1777"/>
      <c r="BV63" s="1777"/>
      <c r="BW63" s="1777"/>
      <c r="BX63" s="1777"/>
      <c r="BY63" s="1777"/>
      <c r="BZ63" s="1777"/>
      <c r="CA63" s="1777"/>
      <c r="CB63" s="1777"/>
      <c r="CC63" s="1777"/>
      <c r="CD63" s="1777"/>
      <c r="CE63" s="1777"/>
      <c r="CF63" s="1777"/>
      <c r="CG63" s="1777"/>
      <c r="CH63" s="1777"/>
      <c r="CI63" s="1777"/>
      <c r="CJ63" s="1777"/>
      <c r="CK63" s="1777"/>
      <c r="CL63" s="1777"/>
      <c r="CM63" s="1777"/>
      <c r="CN63" s="1777"/>
      <c r="CO63" s="1777"/>
      <c r="CP63" s="1777"/>
      <c r="CQ63" s="1777"/>
      <c r="CR63" s="1777"/>
      <c r="CS63" s="1777"/>
      <c r="CT63" s="1777"/>
      <c r="CU63" s="1777"/>
      <c r="CV63" s="1777"/>
      <c r="CW63" s="1777"/>
      <c r="CX63" s="1777"/>
      <c r="CY63" s="1777"/>
      <c r="CZ63" s="1777"/>
      <c r="DA63" s="1777"/>
      <c r="DB63" s="1777"/>
      <c r="DC63" s="1777"/>
      <c r="DD63" s="1777"/>
      <c r="DE63" s="1777"/>
      <c r="DF63" s="1777"/>
      <c r="DG63" s="1777"/>
      <c r="DH63" s="1777"/>
      <c r="DI63" s="1777"/>
      <c r="DJ63" s="1777"/>
      <c r="DK63" s="1777"/>
      <c r="DL63" s="1777"/>
      <c r="DM63" s="1777"/>
      <c r="DN63" s="1777"/>
      <c r="DO63" s="1777"/>
      <c r="DP63" s="1777"/>
      <c r="DQ63" s="1777"/>
      <c r="DR63" s="1777"/>
      <c r="DS63" s="1777"/>
      <c r="DT63" s="1777"/>
      <c r="DU63" s="1777"/>
      <c r="DV63" s="1777"/>
      <c r="DW63" s="1777"/>
      <c r="DX63" s="1779"/>
      <c r="DY63" s="1779"/>
      <c r="DZ63" s="1779"/>
      <c r="EA63" s="1779"/>
      <c r="EB63" s="1779"/>
      <c r="EC63" s="1779"/>
      <c r="ED63" s="1779"/>
      <c r="EE63" s="1779"/>
      <c r="EF63" s="1779"/>
      <c r="EG63" s="1779"/>
      <c r="EH63" s="1779"/>
      <c r="EI63" s="1779"/>
      <c r="EJ63" s="1779"/>
      <c r="EK63" s="1779"/>
      <c r="EL63" s="1779"/>
      <c r="EM63" s="1779"/>
      <c r="EN63" s="1779"/>
      <c r="EO63" s="1779"/>
      <c r="EP63" s="1779"/>
      <c r="EQ63" s="1779"/>
      <c r="ER63" s="1779"/>
      <c r="ES63" s="1779"/>
      <c r="ET63" s="1779"/>
      <c r="EU63" s="1779"/>
      <c r="EV63" s="1779"/>
      <c r="EW63" s="1779"/>
      <c r="EX63" s="1779"/>
      <c r="EY63" s="1779"/>
      <c r="EZ63" s="1779"/>
      <c r="FA63" s="1779"/>
      <c r="FB63" s="1779"/>
      <c r="FC63" s="1779"/>
      <c r="FD63" s="1779"/>
      <c r="FE63" s="1779"/>
      <c r="FF63" s="1779"/>
      <c r="FG63" s="1779"/>
      <c r="FH63" s="1779"/>
      <c r="FI63" s="1779"/>
      <c r="FJ63" s="1779"/>
      <c r="FK63" s="1779"/>
      <c r="FL63" s="1779"/>
      <c r="FM63" s="1779"/>
      <c r="FN63" s="1779"/>
      <c r="FO63" s="1779"/>
      <c r="FP63" s="1779"/>
      <c r="FQ63" s="1779"/>
      <c r="FR63" s="1779"/>
      <c r="FS63" s="1779"/>
      <c r="FT63" s="1779"/>
      <c r="FU63" s="1779"/>
      <c r="FV63" s="1779"/>
      <c r="FW63" s="1779"/>
      <c r="FX63" s="1779"/>
      <c r="FY63" s="1779"/>
      <c r="FZ63" s="1779"/>
      <c r="GA63" s="1779"/>
      <c r="XES63" s="1780"/>
      <c r="XET63" s="1780"/>
      <c r="XEU63" s="1780"/>
      <c r="XEV63" s="1780"/>
      <c r="XEW63" s="1780"/>
      <c r="XEX63" s="1780"/>
      <c r="XEY63" s="1780"/>
      <c r="XEZ63" s="1780"/>
      <c r="XFA63" s="1780"/>
      <c r="XFB63" s="1780"/>
      <c r="XFC63" s="1780"/>
      <c r="XFD63" s="1780"/>
    </row>
    <row r="64" s="1663" customFormat="1" ht="36" customHeight="1" spans="1:16384">
      <c r="A64" s="1693">
        <v>45881</v>
      </c>
      <c r="B64" s="1694"/>
      <c r="C64" s="1695"/>
      <c r="D64" s="1696" t="s">
        <v>1752</v>
      </c>
      <c r="E64" s="1694"/>
      <c r="F64" s="1696"/>
      <c r="G64" s="1697" t="s">
        <v>1567</v>
      </c>
      <c r="H64" s="1697" t="s">
        <v>1568</v>
      </c>
      <c r="I64" s="1704" t="s">
        <v>1479</v>
      </c>
      <c r="J64" s="1697">
        <v>168</v>
      </c>
      <c r="K64" s="1697">
        <v>0</v>
      </c>
      <c r="L64" s="1697">
        <v>24</v>
      </c>
      <c r="M64" s="1705">
        <f t="shared" si="25"/>
        <v>7</v>
      </c>
      <c r="N64" s="1706">
        <v>45902</v>
      </c>
      <c r="O64" s="1711">
        <f>N64-4</f>
        <v>45898</v>
      </c>
      <c r="P64" s="1708"/>
      <c r="Q64" s="1708" t="s">
        <v>1480</v>
      </c>
      <c r="R64" s="1708"/>
      <c r="S64" s="1727" t="s">
        <v>57</v>
      </c>
      <c r="T64" s="1728"/>
      <c r="U64" s="1729" t="s">
        <v>58</v>
      </c>
      <c r="V64" s="1721" t="s">
        <v>59</v>
      </c>
      <c r="W64" s="1719" t="s">
        <v>1753</v>
      </c>
      <c r="X64" s="1720" t="s">
        <v>61</v>
      </c>
      <c r="Y64" s="1739"/>
      <c r="Z64" s="1740"/>
      <c r="AA64" s="1741"/>
      <c r="AB64" s="1741">
        <v>168</v>
      </c>
      <c r="AC64" s="1741">
        <f t="shared" si="18"/>
        <v>0</v>
      </c>
      <c r="AD64" s="1741" t="s">
        <v>58</v>
      </c>
      <c r="AE64" s="1742" t="s">
        <v>63</v>
      </c>
      <c r="AF64" s="1742" t="s">
        <v>38</v>
      </c>
      <c r="AG64" s="1720">
        <f>J64/3</f>
        <v>56</v>
      </c>
      <c r="AH64" s="1720">
        <f>J64/3</f>
        <v>56</v>
      </c>
      <c r="AI64" s="1754">
        <f>J64/3</f>
        <v>56</v>
      </c>
      <c r="AJ64" s="1755">
        <f>J64</f>
        <v>168</v>
      </c>
      <c r="AK64" s="1756"/>
      <c r="AL64" s="1756">
        <f t="shared" si="19"/>
        <v>168</v>
      </c>
      <c r="AM64" s="1756">
        <f>J64/6</f>
        <v>28</v>
      </c>
      <c r="AN64" s="1756"/>
      <c r="AO64" s="1771"/>
      <c r="AP64" s="1771"/>
      <c r="AQ64" s="1772"/>
      <c r="AR64" s="1773"/>
      <c r="AS64" s="1754"/>
      <c r="AT64" s="1773"/>
      <c r="AU64" s="1774"/>
      <c r="AV64" s="1775"/>
      <c r="AW64" s="1777"/>
      <c r="AX64" s="1777"/>
      <c r="AY64" s="1777"/>
      <c r="AZ64" s="1777"/>
      <c r="BA64" s="1777"/>
      <c r="BB64" s="1777"/>
      <c r="BC64" s="1777"/>
      <c r="BD64" s="1777"/>
      <c r="BE64" s="1777"/>
      <c r="BF64" s="1777"/>
      <c r="BG64" s="1777"/>
      <c r="BH64" s="1777"/>
      <c r="BI64" s="1777"/>
      <c r="BJ64" s="1777"/>
      <c r="BK64" s="1777"/>
      <c r="BL64" s="1777"/>
      <c r="BM64" s="1777"/>
      <c r="BN64" s="1777"/>
      <c r="BO64" s="1777"/>
      <c r="BP64" s="1777"/>
      <c r="BQ64" s="1777"/>
      <c r="BR64" s="1777"/>
      <c r="BS64" s="1777"/>
      <c r="BT64" s="1777"/>
      <c r="BU64" s="1777"/>
      <c r="BV64" s="1777"/>
      <c r="BW64" s="1777"/>
      <c r="BX64" s="1777"/>
      <c r="BY64" s="1777"/>
      <c r="BZ64" s="1777"/>
      <c r="CA64" s="1777"/>
      <c r="CB64" s="1777"/>
      <c r="CC64" s="1777"/>
      <c r="CD64" s="1777"/>
      <c r="CE64" s="1777"/>
      <c r="CF64" s="1777"/>
      <c r="CG64" s="1777"/>
      <c r="CH64" s="1777"/>
      <c r="CI64" s="1777"/>
      <c r="CJ64" s="1777"/>
      <c r="CK64" s="1777"/>
      <c r="CL64" s="1777"/>
      <c r="CM64" s="1777"/>
      <c r="CN64" s="1777"/>
      <c r="CO64" s="1777"/>
      <c r="CP64" s="1777"/>
      <c r="CQ64" s="1777"/>
      <c r="CR64" s="1777"/>
      <c r="CS64" s="1777"/>
      <c r="CT64" s="1777"/>
      <c r="CU64" s="1777"/>
      <c r="CV64" s="1777"/>
      <c r="CW64" s="1777"/>
      <c r="CX64" s="1777"/>
      <c r="CY64" s="1777"/>
      <c r="CZ64" s="1777"/>
      <c r="DA64" s="1777"/>
      <c r="DB64" s="1777"/>
      <c r="DC64" s="1777"/>
      <c r="DD64" s="1777"/>
      <c r="DE64" s="1777"/>
      <c r="DF64" s="1777"/>
      <c r="DG64" s="1777"/>
      <c r="DH64" s="1777"/>
      <c r="DI64" s="1777"/>
      <c r="DJ64" s="1777"/>
      <c r="DK64" s="1777"/>
      <c r="DL64" s="1777"/>
      <c r="DM64" s="1777"/>
      <c r="DN64" s="1777"/>
      <c r="DO64" s="1777"/>
      <c r="DP64" s="1777"/>
      <c r="DQ64" s="1777"/>
      <c r="DR64" s="1777"/>
      <c r="DS64" s="1777"/>
      <c r="DT64" s="1777"/>
      <c r="DU64" s="1777"/>
      <c r="DV64" s="1777"/>
      <c r="DW64" s="1777"/>
      <c r="DX64" s="1779"/>
      <c r="DY64" s="1779"/>
      <c r="DZ64" s="1779"/>
      <c r="EA64" s="1779"/>
      <c r="EB64" s="1779"/>
      <c r="EC64" s="1779"/>
      <c r="ED64" s="1779"/>
      <c r="EE64" s="1779"/>
      <c r="EF64" s="1779"/>
      <c r="EG64" s="1779"/>
      <c r="EH64" s="1779"/>
      <c r="EI64" s="1779"/>
      <c r="EJ64" s="1779"/>
      <c r="EK64" s="1779"/>
      <c r="EL64" s="1779"/>
      <c r="EM64" s="1779"/>
      <c r="EN64" s="1779"/>
      <c r="EO64" s="1779"/>
      <c r="EP64" s="1779"/>
      <c r="EQ64" s="1779"/>
      <c r="ER64" s="1779"/>
      <c r="ES64" s="1779"/>
      <c r="ET64" s="1779"/>
      <c r="EU64" s="1779"/>
      <c r="EV64" s="1779"/>
      <c r="EW64" s="1779"/>
      <c r="EX64" s="1779"/>
      <c r="EY64" s="1779"/>
      <c r="EZ64" s="1779"/>
      <c r="FA64" s="1779"/>
      <c r="FB64" s="1779"/>
      <c r="FC64" s="1779"/>
      <c r="FD64" s="1779"/>
      <c r="FE64" s="1779"/>
      <c r="FF64" s="1779"/>
      <c r="FG64" s="1779"/>
      <c r="FH64" s="1779"/>
      <c r="FI64" s="1779"/>
      <c r="FJ64" s="1779"/>
      <c r="FK64" s="1779"/>
      <c r="FL64" s="1779"/>
      <c r="FM64" s="1779"/>
      <c r="FN64" s="1779"/>
      <c r="FO64" s="1779"/>
      <c r="FP64" s="1779"/>
      <c r="FQ64" s="1779"/>
      <c r="FR64" s="1779"/>
      <c r="FS64" s="1779"/>
      <c r="FT64" s="1779"/>
      <c r="FU64" s="1779"/>
      <c r="FV64" s="1779"/>
      <c r="FW64" s="1779"/>
      <c r="FX64" s="1779"/>
      <c r="FY64" s="1779"/>
      <c r="FZ64" s="1779"/>
      <c r="GA64" s="1779"/>
      <c r="XES64" s="1780"/>
      <c r="XET64" s="1780"/>
      <c r="XEU64" s="1780"/>
      <c r="XEV64" s="1780"/>
      <c r="XEW64" s="1780"/>
      <c r="XEX64" s="1780"/>
      <c r="XEY64" s="1780"/>
      <c r="XEZ64" s="1780"/>
      <c r="XFA64" s="1780"/>
      <c r="XFB64" s="1780"/>
      <c r="XFC64" s="1780"/>
      <c r="XFD64" s="1780"/>
    </row>
    <row r="65" s="1663" customFormat="1" ht="36" customHeight="1" spans="1:16384">
      <c r="A65" s="1693">
        <v>45868</v>
      </c>
      <c r="B65" s="1694" t="s">
        <v>1701</v>
      </c>
      <c r="C65" s="1695" t="s">
        <v>91</v>
      </c>
      <c r="D65" s="1696">
        <v>4500175579</v>
      </c>
      <c r="E65" s="1694" t="s">
        <v>1754</v>
      </c>
      <c r="F65" s="1696" t="s">
        <v>1755</v>
      </c>
      <c r="G65" s="1697" t="s">
        <v>1489</v>
      </c>
      <c r="H65" s="1697" t="s">
        <v>1490</v>
      </c>
      <c r="I65" s="1704" t="s">
        <v>1491</v>
      </c>
      <c r="J65" s="1697">
        <v>828</v>
      </c>
      <c r="K65" s="1697">
        <v>0</v>
      </c>
      <c r="L65" s="1697">
        <v>18</v>
      </c>
      <c r="M65" s="1705">
        <f t="shared" si="25"/>
        <v>46</v>
      </c>
      <c r="N65" s="1706">
        <v>45903</v>
      </c>
      <c r="O65" s="1711">
        <f>N65-4</f>
        <v>45899</v>
      </c>
      <c r="P65" s="1708"/>
      <c r="Q65" s="1708" t="s">
        <v>1480</v>
      </c>
      <c r="R65" s="1708" t="s">
        <v>1551</v>
      </c>
      <c r="S65" s="1727" t="s">
        <v>1756</v>
      </c>
      <c r="T65" s="1728"/>
      <c r="U65" s="1729" t="s">
        <v>1757</v>
      </c>
      <c r="V65" s="1721" t="s">
        <v>1676</v>
      </c>
      <c r="W65" s="1719" t="s">
        <v>1758</v>
      </c>
      <c r="X65" s="1720" t="s">
        <v>220</v>
      </c>
      <c r="Y65" s="1739">
        <v>2.2046</v>
      </c>
      <c r="Z65" s="1740">
        <f>Y65*J65</f>
        <v>1825.4088</v>
      </c>
      <c r="AA65" s="1741" t="s">
        <v>1759</v>
      </c>
      <c r="AB65" s="1741">
        <v>828</v>
      </c>
      <c r="AC65" s="1741">
        <f t="shared" si="18"/>
        <v>0</v>
      </c>
      <c r="AD65" s="1741" t="s">
        <v>327</v>
      </c>
      <c r="AE65" s="1742" t="s">
        <v>63</v>
      </c>
      <c r="AF65" s="1742" t="s">
        <v>38</v>
      </c>
      <c r="AG65" s="1720">
        <f>J65</f>
        <v>828</v>
      </c>
      <c r="AH65" s="1720">
        <f>J65</f>
        <v>828</v>
      </c>
      <c r="AI65" s="1754">
        <f>J65</f>
        <v>828</v>
      </c>
      <c r="AJ65" s="1755"/>
      <c r="AK65" s="1756"/>
      <c r="AL65" s="1756">
        <f t="shared" si="19"/>
        <v>828</v>
      </c>
      <c r="AM65" s="1756"/>
      <c r="AN65" s="1756"/>
      <c r="AO65" s="1771"/>
      <c r="AP65" s="1771"/>
      <c r="AQ65" s="1772"/>
      <c r="AR65" s="1773"/>
      <c r="AS65" s="1754"/>
      <c r="AT65" s="1773"/>
      <c r="AU65" s="1774">
        <f>J65</f>
        <v>828</v>
      </c>
      <c r="AV65" s="1775"/>
      <c r="AW65" s="1777"/>
      <c r="AX65" s="1777"/>
      <c r="AY65" s="1777"/>
      <c r="AZ65" s="1777"/>
      <c r="BA65" s="1777"/>
      <c r="BB65" s="1777"/>
      <c r="BC65" s="1777"/>
      <c r="BD65" s="1777"/>
      <c r="BE65" s="1777"/>
      <c r="BF65" s="1777"/>
      <c r="BG65" s="1777"/>
      <c r="BH65" s="1777"/>
      <c r="BI65" s="1777"/>
      <c r="BJ65" s="1777"/>
      <c r="BK65" s="1777"/>
      <c r="BL65" s="1777"/>
      <c r="BM65" s="1777"/>
      <c r="BN65" s="1777"/>
      <c r="BO65" s="1777"/>
      <c r="BP65" s="1777"/>
      <c r="BQ65" s="1777"/>
      <c r="BR65" s="1777"/>
      <c r="BS65" s="1777"/>
      <c r="BT65" s="1777"/>
      <c r="BU65" s="1777"/>
      <c r="BV65" s="1777"/>
      <c r="BW65" s="1777"/>
      <c r="BX65" s="1777"/>
      <c r="BY65" s="1777"/>
      <c r="BZ65" s="1777"/>
      <c r="CA65" s="1777"/>
      <c r="CB65" s="1777"/>
      <c r="CC65" s="1777"/>
      <c r="CD65" s="1777"/>
      <c r="CE65" s="1777"/>
      <c r="CF65" s="1777"/>
      <c r="CG65" s="1777"/>
      <c r="CH65" s="1777"/>
      <c r="CI65" s="1777"/>
      <c r="CJ65" s="1777"/>
      <c r="CK65" s="1777"/>
      <c r="CL65" s="1777"/>
      <c r="CM65" s="1777"/>
      <c r="CN65" s="1777"/>
      <c r="CO65" s="1777"/>
      <c r="CP65" s="1777"/>
      <c r="CQ65" s="1777"/>
      <c r="CR65" s="1777"/>
      <c r="CS65" s="1777"/>
      <c r="CT65" s="1777"/>
      <c r="CU65" s="1777"/>
      <c r="CV65" s="1777"/>
      <c r="CW65" s="1777"/>
      <c r="CX65" s="1777"/>
      <c r="CY65" s="1777"/>
      <c r="CZ65" s="1777"/>
      <c r="DA65" s="1777"/>
      <c r="DB65" s="1777"/>
      <c r="DC65" s="1777"/>
      <c r="DD65" s="1777"/>
      <c r="DE65" s="1777"/>
      <c r="DF65" s="1777"/>
      <c r="DG65" s="1777"/>
      <c r="DH65" s="1777"/>
      <c r="DI65" s="1777"/>
      <c r="DJ65" s="1777"/>
      <c r="DK65" s="1777"/>
      <c r="DL65" s="1777"/>
      <c r="DM65" s="1777"/>
      <c r="DN65" s="1777"/>
      <c r="DO65" s="1777"/>
      <c r="DP65" s="1777"/>
      <c r="DQ65" s="1777"/>
      <c r="DR65" s="1777"/>
      <c r="DS65" s="1777"/>
      <c r="DT65" s="1777"/>
      <c r="DU65" s="1777"/>
      <c r="DV65" s="1777"/>
      <c r="DW65" s="1777"/>
      <c r="DX65" s="1779"/>
      <c r="DY65" s="1779"/>
      <c r="DZ65" s="1779"/>
      <c r="EA65" s="1779"/>
      <c r="EB65" s="1779"/>
      <c r="EC65" s="1779"/>
      <c r="ED65" s="1779"/>
      <c r="EE65" s="1779"/>
      <c r="EF65" s="1779"/>
      <c r="EG65" s="1779"/>
      <c r="EH65" s="1779"/>
      <c r="EI65" s="1779"/>
      <c r="EJ65" s="1779"/>
      <c r="EK65" s="1779"/>
      <c r="EL65" s="1779"/>
      <c r="EM65" s="1779"/>
      <c r="EN65" s="1779"/>
      <c r="EO65" s="1779"/>
      <c r="EP65" s="1779"/>
      <c r="EQ65" s="1779"/>
      <c r="ER65" s="1779"/>
      <c r="ES65" s="1779"/>
      <c r="ET65" s="1779"/>
      <c r="EU65" s="1779"/>
      <c r="EV65" s="1779"/>
      <c r="EW65" s="1779"/>
      <c r="EX65" s="1779"/>
      <c r="EY65" s="1779"/>
      <c r="EZ65" s="1779"/>
      <c r="FA65" s="1779"/>
      <c r="FB65" s="1779"/>
      <c r="FC65" s="1779"/>
      <c r="FD65" s="1779"/>
      <c r="FE65" s="1779"/>
      <c r="FF65" s="1779"/>
      <c r="FG65" s="1779"/>
      <c r="FH65" s="1779"/>
      <c r="FI65" s="1779"/>
      <c r="FJ65" s="1779"/>
      <c r="FK65" s="1779"/>
      <c r="FL65" s="1779"/>
      <c r="FM65" s="1779"/>
      <c r="FN65" s="1779"/>
      <c r="FO65" s="1779"/>
      <c r="FP65" s="1779"/>
      <c r="FQ65" s="1779"/>
      <c r="FR65" s="1779"/>
      <c r="FS65" s="1779"/>
      <c r="FT65" s="1779"/>
      <c r="FU65" s="1779"/>
      <c r="FV65" s="1779"/>
      <c r="FW65" s="1779"/>
      <c r="FX65" s="1779"/>
      <c r="FY65" s="1779"/>
      <c r="FZ65" s="1779"/>
      <c r="GA65" s="1779"/>
      <c r="XES65" s="1780"/>
      <c r="XET65" s="1780"/>
      <c r="XEU65" s="1780"/>
      <c r="XEV65" s="1780"/>
      <c r="XEW65" s="1780"/>
      <c r="XEX65" s="1780"/>
      <c r="XEY65" s="1780"/>
      <c r="XEZ65" s="1780"/>
      <c r="XFA65" s="1780"/>
      <c r="XFB65" s="1780"/>
      <c r="XFC65" s="1780"/>
      <c r="XFD65" s="1780"/>
    </row>
    <row r="66" s="1663" customFormat="1" ht="36" customHeight="1" spans="1:16384">
      <c r="A66" s="1693">
        <v>45868</v>
      </c>
      <c r="B66" s="1694" t="s">
        <v>1701</v>
      </c>
      <c r="C66" s="1695" t="s">
        <v>91</v>
      </c>
      <c r="D66" s="1696">
        <v>4500175571</v>
      </c>
      <c r="E66" s="1694" t="s">
        <v>1760</v>
      </c>
      <c r="F66" s="1696" t="s">
        <v>1761</v>
      </c>
      <c r="G66" s="1697" t="s">
        <v>1489</v>
      </c>
      <c r="H66" s="1697" t="s">
        <v>1490</v>
      </c>
      <c r="I66" s="1704" t="s">
        <v>1491</v>
      </c>
      <c r="J66" s="1697">
        <v>2448</v>
      </c>
      <c r="K66" s="1697">
        <v>0</v>
      </c>
      <c r="L66" s="1697">
        <v>18</v>
      </c>
      <c r="M66" s="1705">
        <f t="shared" si="25"/>
        <v>136</v>
      </c>
      <c r="N66" s="1706">
        <v>45903</v>
      </c>
      <c r="O66" s="1711">
        <f>N66-4</f>
        <v>45899</v>
      </c>
      <c r="P66" s="1708"/>
      <c r="Q66" s="1708" t="s">
        <v>1480</v>
      </c>
      <c r="R66" s="1708" t="s">
        <v>1762</v>
      </c>
      <c r="S66" s="1727" t="s">
        <v>1756</v>
      </c>
      <c r="T66" s="1728"/>
      <c r="U66" s="1729" t="s">
        <v>1757</v>
      </c>
      <c r="V66" s="1721" t="s">
        <v>1676</v>
      </c>
      <c r="W66" s="1719" t="s">
        <v>1758</v>
      </c>
      <c r="X66" s="1720" t="s">
        <v>220</v>
      </c>
      <c r="Y66" s="1739">
        <v>2.1722</v>
      </c>
      <c r="Z66" s="1740">
        <f>Y66*J66</f>
        <v>5317.5456</v>
      </c>
      <c r="AA66" s="1741" t="s">
        <v>1763</v>
      </c>
      <c r="AB66" s="1741">
        <v>2448</v>
      </c>
      <c r="AC66" s="1741">
        <f t="shared" si="18"/>
        <v>0</v>
      </c>
      <c r="AD66" s="1741" t="s">
        <v>81</v>
      </c>
      <c r="AE66" s="1742" t="s">
        <v>63</v>
      </c>
      <c r="AF66" s="1742" t="s">
        <v>38</v>
      </c>
      <c r="AG66" s="1720">
        <f>J66</f>
        <v>2448</v>
      </c>
      <c r="AH66" s="1720">
        <f>J66</f>
        <v>2448</v>
      </c>
      <c r="AI66" s="1754">
        <f>J66</f>
        <v>2448</v>
      </c>
      <c r="AJ66" s="1755"/>
      <c r="AK66" s="1756"/>
      <c r="AL66" s="1756">
        <f t="shared" si="19"/>
        <v>2448</v>
      </c>
      <c r="AM66" s="1756"/>
      <c r="AN66" s="1756"/>
      <c r="AO66" s="1771"/>
      <c r="AP66" s="1771"/>
      <c r="AQ66" s="1772"/>
      <c r="AR66" s="1773"/>
      <c r="AS66" s="1754"/>
      <c r="AT66" s="1773"/>
      <c r="AU66" s="1774">
        <f>J66</f>
        <v>2448</v>
      </c>
      <c r="AV66" s="1775"/>
      <c r="AW66" s="1777"/>
      <c r="AX66" s="1777"/>
      <c r="AY66" s="1777"/>
      <c r="AZ66" s="1777"/>
      <c r="BA66" s="1777"/>
      <c r="BB66" s="1777"/>
      <c r="BC66" s="1777"/>
      <c r="BD66" s="1777"/>
      <c r="BE66" s="1777"/>
      <c r="BF66" s="1777"/>
      <c r="BG66" s="1777"/>
      <c r="BH66" s="1777"/>
      <c r="BI66" s="1777"/>
      <c r="BJ66" s="1777"/>
      <c r="BK66" s="1777"/>
      <c r="BL66" s="1777"/>
      <c r="BM66" s="1777"/>
      <c r="BN66" s="1777"/>
      <c r="BO66" s="1777"/>
      <c r="BP66" s="1777"/>
      <c r="BQ66" s="1777"/>
      <c r="BR66" s="1777"/>
      <c r="BS66" s="1777"/>
      <c r="BT66" s="1777"/>
      <c r="BU66" s="1777"/>
      <c r="BV66" s="1777"/>
      <c r="BW66" s="1777"/>
      <c r="BX66" s="1777"/>
      <c r="BY66" s="1777"/>
      <c r="BZ66" s="1777"/>
      <c r="CA66" s="1777"/>
      <c r="CB66" s="1777"/>
      <c r="CC66" s="1777"/>
      <c r="CD66" s="1777"/>
      <c r="CE66" s="1777"/>
      <c r="CF66" s="1777"/>
      <c r="CG66" s="1777"/>
      <c r="CH66" s="1777"/>
      <c r="CI66" s="1777"/>
      <c r="CJ66" s="1777"/>
      <c r="CK66" s="1777"/>
      <c r="CL66" s="1777"/>
      <c r="CM66" s="1777"/>
      <c r="CN66" s="1777"/>
      <c r="CO66" s="1777"/>
      <c r="CP66" s="1777"/>
      <c r="CQ66" s="1777"/>
      <c r="CR66" s="1777"/>
      <c r="CS66" s="1777"/>
      <c r="CT66" s="1777"/>
      <c r="CU66" s="1777"/>
      <c r="CV66" s="1777"/>
      <c r="CW66" s="1777"/>
      <c r="CX66" s="1777"/>
      <c r="CY66" s="1777"/>
      <c r="CZ66" s="1777"/>
      <c r="DA66" s="1777"/>
      <c r="DB66" s="1777"/>
      <c r="DC66" s="1777"/>
      <c r="DD66" s="1777"/>
      <c r="DE66" s="1777"/>
      <c r="DF66" s="1777"/>
      <c r="DG66" s="1777"/>
      <c r="DH66" s="1777"/>
      <c r="DI66" s="1777"/>
      <c r="DJ66" s="1777"/>
      <c r="DK66" s="1777"/>
      <c r="DL66" s="1777"/>
      <c r="DM66" s="1777"/>
      <c r="DN66" s="1777"/>
      <c r="DO66" s="1777"/>
      <c r="DP66" s="1777"/>
      <c r="DQ66" s="1777"/>
      <c r="DR66" s="1777"/>
      <c r="DS66" s="1777"/>
      <c r="DT66" s="1777"/>
      <c r="DU66" s="1777"/>
      <c r="DV66" s="1777"/>
      <c r="DW66" s="1777"/>
      <c r="DX66" s="1779"/>
      <c r="DY66" s="1779"/>
      <c r="DZ66" s="1779"/>
      <c r="EA66" s="1779"/>
      <c r="EB66" s="1779"/>
      <c r="EC66" s="1779"/>
      <c r="ED66" s="1779"/>
      <c r="EE66" s="1779"/>
      <c r="EF66" s="1779"/>
      <c r="EG66" s="1779"/>
      <c r="EH66" s="1779"/>
      <c r="EI66" s="1779"/>
      <c r="EJ66" s="1779"/>
      <c r="EK66" s="1779"/>
      <c r="EL66" s="1779"/>
      <c r="EM66" s="1779"/>
      <c r="EN66" s="1779"/>
      <c r="EO66" s="1779"/>
      <c r="EP66" s="1779"/>
      <c r="EQ66" s="1779"/>
      <c r="ER66" s="1779"/>
      <c r="ES66" s="1779"/>
      <c r="ET66" s="1779"/>
      <c r="EU66" s="1779"/>
      <c r="EV66" s="1779"/>
      <c r="EW66" s="1779"/>
      <c r="EX66" s="1779"/>
      <c r="EY66" s="1779"/>
      <c r="EZ66" s="1779"/>
      <c r="FA66" s="1779"/>
      <c r="FB66" s="1779"/>
      <c r="FC66" s="1779"/>
      <c r="FD66" s="1779"/>
      <c r="FE66" s="1779"/>
      <c r="FF66" s="1779"/>
      <c r="FG66" s="1779"/>
      <c r="FH66" s="1779"/>
      <c r="FI66" s="1779"/>
      <c r="FJ66" s="1779"/>
      <c r="FK66" s="1779"/>
      <c r="FL66" s="1779"/>
      <c r="FM66" s="1779"/>
      <c r="FN66" s="1779"/>
      <c r="FO66" s="1779"/>
      <c r="FP66" s="1779"/>
      <c r="FQ66" s="1779"/>
      <c r="FR66" s="1779"/>
      <c r="FS66" s="1779"/>
      <c r="FT66" s="1779"/>
      <c r="FU66" s="1779"/>
      <c r="FV66" s="1779"/>
      <c r="FW66" s="1779"/>
      <c r="FX66" s="1779"/>
      <c r="FY66" s="1779"/>
      <c r="FZ66" s="1779"/>
      <c r="GA66" s="1779"/>
      <c r="XES66" s="1780"/>
      <c r="XET66" s="1780"/>
      <c r="XEU66" s="1780"/>
      <c r="XEV66" s="1780"/>
      <c r="XEW66" s="1780"/>
      <c r="XEX66" s="1780"/>
      <c r="XEY66" s="1780"/>
      <c r="XEZ66" s="1780"/>
      <c r="XFA66" s="1780"/>
      <c r="XFB66" s="1780"/>
      <c r="XFC66" s="1780"/>
      <c r="XFD66" s="1780"/>
    </row>
    <row r="67" s="1663" customFormat="1" ht="36" customHeight="1" spans="1:16384">
      <c r="A67" s="1693">
        <v>45868</v>
      </c>
      <c r="B67" s="1694" t="s">
        <v>1701</v>
      </c>
      <c r="C67" s="1695" t="s">
        <v>91</v>
      </c>
      <c r="D67" s="1696">
        <v>4500175571</v>
      </c>
      <c r="E67" s="1694" t="s">
        <v>1764</v>
      </c>
      <c r="F67" s="1696" t="s">
        <v>1765</v>
      </c>
      <c r="G67" s="1697" t="s">
        <v>1489</v>
      </c>
      <c r="H67" s="1697" t="s">
        <v>1490</v>
      </c>
      <c r="I67" s="1704" t="s">
        <v>1491</v>
      </c>
      <c r="J67" s="1697">
        <v>2376</v>
      </c>
      <c r="K67" s="1697">
        <v>0</v>
      </c>
      <c r="L67" s="1697">
        <v>18</v>
      </c>
      <c r="M67" s="1705">
        <f t="shared" si="25"/>
        <v>132</v>
      </c>
      <c r="N67" s="1706">
        <v>45903</v>
      </c>
      <c r="O67" s="1711">
        <f>N67-4</f>
        <v>45899</v>
      </c>
      <c r="P67" s="1708"/>
      <c r="Q67" s="1708" t="s">
        <v>1480</v>
      </c>
      <c r="R67" s="1708" t="s">
        <v>1762</v>
      </c>
      <c r="S67" s="1727" t="s">
        <v>1756</v>
      </c>
      <c r="T67" s="1728"/>
      <c r="U67" s="1729" t="s">
        <v>1757</v>
      </c>
      <c r="V67" s="1721" t="s">
        <v>1676</v>
      </c>
      <c r="W67" s="1719" t="s">
        <v>1758</v>
      </c>
      <c r="X67" s="1720" t="s">
        <v>220</v>
      </c>
      <c r="Y67" s="1739">
        <v>2.1722</v>
      </c>
      <c r="Z67" s="1740">
        <f>Y67*J67</f>
        <v>5161.1472</v>
      </c>
      <c r="AA67" s="1741" t="s">
        <v>1766</v>
      </c>
      <c r="AB67" s="1741">
        <v>2376</v>
      </c>
      <c r="AC67" s="1741">
        <f t="shared" si="18"/>
        <v>0</v>
      </c>
      <c r="AD67" s="1741" t="s">
        <v>81</v>
      </c>
      <c r="AE67" s="1742" t="s">
        <v>63</v>
      </c>
      <c r="AF67" s="1742" t="s">
        <v>38</v>
      </c>
      <c r="AG67" s="1720">
        <f>J67</f>
        <v>2376</v>
      </c>
      <c r="AH67" s="1720">
        <f>J67</f>
        <v>2376</v>
      </c>
      <c r="AI67" s="1754">
        <f>J67</f>
        <v>2376</v>
      </c>
      <c r="AJ67" s="1755"/>
      <c r="AK67" s="1756"/>
      <c r="AL67" s="1756">
        <f t="shared" si="19"/>
        <v>2376</v>
      </c>
      <c r="AM67" s="1756"/>
      <c r="AN67" s="1756"/>
      <c r="AO67" s="1771"/>
      <c r="AP67" s="1771"/>
      <c r="AQ67" s="1772"/>
      <c r="AR67" s="1773"/>
      <c r="AS67" s="1754"/>
      <c r="AT67" s="1773"/>
      <c r="AU67" s="1774">
        <f>J67</f>
        <v>2376</v>
      </c>
      <c r="AV67" s="1775"/>
      <c r="AW67" s="1777"/>
      <c r="AX67" s="1777"/>
      <c r="AY67" s="1777"/>
      <c r="AZ67" s="1777"/>
      <c r="BA67" s="1777"/>
      <c r="BB67" s="1777"/>
      <c r="BC67" s="1777"/>
      <c r="BD67" s="1777"/>
      <c r="BE67" s="1777"/>
      <c r="BF67" s="1777"/>
      <c r="BG67" s="1777"/>
      <c r="BH67" s="1777"/>
      <c r="BI67" s="1777"/>
      <c r="BJ67" s="1777"/>
      <c r="BK67" s="1777"/>
      <c r="BL67" s="1777"/>
      <c r="BM67" s="1777"/>
      <c r="BN67" s="1777"/>
      <c r="BO67" s="1777"/>
      <c r="BP67" s="1777"/>
      <c r="BQ67" s="1777"/>
      <c r="BR67" s="1777"/>
      <c r="BS67" s="1777"/>
      <c r="BT67" s="1777"/>
      <c r="BU67" s="1777"/>
      <c r="BV67" s="1777"/>
      <c r="BW67" s="1777"/>
      <c r="BX67" s="1777"/>
      <c r="BY67" s="1777"/>
      <c r="BZ67" s="1777"/>
      <c r="CA67" s="1777"/>
      <c r="CB67" s="1777"/>
      <c r="CC67" s="1777"/>
      <c r="CD67" s="1777"/>
      <c r="CE67" s="1777"/>
      <c r="CF67" s="1777"/>
      <c r="CG67" s="1777"/>
      <c r="CH67" s="1777"/>
      <c r="CI67" s="1777"/>
      <c r="CJ67" s="1777"/>
      <c r="CK67" s="1777"/>
      <c r="CL67" s="1777"/>
      <c r="CM67" s="1777"/>
      <c r="CN67" s="1777"/>
      <c r="CO67" s="1777"/>
      <c r="CP67" s="1777"/>
      <c r="CQ67" s="1777"/>
      <c r="CR67" s="1777"/>
      <c r="CS67" s="1777"/>
      <c r="CT67" s="1777"/>
      <c r="CU67" s="1777"/>
      <c r="CV67" s="1777"/>
      <c r="CW67" s="1777"/>
      <c r="CX67" s="1777"/>
      <c r="CY67" s="1777"/>
      <c r="CZ67" s="1777"/>
      <c r="DA67" s="1777"/>
      <c r="DB67" s="1777"/>
      <c r="DC67" s="1777"/>
      <c r="DD67" s="1777"/>
      <c r="DE67" s="1777"/>
      <c r="DF67" s="1777"/>
      <c r="DG67" s="1777"/>
      <c r="DH67" s="1777"/>
      <c r="DI67" s="1777"/>
      <c r="DJ67" s="1777"/>
      <c r="DK67" s="1777"/>
      <c r="DL67" s="1777"/>
      <c r="DM67" s="1777"/>
      <c r="DN67" s="1777"/>
      <c r="DO67" s="1777"/>
      <c r="DP67" s="1777"/>
      <c r="DQ67" s="1777"/>
      <c r="DR67" s="1777"/>
      <c r="DS67" s="1777"/>
      <c r="DT67" s="1777"/>
      <c r="DU67" s="1777"/>
      <c r="DV67" s="1777"/>
      <c r="DW67" s="1777"/>
      <c r="DX67" s="1779"/>
      <c r="DY67" s="1779"/>
      <c r="DZ67" s="1779"/>
      <c r="EA67" s="1779"/>
      <c r="EB67" s="1779"/>
      <c r="EC67" s="1779"/>
      <c r="ED67" s="1779"/>
      <c r="EE67" s="1779"/>
      <c r="EF67" s="1779"/>
      <c r="EG67" s="1779"/>
      <c r="EH67" s="1779"/>
      <c r="EI67" s="1779"/>
      <c r="EJ67" s="1779"/>
      <c r="EK67" s="1779"/>
      <c r="EL67" s="1779"/>
      <c r="EM67" s="1779"/>
      <c r="EN67" s="1779"/>
      <c r="EO67" s="1779"/>
      <c r="EP67" s="1779"/>
      <c r="EQ67" s="1779"/>
      <c r="ER67" s="1779"/>
      <c r="ES67" s="1779"/>
      <c r="ET67" s="1779"/>
      <c r="EU67" s="1779"/>
      <c r="EV67" s="1779"/>
      <c r="EW67" s="1779"/>
      <c r="EX67" s="1779"/>
      <c r="EY67" s="1779"/>
      <c r="EZ67" s="1779"/>
      <c r="FA67" s="1779"/>
      <c r="FB67" s="1779"/>
      <c r="FC67" s="1779"/>
      <c r="FD67" s="1779"/>
      <c r="FE67" s="1779"/>
      <c r="FF67" s="1779"/>
      <c r="FG67" s="1779"/>
      <c r="FH67" s="1779"/>
      <c r="FI67" s="1779"/>
      <c r="FJ67" s="1779"/>
      <c r="FK67" s="1779"/>
      <c r="FL67" s="1779"/>
      <c r="FM67" s="1779"/>
      <c r="FN67" s="1779"/>
      <c r="FO67" s="1779"/>
      <c r="FP67" s="1779"/>
      <c r="FQ67" s="1779"/>
      <c r="FR67" s="1779"/>
      <c r="FS67" s="1779"/>
      <c r="FT67" s="1779"/>
      <c r="FU67" s="1779"/>
      <c r="FV67" s="1779"/>
      <c r="FW67" s="1779"/>
      <c r="FX67" s="1779"/>
      <c r="FY67" s="1779"/>
      <c r="FZ67" s="1779"/>
      <c r="GA67" s="1779"/>
      <c r="XES67" s="1780"/>
      <c r="XET67" s="1780"/>
      <c r="XEU67" s="1780"/>
      <c r="XEV67" s="1780"/>
      <c r="XEW67" s="1780"/>
      <c r="XEX67" s="1780"/>
      <c r="XEY67" s="1780"/>
      <c r="XEZ67" s="1780"/>
      <c r="XFA67" s="1780"/>
      <c r="XFB67" s="1780"/>
      <c r="XFC67" s="1780"/>
      <c r="XFD67" s="1780"/>
    </row>
    <row r="68" s="1663" customFormat="1" ht="36" customHeight="1" spans="1:16384">
      <c r="A68" s="1693">
        <v>45884</v>
      </c>
      <c r="B68" s="1694" t="s">
        <v>1767</v>
      </c>
      <c r="C68" s="1695" t="s">
        <v>123</v>
      </c>
      <c r="D68" s="1696">
        <v>4500177103</v>
      </c>
      <c r="E68" s="1694" t="s">
        <v>1768</v>
      </c>
      <c r="F68" s="1696" t="s">
        <v>1769</v>
      </c>
      <c r="G68" s="1697" t="s">
        <v>1477</v>
      </c>
      <c r="H68" s="1697" t="s">
        <v>1478</v>
      </c>
      <c r="I68" s="1704" t="s">
        <v>1479</v>
      </c>
      <c r="J68" s="1697">
        <v>18216</v>
      </c>
      <c r="K68" s="1697">
        <v>0</v>
      </c>
      <c r="L68" s="1697">
        <v>24</v>
      </c>
      <c r="M68" s="1705">
        <f t="shared" si="25"/>
        <v>759</v>
      </c>
      <c r="N68" s="1706">
        <v>45922</v>
      </c>
      <c r="O68" s="1711">
        <v>45918</v>
      </c>
      <c r="P68" s="1708" t="s">
        <v>1770</v>
      </c>
      <c r="Q68" s="1708" t="s">
        <v>1480</v>
      </c>
      <c r="R68" s="1708"/>
      <c r="S68" s="1727" t="s">
        <v>1771</v>
      </c>
      <c r="T68" s="1728"/>
      <c r="U68" s="1729" t="s">
        <v>1772</v>
      </c>
      <c r="V68" s="1721" t="s">
        <v>1773</v>
      </c>
      <c r="W68" s="1719" t="s">
        <v>1774</v>
      </c>
      <c r="X68" s="1720" t="s">
        <v>1775</v>
      </c>
      <c r="Y68" s="1739">
        <v>1.2953</v>
      </c>
      <c r="Z68" s="1740">
        <f t="shared" ref="Z63:Z108" si="26">Y68*J68</f>
        <v>23595.1848</v>
      </c>
      <c r="AA68" s="1741"/>
      <c r="AB68" s="1741">
        <v>18216</v>
      </c>
      <c r="AC68" s="1741">
        <f t="shared" si="18"/>
        <v>0</v>
      </c>
      <c r="AD68" s="1741" t="s">
        <v>81</v>
      </c>
      <c r="AE68" s="1742" t="s">
        <v>63</v>
      </c>
      <c r="AF68" s="1742" t="s">
        <v>38</v>
      </c>
      <c r="AG68" s="1720">
        <f>J68/3</f>
        <v>6072</v>
      </c>
      <c r="AH68" s="1720">
        <f>J68/3</f>
        <v>6072</v>
      </c>
      <c r="AI68" s="1754">
        <f>J68/3</f>
        <v>6072</v>
      </c>
      <c r="AJ68" s="1755"/>
      <c r="AK68" s="1756">
        <f>J68</f>
        <v>18216</v>
      </c>
      <c r="AL68" s="1756">
        <f t="shared" si="19"/>
        <v>18216</v>
      </c>
      <c r="AM68" s="1756"/>
      <c r="AN68" s="1756"/>
      <c r="AO68" s="1771"/>
      <c r="AP68" s="1771"/>
      <c r="AQ68" s="1772"/>
      <c r="AR68" s="1773"/>
      <c r="AS68" s="1754"/>
      <c r="AT68" s="1773"/>
      <c r="AU68" s="1774"/>
      <c r="AV68" s="1775"/>
      <c r="AW68" s="1777"/>
      <c r="AX68" s="1777"/>
      <c r="AY68" s="1777"/>
      <c r="AZ68" s="1777"/>
      <c r="BA68" s="1777"/>
      <c r="BB68" s="1777"/>
      <c r="BC68" s="1777"/>
      <c r="BD68" s="1777"/>
      <c r="BE68" s="1777"/>
      <c r="BF68" s="1777"/>
      <c r="BG68" s="1777"/>
      <c r="BH68" s="1777"/>
      <c r="BI68" s="1777"/>
      <c r="BJ68" s="1777"/>
      <c r="BK68" s="1777"/>
      <c r="BL68" s="1777"/>
      <c r="BM68" s="1777"/>
      <c r="BN68" s="1777"/>
      <c r="BO68" s="1777"/>
      <c r="BP68" s="1777"/>
      <c r="BQ68" s="1777"/>
      <c r="BR68" s="1777"/>
      <c r="BS68" s="1777"/>
      <c r="BT68" s="1777"/>
      <c r="BU68" s="1777"/>
      <c r="BV68" s="1777"/>
      <c r="BW68" s="1777"/>
      <c r="BX68" s="1777"/>
      <c r="BY68" s="1777"/>
      <c r="BZ68" s="1777"/>
      <c r="CA68" s="1777"/>
      <c r="CB68" s="1777"/>
      <c r="CC68" s="1777"/>
      <c r="CD68" s="1777"/>
      <c r="CE68" s="1777"/>
      <c r="CF68" s="1777"/>
      <c r="CG68" s="1777"/>
      <c r="CH68" s="1777"/>
      <c r="CI68" s="1777"/>
      <c r="CJ68" s="1777"/>
      <c r="CK68" s="1777"/>
      <c r="CL68" s="1777"/>
      <c r="CM68" s="1777"/>
      <c r="CN68" s="1777"/>
      <c r="CO68" s="1777"/>
      <c r="CP68" s="1777"/>
      <c r="CQ68" s="1777"/>
      <c r="CR68" s="1777"/>
      <c r="CS68" s="1777"/>
      <c r="CT68" s="1777"/>
      <c r="CU68" s="1777"/>
      <c r="CV68" s="1777"/>
      <c r="CW68" s="1777"/>
      <c r="CX68" s="1777"/>
      <c r="CY68" s="1777"/>
      <c r="CZ68" s="1777"/>
      <c r="DA68" s="1777"/>
      <c r="DB68" s="1777"/>
      <c r="DC68" s="1777"/>
      <c r="DD68" s="1777"/>
      <c r="DE68" s="1777"/>
      <c r="DF68" s="1777"/>
      <c r="DG68" s="1777"/>
      <c r="DH68" s="1777"/>
      <c r="DI68" s="1777"/>
      <c r="DJ68" s="1777"/>
      <c r="DK68" s="1777"/>
      <c r="DL68" s="1777"/>
      <c r="DM68" s="1777"/>
      <c r="DN68" s="1777"/>
      <c r="DO68" s="1777"/>
      <c r="DP68" s="1777"/>
      <c r="DQ68" s="1777"/>
      <c r="DR68" s="1777"/>
      <c r="DS68" s="1777"/>
      <c r="DT68" s="1777"/>
      <c r="DU68" s="1777"/>
      <c r="DV68" s="1777"/>
      <c r="DW68" s="1777"/>
      <c r="DX68" s="1779"/>
      <c r="DY68" s="1779"/>
      <c r="DZ68" s="1779"/>
      <c r="EA68" s="1779"/>
      <c r="EB68" s="1779"/>
      <c r="EC68" s="1779"/>
      <c r="ED68" s="1779"/>
      <c r="EE68" s="1779"/>
      <c r="EF68" s="1779"/>
      <c r="EG68" s="1779"/>
      <c r="EH68" s="1779"/>
      <c r="EI68" s="1779"/>
      <c r="EJ68" s="1779"/>
      <c r="EK68" s="1779"/>
      <c r="EL68" s="1779"/>
      <c r="EM68" s="1779"/>
      <c r="EN68" s="1779"/>
      <c r="EO68" s="1779"/>
      <c r="EP68" s="1779"/>
      <c r="EQ68" s="1779"/>
      <c r="ER68" s="1779"/>
      <c r="ES68" s="1779"/>
      <c r="ET68" s="1779"/>
      <c r="EU68" s="1779"/>
      <c r="EV68" s="1779"/>
      <c r="EW68" s="1779"/>
      <c r="EX68" s="1779"/>
      <c r="EY68" s="1779"/>
      <c r="EZ68" s="1779"/>
      <c r="FA68" s="1779"/>
      <c r="FB68" s="1779"/>
      <c r="FC68" s="1779"/>
      <c r="FD68" s="1779"/>
      <c r="FE68" s="1779"/>
      <c r="FF68" s="1779"/>
      <c r="FG68" s="1779"/>
      <c r="FH68" s="1779"/>
      <c r="FI68" s="1779"/>
      <c r="FJ68" s="1779"/>
      <c r="FK68" s="1779"/>
      <c r="FL68" s="1779"/>
      <c r="FM68" s="1779"/>
      <c r="FN68" s="1779"/>
      <c r="FO68" s="1779"/>
      <c r="FP68" s="1779"/>
      <c r="FQ68" s="1779"/>
      <c r="FR68" s="1779"/>
      <c r="FS68" s="1779"/>
      <c r="FT68" s="1779"/>
      <c r="FU68" s="1779"/>
      <c r="FV68" s="1779"/>
      <c r="FW68" s="1779"/>
      <c r="FX68" s="1779"/>
      <c r="FY68" s="1779"/>
      <c r="FZ68" s="1779"/>
      <c r="GA68" s="1779"/>
      <c r="XES68" s="1780"/>
      <c r="XET68" s="1780"/>
      <c r="XEU68" s="1780"/>
      <c r="XEV68" s="1780"/>
      <c r="XEW68" s="1780"/>
      <c r="XEX68" s="1780"/>
      <c r="XEY68" s="1780"/>
      <c r="XEZ68" s="1780"/>
      <c r="XFA68" s="1780"/>
      <c r="XFB68" s="1780"/>
      <c r="XFC68" s="1780"/>
      <c r="XFD68" s="1780"/>
    </row>
    <row r="69" s="1663" customFormat="1" ht="36" customHeight="1" spans="1:16384">
      <c r="A69" s="1693">
        <v>45876</v>
      </c>
      <c r="B69" s="1694" t="s">
        <v>1776</v>
      </c>
      <c r="C69" s="1695" t="s">
        <v>752</v>
      </c>
      <c r="D69" s="1696">
        <v>4500176287</v>
      </c>
      <c r="E69" s="1694"/>
      <c r="F69" s="1696" t="s">
        <v>1777</v>
      </c>
      <c r="G69" s="1697" t="s">
        <v>1732</v>
      </c>
      <c r="H69" s="1697" t="s">
        <v>1478</v>
      </c>
      <c r="I69" s="1704" t="s">
        <v>1479</v>
      </c>
      <c r="J69" s="1697">
        <v>1200</v>
      </c>
      <c r="K69" s="1697">
        <v>0</v>
      </c>
      <c r="L69" s="1697">
        <v>24</v>
      </c>
      <c r="M69" s="1705">
        <f t="shared" si="25"/>
        <v>50</v>
      </c>
      <c r="N69" s="1706">
        <v>45929</v>
      </c>
      <c r="O69" s="1711">
        <v>45925</v>
      </c>
      <c r="P69" s="1708"/>
      <c r="Q69" s="1708" t="s">
        <v>1480</v>
      </c>
      <c r="R69" s="1708"/>
      <c r="S69" s="1727" t="s">
        <v>1778</v>
      </c>
      <c r="T69" s="1728"/>
      <c r="U69" s="1729" t="s">
        <v>58</v>
      </c>
      <c r="V69" s="1721" t="s">
        <v>1779</v>
      </c>
      <c r="W69" s="1719" t="s">
        <v>1780</v>
      </c>
      <c r="X69" s="1720" t="s">
        <v>690</v>
      </c>
      <c r="Y69" s="1739">
        <v>1.5121</v>
      </c>
      <c r="Z69" s="1740">
        <f t="shared" si="26"/>
        <v>1814.52</v>
      </c>
      <c r="AA69" s="1741" t="s">
        <v>1781</v>
      </c>
      <c r="AB69" s="1741">
        <v>1200</v>
      </c>
      <c r="AC69" s="1741">
        <f t="shared" ref="AC69:AC82" si="27">AB69-J69</f>
        <v>0</v>
      </c>
      <c r="AD69" s="1741" t="s">
        <v>58</v>
      </c>
      <c r="AE69" s="1742" t="s">
        <v>63</v>
      </c>
      <c r="AF69" s="1742" t="s">
        <v>38</v>
      </c>
      <c r="AG69" s="1720">
        <f>J69/3</f>
        <v>400</v>
      </c>
      <c r="AH69" s="1720">
        <f>J69/3</f>
        <v>400</v>
      </c>
      <c r="AI69" s="1754">
        <f>J69/3</f>
        <v>400</v>
      </c>
      <c r="AJ69" s="1755">
        <f>J69</f>
        <v>1200</v>
      </c>
      <c r="AK69" s="1756"/>
      <c r="AL69" s="1756">
        <f t="shared" si="19"/>
        <v>1200</v>
      </c>
      <c r="AM69" s="1756"/>
      <c r="AN69" s="1756"/>
      <c r="AO69" s="1771"/>
      <c r="AP69" s="1771"/>
      <c r="AQ69" s="1772"/>
      <c r="AR69" s="1773"/>
      <c r="AS69" s="1754"/>
      <c r="AT69" s="1773"/>
      <c r="AU69" s="1774"/>
      <c r="AV69" s="1775"/>
      <c r="AW69" s="1777"/>
      <c r="AX69" s="1777"/>
      <c r="AY69" s="1777"/>
      <c r="AZ69" s="1777"/>
      <c r="BA69" s="1777"/>
      <c r="BB69" s="1777"/>
      <c r="BC69" s="1777"/>
      <c r="BD69" s="1777"/>
      <c r="BE69" s="1777"/>
      <c r="BF69" s="1777"/>
      <c r="BG69" s="1777"/>
      <c r="BH69" s="1777"/>
      <c r="BI69" s="1777"/>
      <c r="BJ69" s="1777"/>
      <c r="BK69" s="1777"/>
      <c r="BL69" s="1777"/>
      <c r="BM69" s="1777"/>
      <c r="BN69" s="1777"/>
      <c r="BO69" s="1777"/>
      <c r="BP69" s="1777"/>
      <c r="BQ69" s="1777"/>
      <c r="BR69" s="1777"/>
      <c r="BS69" s="1777"/>
      <c r="BT69" s="1777"/>
      <c r="BU69" s="1777"/>
      <c r="BV69" s="1777"/>
      <c r="BW69" s="1777"/>
      <c r="BX69" s="1777"/>
      <c r="BY69" s="1777"/>
      <c r="BZ69" s="1777"/>
      <c r="CA69" s="1777"/>
      <c r="CB69" s="1777"/>
      <c r="CC69" s="1777"/>
      <c r="CD69" s="1777"/>
      <c r="CE69" s="1777"/>
      <c r="CF69" s="1777"/>
      <c r="CG69" s="1777"/>
      <c r="CH69" s="1777"/>
      <c r="CI69" s="1777"/>
      <c r="CJ69" s="1777"/>
      <c r="CK69" s="1777"/>
      <c r="CL69" s="1777"/>
      <c r="CM69" s="1777"/>
      <c r="CN69" s="1777"/>
      <c r="CO69" s="1777"/>
      <c r="CP69" s="1777"/>
      <c r="CQ69" s="1777"/>
      <c r="CR69" s="1777"/>
      <c r="CS69" s="1777"/>
      <c r="CT69" s="1777"/>
      <c r="CU69" s="1777"/>
      <c r="CV69" s="1777"/>
      <c r="CW69" s="1777"/>
      <c r="CX69" s="1777"/>
      <c r="CY69" s="1777"/>
      <c r="CZ69" s="1777"/>
      <c r="DA69" s="1777"/>
      <c r="DB69" s="1777"/>
      <c r="DC69" s="1777"/>
      <c r="DD69" s="1777"/>
      <c r="DE69" s="1777"/>
      <c r="DF69" s="1777"/>
      <c r="DG69" s="1777"/>
      <c r="DH69" s="1777"/>
      <c r="DI69" s="1777"/>
      <c r="DJ69" s="1777"/>
      <c r="DK69" s="1777"/>
      <c r="DL69" s="1777"/>
      <c r="DM69" s="1777"/>
      <c r="DN69" s="1777"/>
      <c r="DO69" s="1777"/>
      <c r="DP69" s="1777"/>
      <c r="DQ69" s="1777"/>
      <c r="DR69" s="1777"/>
      <c r="DS69" s="1777"/>
      <c r="DT69" s="1777"/>
      <c r="DU69" s="1777"/>
      <c r="DV69" s="1777"/>
      <c r="DW69" s="1777"/>
      <c r="DX69" s="1779"/>
      <c r="DY69" s="1779"/>
      <c r="DZ69" s="1779"/>
      <c r="EA69" s="1779"/>
      <c r="EB69" s="1779"/>
      <c r="EC69" s="1779"/>
      <c r="ED69" s="1779"/>
      <c r="EE69" s="1779"/>
      <c r="EF69" s="1779"/>
      <c r="EG69" s="1779"/>
      <c r="EH69" s="1779"/>
      <c r="EI69" s="1779"/>
      <c r="EJ69" s="1779"/>
      <c r="EK69" s="1779"/>
      <c r="EL69" s="1779"/>
      <c r="EM69" s="1779"/>
      <c r="EN69" s="1779"/>
      <c r="EO69" s="1779"/>
      <c r="EP69" s="1779"/>
      <c r="EQ69" s="1779"/>
      <c r="ER69" s="1779"/>
      <c r="ES69" s="1779"/>
      <c r="ET69" s="1779"/>
      <c r="EU69" s="1779"/>
      <c r="EV69" s="1779"/>
      <c r="EW69" s="1779"/>
      <c r="EX69" s="1779"/>
      <c r="EY69" s="1779"/>
      <c r="EZ69" s="1779"/>
      <c r="FA69" s="1779"/>
      <c r="FB69" s="1779"/>
      <c r="FC69" s="1779"/>
      <c r="FD69" s="1779"/>
      <c r="FE69" s="1779"/>
      <c r="FF69" s="1779"/>
      <c r="FG69" s="1779"/>
      <c r="FH69" s="1779"/>
      <c r="FI69" s="1779"/>
      <c r="FJ69" s="1779"/>
      <c r="FK69" s="1779"/>
      <c r="FL69" s="1779"/>
      <c r="FM69" s="1779"/>
      <c r="FN69" s="1779"/>
      <c r="FO69" s="1779"/>
      <c r="FP69" s="1779"/>
      <c r="FQ69" s="1779"/>
      <c r="FR69" s="1779"/>
      <c r="FS69" s="1779"/>
      <c r="FT69" s="1779"/>
      <c r="FU69" s="1779"/>
      <c r="FV69" s="1779"/>
      <c r="FW69" s="1779"/>
      <c r="FX69" s="1779"/>
      <c r="FY69" s="1779"/>
      <c r="FZ69" s="1779"/>
      <c r="GA69" s="1779"/>
      <c r="XES69" s="1780"/>
      <c r="XET69" s="1780"/>
      <c r="XEU69" s="1780"/>
      <c r="XEV69" s="1780"/>
      <c r="XEW69" s="1780"/>
      <c r="XEX69" s="1780"/>
      <c r="XEY69" s="1780"/>
      <c r="XEZ69" s="1780"/>
      <c r="XFA69" s="1780"/>
      <c r="XFB69" s="1780"/>
      <c r="XFC69" s="1780"/>
      <c r="XFD69" s="1780"/>
    </row>
    <row r="70" s="1663" customFormat="1" ht="36" customHeight="1" spans="1:16384">
      <c r="A70" s="1693">
        <v>45896</v>
      </c>
      <c r="B70" s="1694" t="s">
        <v>1701</v>
      </c>
      <c r="C70" s="1695" t="s">
        <v>91</v>
      </c>
      <c r="D70" s="1696">
        <v>4500178034</v>
      </c>
      <c r="E70" s="1694" t="s">
        <v>1782</v>
      </c>
      <c r="F70" s="1696" t="s">
        <v>1783</v>
      </c>
      <c r="G70" s="1697" t="s">
        <v>1489</v>
      </c>
      <c r="H70" s="1697" t="s">
        <v>1490</v>
      </c>
      <c r="I70" s="1704" t="s">
        <v>1491</v>
      </c>
      <c r="J70" s="1697">
        <v>54</v>
      </c>
      <c r="K70" s="1697">
        <v>0</v>
      </c>
      <c r="L70" s="1697">
        <v>18</v>
      </c>
      <c r="M70" s="1709">
        <f t="shared" ref="M70:M108" si="28">J70/L70</f>
        <v>3</v>
      </c>
      <c r="N70" s="1706">
        <v>45939</v>
      </c>
      <c r="O70" s="1711">
        <v>45936</v>
      </c>
      <c r="P70" s="1708"/>
      <c r="Q70" s="1708" t="s">
        <v>1480</v>
      </c>
      <c r="R70" s="1708" t="s">
        <v>1784</v>
      </c>
      <c r="S70" s="1727" t="s">
        <v>1785</v>
      </c>
      <c r="T70" s="1728"/>
      <c r="U70" s="1729" t="s">
        <v>1786</v>
      </c>
      <c r="V70" s="1721" t="s">
        <v>1654</v>
      </c>
      <c r="W70" s="1719" t="s">
        <v>1787</v>
      </c>
      <c r="X70" s="1720" t="s">
        <v>1592</v>
      </c>
      <c r="Y70" s="1739">
        <v>2.1722</v>
      </c>
      <c r="Z70" s="1740">
        <f t="shared" si="26"/>
        <v>117.2988</v>
      </c>
      <c r="AA70" s="1741" t="s">
        <v>1788</v>
      </c>
      <c r="AB70" s="1741">
        <v>54</v>
      </c>
      <c r="AC70" s="1741">
        <f t="shared" si="27"/>
        <v>0</v>
      </c>
      <c r="AD70" s="1741" t="s">
        <v>81</v>
      </c>
      <c r="AE70" s="1742" t="s">
        <v>63</v>
      </c>
      <c r="AF70" s="1742" t="s">
        <v>38</v>
      </c>
      <c r="AG70" s="1720">
        <f>J70</f>
        <v>54</v>
      </c>
      <c r="AH70" s="1720">
        <f>J70</f>
        <v>54</v>
      </c>
      <c r="AI70" s="1754">
        <f>J70</f>
        <v>54</v>
      </c>
      <c r="AJ70" s="1755"/>
      <c r="AK70" s="1756"/>
      <c r="AL70" s="1756">
        <f t="shared" si="19"/>
        <v>54</v>
      </c>
      <c r="AM70" s="1756"/>
      <c r="AN70" s="1756"/>
      <c r="AO70" s="1771"/>
      <c r="AP70" s="1771"/>
      <c r="AQ70" s="1772"/>
      <c r="AR70" s="1773"/>
      <c r="AS70" s="1754"/>
      <c r="AT70" s="1773"/>
      <c r="AU70" s="1774">
        <f>J70</f>
        <v>54</v>
      </c>
      <c r="AV70" s="1775"/>
      <c r="AW70" s="1777"/>
      <c r="AX70" s="1777"/>
      <c r="AY70" s="1777"/>
      <c r="AZ70" s="1777"/>
      <c r="BA70" s="1777"/>
      <c r="BB70" s="1777"/>
      <c r="BC70" s="1777"/>
      <c r="BD70" s="1777"/>
      <c r="BE70" s="1777"/>
      <c r="BF70" s="1777"/>
      <c r="BG70" s="1777"/>
      <c r="BH70" s="1777"/>
      <c r="BI70" s="1777"/>
      <c r="BJ70" s="1777"/>
      <c r="BK70" s="1777"/>
      <c r="BL70" s="1777"/>
      <c r="BM70" s="1777"/>
      <c r="BN70" s="1777"/>
      <c r="BO70" s="1777"/>
      <c r="BP70" s="1777"/>
      <c r="BQ70" s="1777"/>
      <c r="BR70" s="1777"/>
      <c r="BS70" s="1777"/>
      <c r="BT70" s="1777"/>
      <c r="BU70" s="1777"/>
      <c r="BV70" s="1777"/>
      <c r="BW70" s="1777"/>
      <c r="BX70" s="1777"/>
      <c r="BY70" s="1777"/>
      <c r="BZ70" s="1777"/>
      <c r="CA70" s="1777"/>
      <c r="CB70" s="1777"/>
      <c r="CC70" s="1777"/>
      <c r="CD70" s="1777"/>
      <c r="CE70" s="1777"/>
      <c r="CF70" s="1777"/>
      <c r="CG70" s="1777"/>
      <c r="CH70" s="1777"/>
      <c r="CI70" s="1777"/>
      <c r="CJ70" s="1777"/>
      <c r="CK70" s="1777"/>
      <c r="CL70" s="1777"/>
      <c r="CM70" s="1777"/>
      <c r="CN70" s="1777"/>
      <c r="CO70" s="1777"/>
      <c r="CP70" s="1777"/>
      <c r="CQ70" s="1777"/>
      <c r="CR70" s="1777"/>
      <c r="CS70" s="1777"/>
      <c r="CT70" s="1777"/>
      <c r="CU70" s="1777"/>
      <c r="CV70" s="1777"/>
      <c r="CW70" s="1777"/>
      <c r="CX70" s="1777"/>
      <c r="CY70" s="1777"/>
      <c r="CZ70" s="1777"/>
      <c r="DA70" s="1777"/>
      <c r="DB70" s="1777"/>
      <c r="DC70" s="1777"/>
      <c r="DD70" s="1777"/>
      <c r="DE70" s="1777"/>
      <c r="DF70" s="1777"/>
      <c r="DG70" s="1777"/>
      <c r="DH70" s="1777"/>
      <c r="DI70" s="1777"/>
      <c r="DJ70" s="1777"/>
      <c r="DK70" s="1777"/>
      <c r="DL70" s="1777"/>
      <c r="DM70" s="1777"/>
      <c r="DN70" s="1777"/>
      <c r="DO70" s="1777"/>
      <c r="DP70" s="1777"/>
      <c r="DQ70" s="1777"/>
      <c r="DR70" s="1777"/>
      <c r="DS70" s="1777"/>
      <c r="DT70" s="1777"/>
      <c r="DU70" s="1777"/>
      <c r="DV70" s="1777"/>
      <c r="DW70" s="1777"/>
      <c r="DX70" s="1779"/>
      <c r="DY70" s="1779"/>
      <c r="DZ70" s="1779"/>
      <c r="EA70" s="1779"/>
      <c r="EB70" s="1779"/>
      <c r="EC70" s="1779"/>
      <c r="ED70" s="1779"/>
      <c r="EE70" s="1779"/>
      <c r="EF70" s="1779"/>
      <c r="EG70" s="1779"/>
      <c r="EH70" s="1779"/>
      <c r="EI70" s="1779"/>
      <c r="EJ70" s="1779"/>
      <c r="EK70" s="1779"/>
      <c r="EL70" s="1779"/>
      <c r="EM70" s="1779"/>
      <c r="EN70" s="1779"/>
      <c r="EO70" s="1779"/>
      <c r="EP70" s="1779"/>
      <c r="EQ70" s="1779"/>
      <c r="ER70" s="1779"/>
      <c r="ES70" s="1779"/>
      <c r="ET70" s="1779"/>
      <c r="EU70" s="1779"/>
      <c r="EV70" s="1779"/>
      <c r="EW70" s="1779"/>
      <c r="EX70" s="1779"/>
      <c r="EY70" s="1779"/>
      <c r="EZ70" s="1779"/>
      <c r="FA70" s="1779"/>
      <c r="FB70" s="1779"/>
      <c r="FC70" s="1779"/>
      <c r="FD70" s="1779"/>
      <c r="FE70" s="1779"/>
      <c r="FF70" s="1779"/>
      <c r="FG70" s="1779"/>
      <c r="FH70" s="1779"/>
      <c r="FI70" s="1779"/>
      <c r="FJ70" s="1779"/>
      <c r="FK70" s="1779"/>
      <c r="FL70" s="1779"/>
      <c r="FM70" s="1779"/>
      <c r="FN70" s="1779"/>
      <c r="FO70" s="1779"/>
      <c r="FP70" s="1779"/>
      <c r="FQ70" s="1779"/>
      <c r="FR70" s="1779"/>
      <c r="FS70" s="1779"/>
      <c r="FT70" s="1779"/>
      <c r="FU70" s="1779"/>
      <c r="FV70" s="1779"/>
      <c r="FW70" s="1779"/>
      <c r="FX70" s="1779"/>
      <c r="FY70" s="1779"/>
      <c r="FZ70" s="1779"/>
      <c r="GA70" s="1779"/>
      <c r="XES70" s="1780"/>
      <c r="XET70" s="1780"/>
      <c r="XEU70" s="1780"/>
      <c r="XEV70" s="1780"/>
      <c r="XEW70" s="1780"/>
      <c r="XEX70" s="1780"/>
      <c r="XEY70" s="1780"/>
      <c r="XEZ70" s="1780"/>
      <c r="XFA70" s="1780"/>
      <c r="XFB70" s="1780"/>
      <c r="XFC70" s="1780"/>
      <c r="XFD70" s="1780"/>
    </row>
    <row r="71" s="1663" customFormat="1" ht="36" customHeight="1" spans="1:16384">
      <c r="A71" s="1693">
        <v>45896</v>
      </c>
      <c r="B71" s="1694" t="s">
        <v>1701</v>
      </c>
      <c r="C71" s="1695" t="s">
        <v>91</v>
      </c>
      <c r="D71" s="1696">
        <v>4500178034</v>
      </c>
      <c r="E71" s="1694" t="s">
        <v>1789</v>
      </c>
      <c r="F71" s="1696" t="s">
        <v>1790</v>
      </c>
      <c r="G71" s="1697" t="s">
        <v>1489</v>
      </c>
      <c r="H71" s="1697" t="s">
        <v>1490</v>
      </c>
      <c r="I71" s="1704" t="s">
        <v>1491</v>
      </c>
      <c r="J71" s="1697">
        <v>2430</v>
      </c>
      <c r="K71" s="1697">
        <v>0</v>
      </c>
      <c r="L71" s="1697">
        <v>18</v>
      </c>
      <c r="M71" s="1709">
        <f t="shared" si="28"/>
        <v>135</v>
      </c>
      <c r="N71" s="1706">
        <v>45939</v>
      </c>
      <c r="O71" s="1711">
        <v>45936</v>
      </c>
      <c r="P71" s="1708"/>
      <c r="Q71" s="1708" t="s">
        <v>1480</v>
      </c>
      <c r="R71" s="1708" t="s">
        <v>1784</v>
      </c>
      <c r="S71" s="1727" t="s">
        <v>1785</v>
      </c>
      <c r="T71" s="1728"/>
      <c r="U71" s="1729" t="s">
        <v>1786</v>
      </c>
      <c r="V71" s="1721" t="s">
        <v>1654</v>
      </c>
      <c r="W71" s="1719" t="s">
        <v>1787</v>
      </c>
      <c r="X71" s="1720" t="s">
        <v>1592</v>
      </c>
      <c r="Y71" s="1739">
        <v>2.1722</v>
      </c>
      <c r="Z71" s="1740">
        <f t="shared" si="26"/>
        <v>5278.446</v>
      </c>
      <c r="AA71" s="1741" t="s">
        <v>1788</v>
      </c>
      <c r="AB71" s="1741">
        <v>2430</v>
      </c>
      <c r="AC71" s="1741">
        <f t="shared" si="27"/>
        <v>0</v>
      </c>
      <c r="AD71" s="1741" t="s">
        <v>327</v>
      </c>
      <c r="AE71" s="1742" t="s">
        <v>63</v>
      </c>
      <c r="AF71" s="1742" t="s">
        <v>38</v>
      </c>
      <c r="AG71" s="1720">
        <f t="shared" ref="AG71:AG76" si="29">J71</f>
        <v>2430</v>
      </c>
      <c r="AH71" s="1720">
        <f t="shared" ref="AH71:AH76" si="30">J71</f>
        <v>2430</v>
      </c>
      <c r="AI71" s="1754">
        <f t="shared" ref="AI71:AI76" si="31">J71</f>
        <v>2430</v>
      </c>
      <c r="AJ71" s="1755"/>
      <c r="AK71" s="1756"/>
      <c r="AL71" s="1756">
        <f t="shared" ref="AL71:AL99" si="32">J71</f>
        <v>2430</v>
      </c>
      <c r="AM71" s="1756"/>
      <c r="AN71" s="1756"/>
      <c r="AO71" s="1771"/>
      <c r="AP71" s="1771"/>
      <c r="AQ71" s="1772"/>
      <c r="AR71" s="1773"/>
      <c r="AS71" s="1754"/>
      <c r="AT71" s="1773"/>
      <c r="AU71" s="1774">
        <f>J71</f>
        <v>2430</v>
      </c>
      <c r="AV71" s="1775"/>
      <c r="AW71" s="1777"/>
      <c r="AX71" s="1777"/>
      <c r="AY71" s="1777"/>
      <c r="AZ71" s="1777"/>
      <c r="BA71" s="1777"/>
      <c r="BB71" s="1777"/>
      <c r="BC71" s="1777"/>
      <c r="BD71" s="1777"/>
      <c r="BE71" s="1777"/>
      <c r="BF71" s="1777"/>
      <c r="BG71" s="1777"/>
      <c r="BH71" s="1777"/>
      <c r="BI71" s="1777"/>
      <c r="BJ71" s="1777"/>
      <c r="BK71" s="1777"/>
      <c r="BL71" s="1777"/>
      <c r="BM71" s="1777"/>
      <c r="BN71" s="1777"/>
      <c r="BO71" s="1777"/>
      <c r="BP71" s="1777"/>
      <c r="BQ71" s="1777"/>
      <c r="BR71" s="1777"/>
      <c r="BS71" s="1777"/>
      <c r="BT71" s="1777"/>
      <c r="BU71" s="1777"/>
      <c r="BV71" s="1777"/>
      <c r="BW71" s="1777"/>
      <c r="BX71" s="1777"/>
      <c r="BY71" s="1777"/>
      <c r="BZ71" s="1777"/>
      <c r="CA71" s="1777"/>
      <c r="CB71" s="1777"/>
      <c r="CC71" s="1777"/>
      <c r="CD71" s="1777"/>
      <c r="CE71" s="1777"/>
      <c r="CF71" s="1777"/>
      <c r="CG71" s="1777"/>
      <c r="CH71" s="1777"/>
      <c r="CI71" s="1777"/>
      <c r="CJ71" s="1777"/>
      <c r="CK71" s="1777"/>
      <c r="CL71" s="1777"/>
      <c r="CM71" s="1777"/>
      <c r="CN71" s="1777"/>
      <c r="CO71" s="1777"/>
      <c r="CP71" s="1777"/>
      <c r="CQ71" s="1777"/>
      <c r="CR71" s="1777"/>
      <c r="CS71" s="1777"/>
      <c r="CT71" s="1777"/>
      <c r="CU71" s="1777"/>
      <c r="CV71" s="1777"/>
      <c r="CW71" s="1777"/>
      <c r="CX71" s="1777"/>
      <c r="CY71" s="1777"/>
      <c r="CZ71" s="1777"/>
      <c r="DA71" s="1777"/>
      <c r="DB71" s="1777"/>
      <c r="DC71" s="1777"/>
      <c r="DD71" s="1777"/>
      <c r="DE71" s="1777"/>
      <c r="DF71" s="1777"/>
      <c r="DG71" s="1777"/>
      <c r="DH71" s="1777"/>
      <c r="DI71" s="1777"/>
      <c r="DJ71" s="1777"/>
      <c r="DK71" s="1777"/>
      <c r="DL71" s="1777"/>
      <c r="DM71" s="1777"/>
      <c r="DN71" s="1777"/>
      <c r="DO71" s="1777"/>
      <c r="DP71" s="1777"/>
      <c r="DQ71" s="1777"/>
      <c r="DR71" s="1777"/>
      <c r="DS71" s="1777"/>
      <c r="DT71" s="1777"/>
      <c r="DU71" s="1777"/>
      <c r="DV71" s="1777"/>
      <c r="DW71" s="1777"/>
      <c r="DX71" s="1779"/>
      <c r="DY71" s="1779"/>
      <c r="DZ71" s="1779"/>
      <c r="EA71" s="1779"/>
      <c r="EB71" s="1779"/>
      <c r="EC71" s="1779"/>
      <c r="ED71" s="1779"/>
      <c r="EE71" s="1779"/>
      <c r="EF71" s="1779"/>
      <c r="EG71" s="1779"/>
      <c r="EH71" s="1779"/>
      <c r="EI71" s="1779"/>
      <c r="EJ71" s="1779"/>
      <c r="EK71" s="1779"/>
      <c r="EL71" s="1779"/>
      <c r="EM71" s="1779"/>
      <c r="EN71" s="1779"/>
      <c r="EO71" s="1779"/>
      <c r="EP71" s="1779"/>
      <c r="EQ71" s="1779"/>
      <c r="ER71" s="1779"/>
      <c r="ES71" s="1779"/>
      <c r="ET71" s="1779"/>
      <c r="EU71" s="1779"/>
      <c r="EV71" s="1779"/>
      <c r="EW71" s="1779"/>
      <c r="EX71" s="1779"/>
      <c r="EY71" s="1779"/>
      <c r="EZ71" s="1779"/>
      <c r="FA71" s="1779"/>
      <c r="FB71" s="1779"/>
      <c r="FC71" s="1779"/>
      <c r="FD71" s="1779"/>
      <c r="FE71" s="1779"/>
      <c r="FF71" s="1779"/>
      <c r="FG71" s="1779"/>
      <c r="FH71" s="1779"/>
      <c r="FI71" s="1779"/>
      <c r="FJ71" s="1779"/>
      <c r="FK71" s="1779"/>
      <c r="FL71" s="1779"/>
      <c r="FM71" s="1779"/>
      <c r="FN71" s="1779"/>
      <c r="FO71" s="1779"/>
      <c r="FP71" s="1779"/>
      <c r="FQ71" s="1779"/>
      <c r="FR71" s="1779"/>
      <c r="FS71" s="1779"/>
      <c r="FT71" s="1779"/>
      <c r="FU71" s="1779"/>
      <c r="FV71" s="1779"/>
      <c r="FW71" s="1779"/>
      <c r="FX71" s="1779"/>
      <c r="FY71" s="1779"/>
      <c r="FZ71" s="1779"/>
      <c r="GA71" s="1779"/>
      <c r="XES71" s="1780"/>
      <c r="XET71" s="1780"/>
      <c r="XEU71" s="1780"/>
      <c r="XEV71" s="1780"/>
      <c r="XEW71" s="1780"/>
      <c r="XEX71" s="1780"/>
      <c r="XEY71" s="1780"/>
      <c r="XEZ71" s="1780"/>
      <c r="XFA71" s="1780"/>
      <c r="XFB71" s="1780"/>
      <c r="XFC71" s="1780"/>
      <c r="XFD71" s="1780"/>
    </row>
    <row r="72" s="1663" customFormat="1" ht="36" customHeight="1" spans="1:16384">
      <c r="A72" s="1693">
        <v>45896</v>
      </c>
      <c r="B72" s="1694" t="s">
        <v>1701</v>
      </c>
      <c r="C72" s="1695" t="s">
        <v>91</v>
      </c>
      <c r="D72" s="1696">
        <v>4500178034</v>
      </c>
      <c r="E72" s="1694" t="s">
        <v>1791</v>
      </c>
      <c r="F72" s="1696" t="s">
        <v>1792</v>
      </c>
      <c r="G72" s="1697" t="s">
        <v>1489</v>
      </c>
      <c r="H72" s="1697" t="s">
        <v>1490</v>
      </c>
      <c r="I72" s="1704" t="s">
        <v>1491</v>
      </c>
      <c r="J72" s="1697">
        <v>1440</v>
      </c>
      <c r="K72" s="1697">
        <v>0</v>
      </c>
      <c r="L72" s="1697">
        <v>18</v>
      </c>
      <c r="M72" s="1709">
        <f t="shared" si="28"/>
        <v>80</v>
      </c>
      <c r="N72" s="1706">
        <v>45939</v>
      </c>
      <c r="O72" s="1711">
        <v>45936</v>
      </c>
      <c r="P72" s="1708"/>
      <c r="Q72" s="1708" t="s">
        <v>1480</v>
      </c>
      <c r="R72" s="1708" t="s">
        <v>1784</v>
      </c>
      <c r="S72" s="1727" t="s">
        <v>1785</v>
      </c>
      <c r="T72" s="1728"/>
      <c r="U72" s="1729" t="s">
        <v>1786</v>
      </c>
      <c r="V72" s="1721" t="s">
        <v>1654</v>
      </c>
      <c r="W72" s="1719" t="s">
        <v>1787</v>
      </c>
      <c r="X72" s="1720" t="s">
        <v>1592</v>
      </c>
      <c r="Y72" s="1739">
        <v>2.1722</v>
      </c>
      <c r="Z72" s="1740">
        <f t="shared" si="26"/>
        <v>3127.968</v>
      </c>
      <c r="AA72" s="1741" t="s">
        <v>1788</v>
      </c>
      <c r="AB72" s="1741">
        <f>1422+18</f>
        <v>1440</v>
      </c>
      <c r="AC72" s="1741">
        <f t="shared" si="27"/>
        <v>0</v>
      </c>
      <c r="AD72" s="1741" t="s">
        <v>327</v>
      </c>
      <c r="AE72" s="1742" t="s">
        <v>63</v>
      </c>
      <c r="AF72" s="1742" t="s">
        <v>38</v>
      </c>
      <c r="AG72" s="1720">
        <f t="shared" si="29"/>
        <v>1440</v>
      </c>
      <c r="AH72" s="1720">
        <f t="shared" si="30"/>
        <v>1440</v>
      </c>
      <c r="AI72" s="1754">
        <f t="shared" si="31"/>
        <v>1440</v>
      </c>
      <c r="AJ72" s="1755"/>
      <c r="AK72" s="1756"/>
      <c r="AL72" s="1756">
        <f t="shared" si="32"/>
        <v>1440</v>
      </c>
      <c r="AM72" s="1756"/>
      <c r="AN72" s="1756"/>
      <c r="AO72" s="1771"/>
      <c r="AP72" s="1771"/>
      <c r="AQ72" s="1772"/>
      <c r="AR72" s="1773"/>
      <c r="AS72" s="1754"/>
      <c r="AT72" s="1773"/>
      <c r="AU72" s="1774">
        <f t="shared" ref="AU71:AU76" si="33">J72</f>
        <v>1440</v>
      </c>
      <c r="AV72" s="1775"/>
      <c r="AW72" s="1777"/>
      <c r="AX72" s="1777"/>
      <c r="AY72" s="1777"/>
      <c r="AZ72" s="1777"/>
      <c r="BA72" s="1777"/>
      <c r="BB72" s="1777"/>
      <c r="BC72" s="1777"/>
      <c r="BD72" s="1777"/>
      <c r="BE72" s="1777"/>
      <c r="BF72" s="1777"/>
      <c r="BG72" s="1777"/>
      <c r="BH72" s="1777"/>
      <c r="BI72" s="1777"/>
      <c r="BJ72" s="1777"/>
      <c r="BK72" s="1777"/>
      <c r="BL72" s="1777"/>
      <c r="BM72" s="1777"/>
      <c r="BN72" s="1777"/>
      <c r="BO72" s="1777"/>
      <c r="BP72" s="1777"/>
      <c r="BQ72" s="1777"/>
      <c r="BR72" s="1777"/>
      <c r="BS72" s="1777"/>
      <c r="BT72" s="1777"/>
      <c r="BU72" s="1777"/>
      <c r="BV72" s="1777"/>
      <c r="BW72" s="1777"/>
      <c r="BX72" s="1777"/>
      <c r="BY72" s="1777"/>
      <c r="BZ72" s="1777"/>
      <c r="CA72" s="1777"/>
      <c r="CB72" s="1777"/>
      <c r="CC72" s="1777"/>
      <c r="CD72" s="1777"/>
      <c r="CE72" s="1777"/>
      <c r="CF72" s="1777"/>
      <c r="CG72" s="1777"/>
      <c r="CH72" s="1777"/>
      <c r="CI72" s="1777"/>
      <c r="CJ72" s="1777"/>
      <c r="CK72" s="1777"/>
      <c r="CL72" s="1777"/>
      <c r="CM72" s="1777"/>
      <c r="CN72" s="1777"/>
      <c r="CO72" s="1777"/>
      <c r="CP72" s="1777"/>
      <c r="CQ72" s="1777"/>
      <c r="CR72" s="1777"/>
      <c r="CS72" s="1777"/>
      <c r="CT72" s="1777"/>
      <c r="CU72" s="1777"/>
      <c r="CV72" s="1777"/>
      <c r="CW72" s="1777"/>
      <c r="CX72" s="1777"/>
      <c r="CY72" s="1777"/>
      <c r="CZ72" s="1777"/>
      <c r="DA72" s="1777"/>
      <c r="DB72" s="1777"/>
      <c r="DC72" s="1777"/>
      <c r="DD72" s="1777"/>
      <c r="DE72" s="1777"/>
      <c r="DF72" s="1777"/>
      <c r="DG72" s="1777"/>
      <c r="DH72" s="1777"/>
      <c r="DI72" s="1777"/>
      <c r="DJ72" s="1777"/>
      <c r="DK72" s="1777"/>
      <c r="DL72" s="1777"/>
      <c r="DM72" s="1777"/>
      <c r="DN72" s="1777"/>
      <c r="DO72" s="1777"/>
      <c r="DP72" s="1777"/>
      <c r="DQ72" s="1777"/>
      <c r="DR72" s="1777"/>
      <c r="DS72" s="1777"/>
      <c r="DT72" s="1777"/>
      <c r="DU72" s="1777"/>
      <c r="DV72" s="1777"/>
      <c r="DW72" s="1777"/>
      <c r="DX72" s="1779"/>
      <c r="DY72" s="1779"/>
      <c r="DZ72" s="1779"/>
      <c r="EA72" s="1779"/>
      <c r="EB72" s="1779"/>
      <c r="EC72" s="1779"/>
      <c r="ED72" s="1779"/>
      <c r="EE72" s="1779"/>
      <c r="EF72" s="1779"/>
      <c r="EG72" s="1779"/>
      <c r="EH72" s="1779"/>
      <c r="EI72" s="1779"/>
      <c r="EJ72" s="1779"/>
      <c r="EK72" s="1779"/>
      <c r="EL72" s="1779"/>
      <c r="EM72" s="1779"/>
      <c r="EN72" s="1779"/>
      <c r="EO72" s="1779"/>
      <c r="EP72" s="1779"/>
      <c r="EQ72" s="1779"/>
      <c r="ER72" s="1779"/>
      <c r="ES72" s="1779"/>
      <c r="ET72" s="1779"/>
      <c r="EU72" s="1779"/>
      <c r="EV72" s="1779"/>
      <c r="EW72" s="1779"/>
      <c r="EX72" s="1779"/>
      <c r="EY72" s="1779"/>
      <c r="EZ72" s="1779"/>
      <c r="FA72" s="1779"/>
      <c r="FB72" s="1779"/>
      <c r="FC72" s="1779"/>
      <c r="FD72" s="1779"/>
      <c r="FE72" s="1779"/>
      <c r="FF72" s="1779"/>
      <c r="FG72" s="1779"/>
      <c r="FH72" s="1779"/>
      <c r="FI72" s="1779"/>
      <c r="FJ72" s="1779"/>
      <c r="FK72" s="1779"/>
      <c r="FL72" s="1779"/>
      <c r="FM72" s="1779"/>
      <c r="FN72" s="1779"/>
      <c r="FO72" s="1779"/>
      <c r="FP72" s="1779"/>
      <c r="FQ72" s="1779"/>
      <c r="FR72" s="1779"/>
      <c r="FS72" s="1779"/>
      <c r="FT72" s="1779"/>
      <c r="FU72" s="1779"/>
      <c r="FV72" s="1779"/>
      <c r="FW72" s="1779"/>
      <c r="FX72" s="1779"/>
      <c r="FY72" s="1779"/>
      <c r="FZ72" s="1779"/>
      <c r="GA72" s="1779"/>
      <c r="XES72" s="1780"/>
      <c r="XET72" s="1780"/>
      <c r="XEU72" s="1780"/>
      <c r="XEV72" s="1780"/>
      <c r="XEW72" s="1780"/>
      <c r="XEX72" s="1780"/>
      <c r="XEY72" s="1780"/>
      <c r="XEZ72" s="1780"/>
      <c r="XFA72" s="1780"/>
      <c r="XFB72" s="1780"/>
      <c r="XFC72" s="1780"/>
      <c r="XFD72" s="1780"/>
    </row>
    <row r="73" s="1663" customFormat="1" ht="36" customHeight="1" spans="1:16384">
      <c r="A73" s="1693">
        <v>45896</v>
      </c>
      <c r="B73" s="1694" t="s">
        <v>1701</v>
      </c>
      <c r="C73" s="1695" t="s">
        <v>91</v>
      </c>
      <c r="D73" s="1696">
        <v>4500178020</v>
      </c>
      <c r="E73" s="1694" t="s">
        <v>1793</v>
      </c>
      <c r="F73" s="1696" t="s">
        <v>1794</v>
      </c>
      <c r="G73" s="1697" t="s">
        <v>1489</v>
      </c>
      <c r="H73" s="1697" t="s">
        <v>1490</v>
      </c>
      <c r="I73" s="1704" t="s">
        <v>1491</v>
      </c>
      <c r="J73" s="1697">
        <v>1620</v>
      </c>
      <c r="K73" s="1697">
        <v>0</v>
      </c>
      <c r="L73" s="1697">
        <v>18</v>
      </c>
      <c r="M73" s="1709">
        <f t="shared" si="28"/>
        <v>90</v>
      </c>
      <c r="N73" s="1706">
        <v>45939</v>
      </c>
      <c r="O73" s="1711">
        <v>45936</v>
      </c>
      <c r="P73" s="1708"/>
      <c r="Q73" s="1708" t="s">
        <v>1480</v>
      </c>
      <c r="R73" s="1708" t="s">
        <v>1551</v>
      </c>
      <c r="S73" s="1727" t="s">
        <v>1785</v>
      </c>
      <c r="T73" s="1728"/>
      <c r="U73" s="1729" t="s">
        <v>1786</v>
      </c>
      <c r="V73" s="1721" t="s">
        <v>1654</v>
      </c>
      <c r="W73" s="1719" t="s">
        <v>1787</v>
      </c>
      <c r="X73" s="1720" t="s">
        <v>1592</v>
      </c>
      <c r="Y73" s="1739">
        <v>2.2046</v>
      </c>
      <c r="Z73" s="1740">
        <f t="shared" si="26"/>
        <v>3571.452</v>
      </c>
      <c r="AA73" s="1741" t="s">
        <v>1795</v>
      </c>
      <c r="AB73" s="1741">
        <v>1620</v>
      </c>
      <c r="AC73" s="1741">
        <f t="shared" si="27"/>
        <v>0</v>
      </c>
      <c r="AD73" s="1741" t="s">
        <v>327</v>
      </c>
      <c r="AE73" s="1742" t="s">
        <v>63</v>
      </c>
      <c r="AF73" s="1742" t="s">
        <v>38</v>
      </c>
      <c r="AG73" s="1720">
        <f t="shared" si="29"/>
        <v>1620</v>
      </c>
      <c r="AH73" s="1720">
        <f t="shared" si="30"/>
        <v>1620</v>
      </c>
      <c r="AI73" s="1754">
        <f t="shared" si="31"/>
        <v>1620</v>
      </c>
      <c r="AJ73" s="1755"/>
      <c r="AK73" s="1756"/>
      <c r="AL73" s="1756">
        <f t="shared" si="32"/>
        <v>1620</v>
      </c>
      <c r="AM73" s="1756"/>
      <c r="AN73" s="1756"/>
      <c r="AO73" s="1771"/>
      <c r="AP73" s="1771"/>
      <c r="AQ73" s="1772"/>
      <c r="AR73" s="1773"/>
      <c r="AS73" s="1754"/>
      <c r="AT73" s="1773"/>
      <c r="AU73" s="1774">
        <f t="shared" si="33"/>
        <v>1620</v>
      </c>
      <c r="AV73" s="1775"/>
      <c r="AW73" s="1777"/>
      <c r="AX73" s="1777"/>
      <c r="AY73" s="1777"/>
      <c r="AZ73" s="1777"/>
      <c r="BA73" s="1777"/>
      <c r="BB73" s="1777"/>
      <c r="BC73" s="1777"/>
      <c r="BD73" s="1777"/>
      <c r="BE73" s="1777"/>
      <c r="BF73" s="1777"/>
      <c r="BG73" s="1777"/>
      <c r="BH73" s="1777"/>
      <c r="BI73" s="1777"/>
      <c r="BJ73" s="1777"/>
      <c r="BK73" s="1777"/>
      <c r="BL73" s="1777"/>
      <c r="BM73" s="1777"/>
      <c r="BN73" s="1777"/>
      <c r="BO73" s="1777"/>
      <c r="BP73" s="1777"/>
      <c r="BQ73" s="1777"/>
      <c r="BR73" s="1777"/>
      <c r="BS73" s="1777"/>
      <c r="BT73" s="1777"/>
      <c r="BU73" s="1777"/>
      <c r="BV73" s="1777"/>
      <c r="BW73" s="1777"/>
      <c r="BX73" s="1777"/>
      <c r="BY73" s="1777"/>
      <c r="BZ73" s="1777"/>
      <c r="CA73" s="1777"/>
      <c r="CB73" s="1777"/>
      <c r="CC73" s="1777"/>
      <c r="CD73" s="1777"/>
      <c r="CE73" s="1777"/>
      <c r="CF73" s="1777"/>
      <c r="CG73" s="1777"/>
      <c r="CH73" s="1777"/>
      <c r="CI73" s="1777"/>
      <c r="CJ73" s="1777"/>
      <c r="CK73" s="1777"/>
      <c r="CL73" s="1777"/>
      <c r="CM73" s="1777"/>
      <c r="CN73" s="1777"/>
      <c r="CO73" s="1777"/>
      <c r="CP73" s="1777"/>
      <c r="CQ73" s="1777"/>
      <c r="CR73" s="1777"/>
      <c r="CS73" s="1777"/>
      <c r="CT73" s="1777"/>
      <c r="CU73" s="1777"/>
      <c r="CV73" s="1777"/>
      <c r="CW73" s="1777"/>
      <c r="CX73" s="1777"/>
      <c r="CY73" s="1777"/>
      <c r="CZ73" s="1777"/>
      <c r="DA73" s="1777"/>
      <c r="DB73" s="1777"/>
      <c r="DC73" s="1777"/>
      <c r="DD73" s="1777"/>
      <c r="DE73" s="1777"/>
      <c r="DF73" s="1777"/>
      <c r="DG73" s="1777"/>
      <c r="DH73" s="1777"/>
      <c r="DI73" s="1777"/>
      <c r="DJ73" s="1777"/>
      <c r="DK73" s="1777"/>
      <c r="DL73" s="1777"/>
      <c r="DM73" s="1777"/>
      <c r="DN73" s="1777"/>
      <c r="DO73" s="1777"/>
      <c r="DP73" s="1777"/>
      <c r="DQ73" s="1777"/>
      <c r="DR73" s="1777"/>
      <c r="DS73" s="1777"/>
      <c r="DT73" s="1777"/>
      <c r="DU73" s="1777"/>
      <c r="DV73" s="1777"/>
      <c r="DW73" s="1777"/>
      <c r="DX73" s="1779"/>
      <c r="DY73" s="1779"/>
      <c r="DZ73" s="1779"/>
      <c r="EA73" s="1779"/>
      <c r="EB73" s="1779"/>
      <c r="EC73" s="1779"/>
      <c r="ED73" s="1779"/>
      <c r="EE73" s="1779"/>
      <c r="EF73" s="1779"/>
      <c r="EG73" s="1779"/>
      <c r="EH73" s="1779"/>
      <c r="EI73" s="1779"/>
      <c r="EJ73" s="1779"/>
      <c r="EK73" s="1779"/>
      <c r="EL73" s="1779"/>
      <c r="EM73" s="1779"/>
      <c r="EN73" s="1779"/>
      <c r="EO73" s="1779"/>
      <c r="EP73" s="1779"/>
      <c r="EQ73" s="1779"/>
      <c r="ER73" s="1779"/>
      <c r="ES73" s="1779"/>
      <c r="ET73" s="1779"/>
      <c r="EU73" s="1779"/>
      <c r="EV73" s="1779"/>
      <c r="EW73" s="1779"/>
      <c r="EX73" s="1779"/>
      <c r="EY73" s="1779"/>
      <c r="EZ73" s="1779"/>
      <c r="FA73" s="1779"/>
      <c r="FB73" s="1779"/>
      <c r="FC73" s="1779"/>
      <c r="FD73" s="1779"/>
      <c r="FE73" s="1779"/>
      <c r="FF73" s="1779"/>
      <c r="FG73" s="1779"/>
      <c r="FH73" s="1779"/>
      <c r="FI73" s="1779"/>
      <c r="FJ73" s="1779"/>
      <c r="FK73" s="1779"/>
      <c r="FL73" s="1779"/>
      <c r="FM73" s="1779"/>
      <c r="FN73" s="1779"/>
      <c r="FO73" s="1779"/>
      <c r="FP73" s="1779"/>
      <c r="FQ73" s="1779"/>
      <c r="FR73" s="1779"/>
      <c r="FS73" s="1779"/>
      <c r="FT73" s="1779"/>
      <c r="FU73" s="1779"/>
      <c r="FV73" s="1779"/>
      <c r="FW73" s="1779"/>
      <c r="FX73" s="1779"/>
      <c r="FY73" s="1779"/>
      <c r="FZ73" s="1779"/>
      <c r="GA73" s="1779"/>
      <c r="XES73" s="1780"/>
      <c r="XET73" s="1780"/>
      <c r="XEU73" s="1780"/>
      <c r="XEV73" s="1780"/>
      <c r="XEW73" s="1780"/>
      <c r="XEX73" s="1780"/>
      <c r="XEY73" s="1780"/>
      <c r="XEZ73" s="1780"/>
      <c r="XFA73" s="1780"/>
      <c r="XFB73" s="1780"/>
      <c r="XFC73" s="1780"/>
      <c r="XFD73" s="1780"/>
    </row>
    <row r="74" s="1663" customFormat="1" ht="36" customHeight="1" spans="1:16384">
      <c r="A74" s="1693">
        <v>45896</v>
      </c>
      <c r="B74" s="1694" t="s">
        <v>1701</v>
      </c>
      <c r="C74" s="1695" t="s">
        <v>91</v>
      </c>
      <c r="D74" s="1696">
        <v>4500177996</v>
      </c>
      <c r="E74" s="1781" t="s">
        <v>1796</v>
      </c>
      <c r="F74" s="1782" t="s">
        <v>1797</v>
      </c>
      <c r="G74" s="1783" t="s">
        <v>1489</v>
      </c>
      <c r="H74" s="1783" t="s">
        <v>1490</v>
      </c>
      <c r="I74" s="1821" t="s">
        <v>1491</v>
      </c>
      <c r="J74" s="1783">
        <v>1008</v>
      </c>
      <c r="K74" s="1697">
        <v>0</v>
      </c>
      <c r="L74" s="1697">
        <v>18</v>
      </c>
      <c r="M74" s="1709">
        <f t="shared" si="28"/>
        <v>56</v>
      </c>
      <c r="N74" s="1706">
        <v>45939</v>
      </c>
      <c r="O74" s="1711">
        <v>45936</v>
      </c>
      <c r="P74" s="1708"/>
      <c r="Q74" s="1708" t="s">
        <v>1480</v>
      </c>
      <c r="R74" s="1728" t="s">
        <v>1798</v>
      </c>
      <c r="S74" s="1727" t="s">
        <v>1785</v>
      </c>
      <c r="T74" s="1728"/>
      <c r="U74" s="1729" t="s">
        <v>1786</v>
      </c>
      <c r="V74" s="1721" t="s">
        <v>1654</v>
      </c>
      <c r="W74" s="1719" t="s">
        <v>1787</v>
      </c>
      <c r="X74" s="1720" t="s">
        <v>1592</v>
      </c>
      <c r="Y74" s="1739">
        <v>2.2046</v>
      </c>
      <c r="Z74" s="1740">
        <f t="shared" si="26"/>
        <v>2222.2368</v>
      </c>
      <c r="AA74" s="1741" t="s">
        <v>1799</v>
      </c>
      <c r="AB74" s="1741">
        <v>1008</v>
      </c>
      <c r="AC74" s="1741">
        <f t="shared" si="27"/>
        <v>0</v>
      </c>
      <c r="AD74" s="1741" t="s">
        <v>327</v>
      </c>
      <c r="AE74" s="1742" t="s">
        <v>63</v>
      </c>
      <c r="AF74" s="1742" t="s">
        <v>38</v>
      </c>
      <c r="AG74" s="1720">
        <f t="shared" si="29"/>
        <v>1008</v>
      </c>
      <c r="AH74" s="1720">
        <f t="shared" si="30"/>
        <v>1008</v>
      </c>
      <c r="AI74" s="1754">
        <f t="shared" si="31"/>
        <v>1008</v>
      </c>
      <c r="AJ74" s="1755"/>
      <c r="AK74" s="1756"/>
      <c r="AL74" s="1756">
        <f t="shared" si="32"/>
        <v>1008</v>
      </c>
      <c r="AM74" s="1756"/>
      <c r="AN74" s="1756"/>
      <c r="AO74" s="1771"/>
      <c r="AP74" s="1771"/>
      <c r="AQ74" s="1772"/>
      <c r="AR74" s="1773"/>
      <c r="AS74" s="1754"/>
      <c r="AT74" s="1773"/>
      <c r="AU74" s="1774">
        <f t="shared" si="33"/>
        <v>1008</v>
      </c>
      <c r="AV74" s="1775"/>
      <c r="AW74" s="1777"/>
      <c r="AX74" s="1777"/>
      <c r="AY74" s="1777"/>
      <c r="AZ74" s="1777"/>
      <c r="BA74" s="1777"/>
      <c r="BB74" s="1777"/>
      <c r="BC74" s="1777"/>
      <c r="BD74" s="1777"/>
      <c r="BE74" s="1777"/>
      <c r="BF74" s="1777"/>
      <c r="BG74" s="1777"/>
      <c r="BH74" s="1777"/>
      <c r="BI74" s="1777"/>
      <c r="BJ74" s="1777"/>
      <c r="BK74" s="1777"/>
      <c r="BL74" s="1777"/>
      <c r="BM74" s="1777"/>
      <c r="BN74" s="1777"/>
      <c r="BO74" s="1777"/>
      <c r="BP74" s="1777"/>
      <c r="BQ74" s="1777"/>
      <c r="BR74" s="1777"/>
      <c r="BS74" s="1777"/>
      <c r="BT74" s="1777"/>
      <c r="BU74" s="1777"/>
      <c r="BV74" s="1777"/>
      <c r="BW74" s="1777"/>
      <c r="BX74" s="1777"/>
      <c r="BY74" s="1777"/>
      <c r="BZ74" s="1777"/>
      <c r="CA74" s="1777"/>
      <c r="CB74" s="1777"/>
      <c r="CC74" s="1777"/>
      <c r="CD74" s="1777"/>
      <c r="CE74" s="1777"/>
      <c r="CF74" s="1777"/>
      <c r="CG74" s="1777"/>
      <c r="CH74" s="1777"/>
      <c r="CI74" s="1777"/>
      <c r="CJ74" s="1777"/>
      <c r="CK74" s="1777"/>
      <c r="CL74" s="1777"/>
      <c r="CM74" s="1777"/>
      <c r="CN74" s="1777"/>
      <c r="CO74" s="1777"/>
      <c r="CP74" s="1777"/>
      <c r="CQ74" s="1777"/>
      <c r="CR74" s="1777"/>
      <c r="CS74" s="1777"/>
      <c r="CT74" s="1777"/>
      <c r="CU74" s="1777"/>
      <c r="CV74" s="1777"/>
      <c r="CW74" s="1777"/>
      <c r="CX74" s="1777"/>
      <c r="CY74" s="1777"/>
      <c r="CZ74" s="1777"/>
      <c r="DA74" s="1777"/>
      <c r="DB74" s="1777"/>
      <c r="DC74" s="1777"/>
      <c r="DD74" s="1777"/>
      <c r="DE74" s="1777"/>
      <c r="DF74" s="1777"/>
      <c r="DG74" s="1777"/>
      <c r="DH74" s="1777"/>
      <c r="DI74" s="1777"/>
      <c r="DJ74" s="1777"/>
      <c r="DK74" s="1777"/>
      <c r="DL74" s="1777"/>
      <c r="DM74" s="1777"/>
      <c r="DN74" s="1777"/>
      <c r="DO74" s="1777"/>
      <c r="DP74" s="1777"/>
      <c r="DQ74" s="1777"/>
      <c r="DR74" s="1777"/>
      <c r="DS74" s="1777"/>
      <c r="DT74" s="1777"/>
      <c r="DU74" s="1777"/>
      <c r="DV74" s="1777"/>
      <c r="DW74" s="1777"/>
      <c r="DX74" s="1779"/>
      <c r="DY74" s="1779"/>
      <c r="DZ74" s="1779"/>
      <c r="EA74" s="1779"/>
      <c r="EB74" s="1779"/>
      <c r="EC74" s="1779"/>
      <c r="ED74" s="1779"/>
      <c r="EE74" s="1779"/>
      <c r="EF74" s="1779"/>
      <c r="EG74" s="1779"/>
      <c r="EH74" s="1779"/>
      <c r="EI74" s="1779"/>
      <c r="EJ74" s="1779"/>
      <c r="EK74" s="1779"/>
      <c r="EL74" s="1779"/>
      <c r="EM74" s="1779"/>
      <c r="EN74" s="1779"/>
      <c r="EO74" s="1779"/>
      <c r="EP74" s="1779"/>
      <c r="EQ74" s="1779"/>
      <c r="ER74" s="1779"/>
      <c r="ES74" s="1779"/>
      <c r="ET74" s="1779"/>
      <c r="EU74" s="1779"/>
      <c r="EV74" s="1779"/>
      <c r="EW74" s="1779"/>
      <c r="EX74" s="1779"/>
      <c r="EY74" s="1779"/>
      <c r="EZ74" s="1779"/>
      <c r="FA74" s="1779"/>
      <c r="FB74" s="1779"/>
      <c r="FC74" s="1779"/>
      <c r="FD74" s="1779"/>
      <c r="FE74" s="1779"/>
      <c r="FF74" s="1779"/>
      <c r="FG74" s="1779"/>
      <c r="FH74" s="1779"/>
      <c r="FI74" s="1779"/>
      <c r="FJ74" s="1779"/>
      <c r="FK74" s="1779"/>
      <c r="FL74" s="1779"/>
      <c r="FM74" s="1779"/>
      <c r="FN74" s="1779"/>
      <c r="FO74" s="1779"/>
      <c r="FP74" s="1779"/>
      <c r="FQ74" s="1779"/>
      <c r="FR74" s="1779"/>
      <c r="FS74" s="1779"/>
      <c r="FT74" s="1779"/>
      <c r="FU74" s="1779"/>
      <c r="FV74" s="1779"/>
      <c r="FW74" s="1779"/>
      <c r="FX74" s="1779"/>
      <c r="FY74" s="1779"/>
      <c r="FZ74" s="1779"/>
      <c r="GA74" s="1779"/>
      <c r="XES74" s="1780"/>
      <c r="XET74" s="1780"/>
      <c r="XEU74" s="1780"/>
      <c r="XEV74" s="1780"/>
      <c r="XEW74" s="1780"/>
      <c r="XEX74" s="1780"/>
      <c r="XEY74" s="1780"/>
      <c r="XEZ74" s="1780"/>
      <c r="XFA74" s="1780"/>
      <c r="XFB74" s="1780"/>
      <c r="XFC74" s="1780"/>
      <c r="XFD74" s="1780"/>
    </row>
    <row r="75" s="1663" customFormat="1" ht="36" customHeight="1" spans="1:16384">
      <c r="A75" s="1693">
        <v>45896</v>
      </c>
      <c r="B75" s="1694" t="s">
        <v>1701</v>
      </c>
      <c r="C75" s="1695" t="s">
        <v>91</v>
      </c>
      <c r="D75" s="1696">
        <v>4500177996</v>
      </c>
      <c r="E75" s="1781" t="s">
        <v>1800</v>
      </c>
      <c r="F75" s="1782" t="s">
        <v>1801</v>
      </c>
      <c r="G75" s="1783" t="s">
        <v>1489</v>
      </c>
      <c r="H75" s="1783" t="s">
        <v>1490</v>
      </c>
      <c r="I75" s="1821" t="s">
        <v>1491</v>
      </c>
      <c r="J75" s="1783">
        <v>954</v>
      </c>
      <c r="K75" s="1697">
        <v>0</v>
      </c>
      <c r="L75" s="1697">
        <v>18</v>
      </c>
      <c r="M75" s="1709">
        <f t="shared" si="28"/>
        <v>53</v>
      </c>
      <c r="N75" s="1706">
        <v>45939</v>
      </c>
      <c r="O75" s="1711">
        <v>45936</v>
      </c>
      <c r="P75" s="1708"/>
      <c r="Q75" s="1708" t="s">
        <v>1480</v>
      </c>
      <c r="R75" s="1728" t="s">
        <v>1798</v>
      </c>
      <c r="S75" s="1727" t="s">
        <v>1785</v>
      </c>
      <c r="T75" s="1728"/>
      <c r="U75" s="1729" t="s">
        <v>1786</v>
      </c>
      <c r="V75" s="1721" t="s">
        <v>1654</v>
      </c>
      <c r="W75" s="1719" t="s">
        <v>1787</v>
      </c>
      <c r="X75" s="1720" t="s">
        <v>1592</v>
      </c>
      <c r="Y75" s="1739">
        <v>2.2046</v>
      </c>
      <c r="Z75" s="1740">
        <f t="shared" si="26"/>
        <v>2103.1884</v>
      </c>
      <c r="AA75" s="1741" t="s">
        <v>1799</v>
      </c>
      <c r="AB75" s="1741">
        <v>954</v>
      </c>
      <c r="AC75" s="1741">
        <f t="shared" si="27"/>
        <v>0</v>
      </c>
      <c r="AD75" s="1741" t="s">
        <v>327</v>
      </c>
      <c r="AE75" s="1742" t="s">
        <v>63</v>
      </c>
      <c r="AF75" s="1742" t="s">
        <v>38</v>
      </c>
      <c r="AG75" s="1720">
        <f t="shared" si="29"/>
        <v>954</v>
      </c>
      <c r="AH75" s="1720">
        <f t="shared" si="30"/>
        <v>954</v>
      </c>
      <c r="AI75" s="1754">
        <f t="shared" si="31"/>
        <v>954</v>
      </c>
      <c r="AJ75" s="1755"/>
      <c r="AK75" s="1756"/>
      <c r="AL75" s="1756">
        <f t="shared" si="32"/>
        <v>954</v>
      </c>
      <c r="AM75" s="1756"/>
      <c r="AN75" s="1756"/>
      <c r="AO75" s="1771"/>
      <c r="AP75" s="1771"/>
      <c r="AQ75" s="1772"/>
      <c r="AR75" s="1773"/>
      <c r="AS75" s="1754"/>
      <c r="AT75" s="1773"/>
      <c r="AU75" s="1774">
        <f t="shared" si="33"/>
        <v>954</v>
      </c>
      <c r="AV75" s="1775"/>
      <c r="AW75" s="1777"/>
      <c r="AX75" s="1777"/>
      <c r="AY75" s="1777"/>
      <c r="AZ75" s="1777"/>
      <c r="BA75" s="1777"/>
      <c r="BB75" s="1777"/>
      <c r="BC75" s="1777"/>
      <c r="BD75" s="1777"/>
      <c r="BE75" s="1777"/>
      <c r="BF75" s="1777"/>
      <c r="BG75" s="1777"/>
      <c r="BH75" s="1777"/>
      <c r="BI75" s="1777"/>
      <c r="BJ75" s="1777"/>
      <c r="BK75" s="1777"/>
      <c r="BL75" s="1777"/>
      <c r="BM75" s="1777"/>
      <c r="BN75" s="1777"/>
      <c r="BO75" s="1777"/>
      <c r="BP75" s="1777"/>
      <c r="BQ75" s="1777"/>
      <c r="BR75" s="1777"/>
      <c r="BS75" s="1777"/>
      <c r="BT75" s="1777"/>
      <c r="BU75" s="1777"/>
      <c r="BV75" s="1777"/>
      <c r="BW75" s="1777"/>
      <c r="BX75" s="1777"/>
      <c r="BY75" s="1777"/>
      <c r="BZ75" s="1777"/>
      <c r="CA75" s="1777"/>
      <c r="CB75" s="1777"/>
      <c r="CC75" s="1777"/>
      <c r="CD75" s="1777"/>
      <c r="CE75" s="1777"/>
      <c r="CF75" s="1777"/>
      <c r="CG75" s="1777"/>
      <c r="CH75" s="1777"/>
      <c r="CI75" s="1777"/>
      <c r="CJ75" s="1777"/>
      <c r="CK75" s="1777"/>
      <c r="CL75" s="1777"/>
      <c r="CM75" s="1777"/>
      <c r="CN75" s="1777"/>
      <c r="CO75" s="1777"/>
      <c r="CP75" s="1777"/>
      <c r="CQ75" s="1777"/>
      <c r="CR75" s="1777"/>
      <c r="CS75" s="1777"/>
      <c r="CT75" s="1777"/>
      <c r="CU75" s="1777"/>
      <c r="CV75" s="1777"/>
      <c r="CW75" s="1777"/>
      <c r="CX75" s="1777"/>
      <c r="CY75" s="1777"/>
      <c r="CZ75" s="1777"/>
      <c r="DA75" s="1777"/>
      <c r="DB75" s="1777"/>
      <c r="DC75" s="1777"/>
      <c r="DD75" s="1777"/>
      <c r="DE75" s="1777"/>
      <c r="DF75" s="1777"/>
      <c r="DG75" s="1777"/>
      <c r="DH75" s="1777"/>
      <c r="DI75" s="1777"/>
      <c r="DJ75" s="1777"/>
      <c r="DK75" s="1777"/>
      <c r="DL75" s="1777"/>
      <c r="DM75" s="1777"/>
      <c r="DN75" s="1777"/>
      <c r="DO75" s="1777"/>
      <c r="DP75" s="1777"/>
      <c r="DQ75" s="1777"/>
      <c r="DR75" s="1777"/>
      <c r="DS75" s="1777"/>
      <c r="DT75" s="1777"/>
      <c r="DU75" s="1777"/>
      <c r="DV75" s="1777"/>
      <c r="DW75" s="1777"/>
      <c r="DX75" s="1779"/>
      <c r="DY75" s="1779"/>
      <c r="DZ75" s="1779"/>
      <c r="EA75" s="1779"/>
      <c r="EB75" s="1779"/>
      <c r="EC75" s="1779"/>
      <c r="ED75" s="1779"/>
      <c r="EE75" s="1779"/>
      <c r="EF75" s="1779"/>
      <c r="EG75" s="1779"/>
      <c r="EH75" s="1779"/>
      <c r="EI75" s="1779"/>
      <c r="EJ75" s="1779"/>
      <c r="EK75" s="1779"/>
      <c r="EL75" s="1779"/>
      <c r="EM75" s="1779"/>
      <c r="EN75" s="1779"/>
      <c r="EO75" s="1779"/>
      <c r="EP75" s="1779"/>
      <c r="EQ75" s="1779"/>
      <c r="ER75" s="1779"/>
      <c r="ES75" s="1779"/>
      <c r="ET75" s="1779"/>
      <c r="EU75" s="1779"/>
      <c r="EV75" s="1779"/>
      <c r="EW75" s="1779"/>
      <c r="EX75" s="1779"/>
      <c r="EY75" s="1779"/>
      <c r="EZ75" s="1779"/>
      <c r="FA75" s="1779"/>
      <c r="FB75" s="1779"/>
      <c r="FC75" s="1779"/>
      <c r="FD75" s="1779"/>
      <c r="FE75" s="1779"/>
      <c r="FF75" s="1779"/>
      <c r="FG75" s="1779"/>
      <c r="FH75" s="1779"/>
      <c r="FI75" s="1779"/>
      <c r="FJ75" s="1779"/>
      <c r="FK75" s="1779"/>
      <c r="FL75" s="1779"/>
      <c r="FM75" s="1779"/>
      <c r="FN75" s="1779"/>
      <c r="FO75" s="1779"/>
      <c r="FP75" s="1779"/>
      <c r="FQ75" s="1779"/>
      <c r="FR75" s="1779"/>
      <c r="FS75" s="1779"/>
      <c r="FT75" s="1779"/>
      <c r="FU75" s="1779"/>
      <c r="FV75" s="1779"/>
      <c r="FW75" s="1779"/>
      <c r="FX75" s="1779"/>
      <c r="FY75" s="1779"/>
      <c r="FZ75" s="1779"/>
      <c r="GA75" s="1779"/>
      <c r="XES75" s="1780"/>
      <c r="XET75" s="1780"/>
      <c r="XEU75" s="1780"/>
      <c r="XEV75" s="1780"/>
      <c r="XEW75" s="1780"/>
      <c r="XEX75" s="1780"/>
      <c r="XEY75" s="1780"/>
      <c r="XEZ75" s="1780"/>
      <c r="XFA75" s="1780"/>
      <c r="XFB75" s="1780"/>
      <c r="XFC75" s="1780"/>
      <c r="XFD75" s="1780"/>
    </row>
    <row r="76" s="1663" customFormat="1" ht="36" customHeight="1" spans="1:16384">
      <c r="A76" s="1693">
        <v>45896</v>
      </c>
      <c r="B76" s="1694" t="s">
        <v>1701</v>
      </c>
      <c r="C76" s="1695" t="s">
        <v>91</v>
      </c>
      <c r="D76" s="1696">
        <v>4500177996</v>
      </c>
      <c r="E76" s="1781" t="s">
        <v>1802</v>
      </c>
      <c r="F76" s="1782" t="s">
        <v>1803</v>
      </c>
      <c r="G76" s="1783" t="s">
        <v>1489</v>
      </c>
      <c r="H76" s="1783" t="s">
        <v>1490</v>
      </c>
      <c r="I76" s="1821" t="s">
        <v>1491</v>
      </c>
      <c r="J76" s="1783">
        <v>18</v>
      </c>
      <c r="K76" s="1697">
        <v>0</v>
      </c>
      <c r="L76" s="1697">
        <v>18</v>
      </c>
      <c r="M76" s="1709">
        <f t="shared" si="28"/>
        <v>1</v>
      </c>
      <c r="N76" s="1706">
        <v>45939</v>
      </c>
      <c r="O76" s="1711">
        <v>45936</v>
      </c>
      <c r="P76" s="1708"/>
      <c r="Q76" s="1708" t="s">
        <v>1480</v>
      </c>
      <c r="R76" s="1728" t="s">
        <v>1798</v>
      </c>
      <c r="S76" s="1727" t="s">
        <v>1785</v>
      </c>
      <c r="T76" s="1728"/>
      <c r="U76" s="1729" t="s">
        <v>1786</v>
      </c>
      <c r="V76" s="1721" t="s">
        <v>1654</v>
      </c>
      <c r="W76" s="1719" t="s">
        <v>1787</v>
      </c>
      <c r="X76" s="1720" t="s">
        <v>1592</v>
      </c>
      <c r="Y76" s="1739">
        <v>2.2046</v>
      </c>
      <c r="Z76" s="1740">
        <f t="shared" si="26"/>
        <v>39.6828</v>
      </c>
      <c r="AA76" s="1741" t="s">
        <v>1799</v>
      </c>
      <c r="AB76" s="1741">
        <v>18</v>
      </c>
      <c r="AC76" s="1741">
        <f t="shared" si="27"/>
        <v>0</v>
      </c>
      <c r="AD76" s="1741" t="s">
        <v>327</v>
      </c>
      <c r="AE76" s="1742" t="s">
        <v>63</v>
      </c>
      <c r="AF76" s="1742" t="s">
        <v>38</v>
      </c>
      <c r="AG76" s="1720">
        <f t="shared" si="29"/>
        <v>18</v>
      </c>
      <c r="AH76" s="1720">
        <f t="shared" si="30"/>
        <v>18</v>
      </c>
      <c r="AI76" s="1754">
        <f t="shared" si="31"/>
        <v>18</v>
      </c>
      <c r="AJ76" s="1755"/>
      <c r="AK76" s="1756"/>
      <c r="AL76" s="1756">
        <f t="shared" si="32"/>
        <v>18</v>
      </c>
      <c r="AM76" s="1756"/>
      <c r="AN76" s="1756"/>
      <c r="AO76" s="1771"/>
      <c r="AP76" s="1771"/>
      <c r="AQ76" s="1772"/>
      <c r="AR76" s="1773"/>
      <c r="AS76" s="1754"/>
      <c r="AT76" s="1773"/>
      <c r="AU76" s="1774">
        <f t="shared" si="33"/>
        <v>18</v>
      </c>
      <c r="AV76" s="1775"/>
      <c r="AW76" s="1777"/>
      <c r="AX76" s="1777"/>
      <c r="AY76" s="1777"/>
      <c r="AZ76" s="1777"/>
      <c r="BA76" s="1777"/>
      <c r="BB76" s="1777"/>
      <c r="BC76" s="1777"/>
      <c r="BD76" s="1777"/>
      <c r="BE76" s="1777"/>
      <c r="BF76" s="1777"/>
      <c r="BG76" s="1777"/>
      <c r="BH76" s="1777"/>
      <c r="BI76" s="1777"/>
      <c r="BJ76" s="1777"/>
      <c r="BK76" s="1777"/>
      <c r="BL76" s="1777"/>
      <c r="BM76" s="1777"/>
      <c r="BN76" s="1777"/>
      <c r="BO76" s="1777"/>
      <c r="BP76" s="1777"/>
      <c r="BQ76" s="1777"/>
      <c r="BR76" s="1777"/>
      <c r="BS76" s="1777"/>
      <c r="BT76" s="1777"/>
      <c r="BU76" s="1777"/>
      <c r="BV76" s="1777"/>
      <c r="BW76" s="1777"/>
      <c r="BX76" s="1777"/>
      <c r="BY76" s="1777"/>
      <c r="BZ76" s="1777"/>
      <c r="CA76" s="1777"/>
      <c r="CB76" s="1777"/>
      <c r="CC76" s="1777"/>
      <c r="CD76" s="1777"/>
      <c r="CE76" s="1777"/>
      <c r="CF76" s="1777"/>
      <c r="CG76" s="1777"/>
      <c r="CH76" s="1777"/>
      <c r="CI76" s="1777"/>
      <c r="CJ76" s="1777"/>
      <c r="CK76" s="1777"/>
      <c r="CL76" s="1777"/>
      <c r="CM76" s="1777"/>
      <c r="CN76" s="1777"/>
      <c r="CO76" s="1777"/>
      <c r="CP76" s="1777"/>
      <c r="CQ76" s="1777"/>
      <c r="CR76" s="1777"/>
      <c r="CS76" s="1777"/>
      <c r="CT76" s="1777"/>
      <c r="CU76" s="1777"/>
      <c r="CV76" s="1777"/>
      <c r="CW76" s="1777"/>
      <c r="CX76" s="1777"/>
      <c r="CY76" s="1777"/>
      <c r="CZ76" s="1777"/>
      <c r="DA76" s="1777"/>
      <c r="DB76" s="1777"/>
      <c r="DC76" s="1777"/>
      <c r="DD76" s="1777"/>
      <c r="DE76" s="1777"/>
      <c r="DF76" s="1777"/>
      <c r="DG76" s="1777"/>
      <c r="DH76" s="1777"/>
      <c r="DI76" s="1777"/>
      <c r="DJ76" s="1777"/>
      <c r="DK76" s="1777"/>
      <c r="DL76" s="1777"/>
      <c r="DM76" s="1777"/>
      <c r="DN76" s="1777"/>
      <c r="DO76" s="1777"/>
      <c r="DP76" s="1777"/>
      <c r="DQ76" s="1777"/>
      <c r="DR76" s="1777"/>
      <c r="DS76" s="1777"/>
      <c r="DT76" s="1777"/>
      <c r="DU76" s="1777"/>
      <c r="DV76" s="1777"/>
      <c r="DW76" s="1777"/>
      <c r="DX76" s="1779"/>
      <c r="DY76" s="1779"/>
      <c r="DZ76" s="1779"/>
      <c r="EA76" s="1779"/>
      <c r="EB76" s="1779"/>
      <c r="EC76" s="1779"/>
      <c r="ED76" s="1779"/>
      <c r="EE76" s="1779"/>
      <c r="EF76" s="1779"/>
      <c r="EG76" s="1779"/>
      <c r="EH76" s="1779"/>
      <c r="EI76" s="1779"/>
      <c r="EJ76" s="1779"/>
      <c r="EK76" s="1779"/>
      <c r="EL76" s="1779"/>
      <c r="EM76" s="1779"/>
      <c r="EN76" s="1779"/>
      <c r="EO76" s="1779"/>
      <c r="EP76" s="1779"/>
      <c r="EQ76" s="1779"/>
      <c r="ER76" s="1779"/>
      <c r="ES76" s="1779"/>
      <c r="ET76" s="1779"/>
      <c r="EU76" s="1779"/>
      <c r="EV76" s="1779"/>
      <c r="EW76" s="1779"/>
      <c r="EX76" s="1779"/>
      <c r="EY76" s="1779"/>
      <c r="EZ76" s="1779"/>
      <c r="FA76" s="1779"/>
      <c r="FB76" s="1779"/>
      <c r="FC76" s="1779"/>
      <c r="FD76" s="1779"/>
      <c r="FE76" s="1779"/>
      <c r="FF76" s="1779"/>
      <c r="FG76" s="1779"/>
      <c r="FH76" s="1779"/>
      <c r="FI76" s="1779"/>
      <c r="FJ76" s="1779"/>
      <c r="FK76" s="1779"/>
      <c r="FL76" s="1779"/>
      <c r="FM76" s="1779"/>
      <c r="FN76" s="1779"/>
      <c r="FO76" s="1779"/>
      <c r="FP76" s="1779"/>
      <c r="FQ76" s="1779"/>
      <c r="FR76" s="1779"/>
      <c r="FS76" s="1779"/>
      <c r="FT76" s="1779"/>
      <c r="FU76" s="1779"/>
      <c r="FV76" s="1779"/>
      <c r="FW76" s="1779"/>
      <c r="FX76" s="1779"/>
      <c r="FY76" s="1779"/>
      <c r="FZ76" s="1779"/>
      <c r="GA76" s="1779"/>
      <c r="XES76" s="1780"/>
      <c r="XET76" s="1780"/>
      <c r="XEU76" s="1780"/>
      <c r="XEV76" s="1780"/>
      <c r="XEW76" s="1780"/>
      <c r="XEX76" s="1780"/>
      <c r="XEY76" s="1780"/>
      <c r="XEZ76" s="1780"/>
      <c r="XFA76" s="1780"/>
      <c r="XFB76" s="1780"/>
      <c r="XFC76" s="1780"/>
      <c r="XFD76" s="1780"/>
    </row>
    <row r="77" s="1663" customFormat="1" ht="36" customHeight="1" spans="1:16384">
      <c r="A77" s="1693">
        <v>45897</v>
      </c>
      <c r="B77" s="1694" t="s">
        <v>1516</v>
      </c>
      <c r="C77" s="1695" t="s">
        <v>91</v>
      </c>
      <c r="D77" s="1696">
        <v>4500178115</v>
      </c>
      <c r="E77" s="1694">
        <v>11874313</v>
      </c>
      <c r="F77" s="1696" t="s">
        <v>1804</v>
      </c>
      <c r="G77" s="1697" t="s">
        <v>1518</v>
      </c>
      <c r="H77" s="1697" t="s">
        <v>1519</v>
      </c>
      <c r="I77" s="1704" t="s">
        <v>1479</v>
      </c>
      <c r="J77" s="1697">
        <v>222</v>
      </c>
      <c r="K77" s="1697">
        <v>0</v>
      </c>
      <c r="L77" s="1697">
        <v>6</v>
      </c>
      <c r="M77" s="1705">
        <f t="shared" si="28"/>
        <v>37</v>
      </c>
      <c r="N77" s="1706">
        <v>45954</v>
      </c>
      <c r="O77" s="1711">
        <v>45950</v>
      </c>
      <c r="P77" s="1708"/>
      <c r="Q77" s="1708" t="s">
        <v>1480</v>
      </c>
      <c r="R77" s="1708" t="s">
        <v>1805</v>
      </c>
      <c r="S77" s="1727" t="s">
        <v>1806</v>
      </c>
      <c r="T77" s="1728"/>
      <c r="U77" s="1729" t="s">
        <v>1807</v>
      </c>
      <c r="V77" s="1721" t="s">
        <v>1522</v>
      </c>
      <c r="W77" s="1719" t="s">
        <v>1808</v>
      </c>
      <c r="X77" s="1720" t="s">
        <v>1809</v>
      </c>
      <c r="Y77" s="1739">
        <v>0.9545</v>
      </c>
      <c r="Z77" s="1740">
        <f t="shared" si="26"/>
        <v>211.899</v>
      </c>
      <c r="AA77" s="1741" t="s">
        <v>1810</v>
      </c>
      <c r="AB77" s="1741">
        <v>222</v>
      </c>
      <c r="AC77" s="1741">
        <f t="shared" si="27"/>
        <v>0</v>
      </c>
      <c r="AD77" s="1741" t="s">
        <v>81</v>
      </c>
      <c r="AE77" s="1742" t="s">
        <v>63</v>
      </c>
      <c r="AF77" s="1742" t="s">
        <v>38</v>
      </c>
      <c r="AG77" s="1720">
        <f t="shared" ref="AG77:AG87" si="34">J77/3</f>
        <v>74</v>
      </c>
      <c r="AH77" s="1720">
        <f t="shared" ref="AH77:AH87" si="35">J77/3</f>
        <v>74</v>
      </c>
      <c r="AI77" s="1754">
        <f t="shared" ref="AI77:AI87" si="36">J77/3</f>
        <v>74</v>
      </c>
      <c r="AJ77" s="1755">
        <f t="shared" ref="AJ77:AJ87" si="37">J77</f>
        <v>222</v>
      </c>
      <c r="AK77" s="1756"/>
      <c r="AL77" s="1756">
        <f t="shared" si="32"/>
        <v>222</v>
      </c>
      <c r="AM77" s="1756">
        <f t="shared" ref="AM77:AM82" si="38">J77/6</f>
        <v>37</v>
      </c>
      <c r="AN77" s="1756"/>
      <c r="AO77" s="1771"/>
      <c r="AP77" s="1771"/>
      <c r="AQ77" s="1772"/>
      <c r="AR77" s="1773"/>
      <c r="AS77" s="1754"/>
      <c r="AT77" s="1773"/>
      <c r="AU77" s="1774"/>
      <c r="AV77" s="1775"/>
      <c r="AW77" s="1777"/>
      <c r="AX77" s="1777"/>
      <c r="AY77" s="1777"/>
      <c r="AZ77" s="1777"/>
      <c r="BA77" s="1777"/>
      <c r="BB77" s="1777"/>
      <c r="BC77" s="1777"/>
      <c r="BD77" s="1777"/>
      <c r="BE77" s="1777"/>
      <c r="BF77" s="1777"/>
      <c r="BG77" s="1777"/>
      <c r="BH77" s="1777"/>
      <c r="BI77" s="1777"/>
      <c r="BJ77" s="1777"/>
      <c r="BK77" s="1777"/>
      <c r="BL77" s="1777"/>
      <c r="BM77" s="1777"/>
      <c r="BN77" s="1777"/>
      <c r="BO77" s="1777"/>
      <c r="BP77" s="1777"/>
      <c r="BQ77" s="1777"/>
      <c r="BR77" s="1777"/>
      <c r="BS77" s="1777"/>
      <c r="BT77" s="1777"/>
      <c r="BU77" s="1777"/>
      <c r="BV77" s="1777"/>
      <c r="BW77" s="1777"/>
      <c r="BX77" s="1777"/>
      <c r="BY77" s="1777"/>
      <c r="BZ77" s="1777"/>
      <c r="CA77" s="1777"/>
      <c r="CB77" s="1777"/>
      <c r="CC77" s="1777"/>
      <c r="CD77" s="1777"/>
      <c r="CE77" s="1777"/>
      <c r="CF77" s="1777"/>
      <c r="CG77" s="1777"/>
      <c r="CH77" s="1777"/>
      <c r="CI77" s="1777"/>
      <c r="CJ77" s="1777"/>
      <c r="CK77" s="1777"/>
      <c r="CL77" s="1777"/>
      <c r="CM77" s="1777"/>
      <c r="CN77" s="1777"/>
      <c r="CO77" s="1777"/>
      <c r="CP77" s="1777"/>
      <c r="CQ77" s="1777"/>
      <c r="CR77" s="1777"/>
      <c r="CS77" s="1777"/>
      <c r="CT77" s="1777"/>
      <c r="CU77" s="1777"/>
      <c r="CV77" s="1777"/>
      <c r="CW77" s="1777"/>
      <c r="CX77" s="1777"/>
      <c r="CY77" s="1777"/>
      <c r="CZ77" s="1777"/>
      <c r="DA77" s="1777"/>
      <c r="DB77" s="1777"/>
      <c r="DC77" s="1777"/>
      <c r="DD77" s="1777"/>
      <c r="DE77" s="1777"/>
      <c r="DF77" s="1777"/>
      <c r="DG77" s="1777"/>
      <c r="DH77" s="1777"/>
      <c r="DI77" s="1777"/>
      <c r="DJ77" s="1777"/>
      <c r="DK77" s="1777"/>
      <c r="DL77" s="1777"/>
      <c r="DM77" s="1777"/>
      <c r="DN77" s="1777"/>
      <c r="DO77" s="1777"/>
      <c r="DP77" s="1777"/>
      <c r="DQ77" s="1777"/>
      <c r="DR77" s="1777"/>
      <c r="DS77" s="1777"/>
      <c r="DT77" s="1777"/>
      <c r="DU77" s="1777"/>
      <c r="DV77" s="1777"/>
      <c r="DW77" s="1777"/>
      <c r="DX77" s="1779"/>
      <c r="DY77" s="1779"/>
      <c r="DZ77" s="1779"/>
      <c r="EA77" s="1779"/>
      <c r="EB77" s="1779"/>
      <c r="EC77" s="1779"/>
      <c r="ED77" s="1779"/>
      <c r="EE77" s="1779"/>
      <c r="EF77" s="1779"/>
      <c r="EG77" s="1779"/>
      <c r="EH77" s="1779"/>
      <c r="EI77" s="1779"/>
      <c r="EJ77" s="1779"/>
      <c r="EK77" s="1779"/>
      <c r="EL77" s="1779"/>
      <c r="EM77" s="1779"/>
      <c r="EN77" s="1779"/>
      <c r="EO77" s="1779"/>
      <c r="EP77" s="1779"/>
      <c r="EQ77" s="1779"/>
      <c r="ER77" s="1779"/>
      <c r="ES77" s="1779"/>
      <c r="ET77" s="1779"/>
      <c r="EU77" s="1779"/>
      <c r="EV77" s="1779"/>
      <c r="EW77" s="1779"/>
      <c r="EX77" s="1779"/>
      <c r="EY77" s="1779"/>
      <c r="EZ77" s="1779"/>
      <c r="FA77" s="1779"/>
      <c r="FB77" s="1779"/>
      <c r="FC77" s="1779"/>
      <c r="FD77" s="1779"/>
      <c r="FE77" s="1779"/>
      <c r="FF77" s="1779"/>
      <c r="FG77" s="1779"/>
      <c r="FH77" s="1779"/>
      <c r="FI77" s="1779"/>
      <c r="FJ77" s="1779"/>
      <c r="FK77" s="1779"/>
      <c r="FL77" s="1779"/>
      <c r="FM77" s="1779"/>
      <c r="FN77" s="1779"/>
      <c r="FO77" s="1779"/>
      <c r="FP77" s="1779"/>
      <c r="FQ77" s="1779"/>
      <c r="FR77" s="1779"/>
      <c r="FS77" s="1779"/>
      <c r="FT77" s="1779"/>
      <c r="FU77" s="1779"/>
      <c r="FV77" s="1779"/>
      <c r="FW77" s="1779"/>
      <c r="FX77" s="1779"/>
      <c r="FY77" s="1779"/>
      <c r="FZ77" s="1779"/>
      <c r="GA77" s="1779"/>
      <c r="XES77" s="1780"/>
      <c r="XET77" s="1780"/>
      <c r="XEU77" s="1780"/>
      <c r="XEV77" s="1780"/>
      <c r="XEW77" s="1780"/>
      <c r="XEX77" s="1780"/>
      <c r="XEY77" s="1780"/>
      <c r="XEZ77" s="1780"/>
      <c r="XFA77" s="1780"/>
      <c r="XFB77" s="1780"/>
      <c r="XFC77" s="1780"/>
      <c r="XFD77" s="1780"/>
    </row>
    <row r="78" s="1663" customFormat="1" ht="36" customHeight="1" spans="1:16384">
      <c r="A78" s="1693">
        <v>45908</v>
      </c>
      <c r="B78" s="1694" t="s">
        <v>1516</v>
      </c>
      <c r="C78" s="1695" t="s">
        <v>91</v>
      </c>
      <c r="D78" s="1696">
        <v>4500179025</v>
      </c>
      <c r="E78" s="1694">
        <v>11874305</v>
      </c>
      <c r="F78" s="1696" t="s">
        <v>1811</v>
      </c>
      <c r="G78" s="1697" t="s">
        <v>1518</v>
      </c>
      <c r="H78" s="1697" t="s">
        <v>1519</v>
      </c>
      <c r="I78" s="1704" t="s">
        <v>1479</v>
      </c>
      <c r="J78" s="1697">
        <v>258</v>
      </c>
      <c r="K78" s="1697">
        <v>0</v>
      </c>
      <c r="L78" s="1697">
        <v>6</v>
      </c>
      <c r="M78" s="1705">
        <f t="shared" si="28"/>
        <v>43</v>
      </c>
      <c r="N78" s="1706">
        <v>45954</v>
      </c>
      <c r="O78" s="1711">
        <v>45950</v>
      </c>
      <c r="P78" s="1708"/>
      <c r="Q78" s="1708" t="s">
        <v>1480</v>
      </c>
      <c r="R78" s="1708" t="s">
        <v>1805</v>
      </c>
      <c r="S78" s="1727" t="s">
        <v>1806</v>
      </c>
      <c r="T78" s="1728"/>
      <c r="U78" s="1729" t="s">
        <v>1807</v>
      </c>
      <c r="V78" s="1721" t="s">
        <v>1522</v>
      </c>
      <c r="W78" s="1719" t="s">
        <v>1808</v>
      </c>
      <c r="X78" s="1720" t="s">
        <v>1809</v>
      </c>
      <c r="Y78" s="1739">
        <v>0.9545</v>
      </c>
      <c r="Z78" s="1740">
        <f t="shared" si="26"/>
        <v>246.261</v>
      </c>
      <c r="AA78" s="1741" t="s">
        <v>1812</v>
      </c>
      <c r="AB78" s="1741">
        <v>258</v>
      </c>
      <c r="AC78" s="1741">
        <f t="shared" si="27"/>
        <v>0</v>
      </c>
      <c r="AD78" s="1741" t="s">
        <v>81</v>
      </c>
      <c r="AE78" s="1742" t="s">
        <v>63</v>
      </c>
      <c r="AF78" s="1742" t="s">
        <v>38</v>
      </c>
      <c r="AG78" s="1720">
        <f t="shared" si="34"/>
        <v>86</v>
      </c>
      <c r="AH78" s="1720">
        <f t="shared" si="35"/>
        <v>86</v>
      </c>
      <c r="AI78" s="1754">
        <f t="shared" si="36"/>
        <v>86</v>
      </c>
      <c r="AJ78" s="1755">
        <f t="shared" si="37"/>
        <v>258</v>
      </c>
      <c r="AK78" s="1756"/>
      <c r="AL78" s="1756">
        <f t="shared" si="32"/>
        <v>258</v>
      </c>
      <c r="AM78" s="1756">
        <f t="shared" si="38"/>
        <v>43</v>
      </c>
      <c r="AN78" s="1756"/>
      <c r="AO78" s="1771"/>
      <c r="AP78" s="1771"/>
      <c r="AQ78" s="1772"/>
      <c r="AR78" s="1773"/>
      <c r="AS78" s="1754"/>
      <c r="AT78" s="1773"/>
      <c r="AU78" s="1774"/>
      <c r="AV78" s="1775"/>
      <c r="AW78" s="1777"/>
      <c r="AX78" s="1777"/>
      <c r="AY78" s="1777"/>
      <c r="AZ78" s="1777"/>
      <c r="BA78" s="1777"/>
      <c r="BB78" s="1777"/>
      <c r="BC78" s="1777"/>
      <c r="BD78" s="1777"/>
      <c r="BE78" s="1777"/>
      <c r="BF78" s="1777"/>
      <c r="BG78" s="1777"/>
      <c r="BH78" s="1777"/>
      <c r="BI78" s="1777"/>
      <c r="BJ78" s="1777"/>
      <c r="BK78" s="1777"/>
      <c r="BL78" s="1777"/>
      <c r="BM78" s="1777"/>
      <c r="BN78" s="1777"/>
      <c r="BO78" s="1777"/>
      <c r="BP78" s="1777"/>
      <c r="BQ78" s="1777"/>
      <c r="BR78" s="1777"/>
      <c r="BS78" s="1777"/>
      <c r="BT78" s="1777"/>
      <c r="BU78" s="1777"/>
      <c r="BV78" s="1777"/>
      <c r="BW78" s="1777"/>
      <c r="BX78" s="1777"/>
      <c r="BY78" s="1777"/>
      <c r="BZ78" s="1777"/>
      <c r="CA78" s="1777"/>
      <c r="CB78" s="1777"/>
      <c r="CC78" s="1777"/>
      <c r="CD78" s="1777"/>
      <c r="CE78" s="1777"/>
      <c r="CF78" s="1777"/>
      <c r="CG78" s="1777"/>
      <c r="CH78" s="1777"/>
      <c r="CI78" s="1777"/>
      <c r="CJ78" s="1777"/>
      <c r="CK78" s="1777"/>
      <c r="CL78" s="1777"/>
      <c r="CM78" s="1777"/>
      <c r="CN78" s="1777"/>
      <c r="CO78" s="1777"/>
      <c r="CP78" s="1777"/>
      <c r="CQ78" s="1777"/>
      <c r="CR78" s="1777"/>
      <c r="CS78" s="1777"/>
      <c r="CT78" s="1777"/>
      <c r="CU78" s="1777"/>
      <c r="CV78" s="1777"/>
      <c r="CW78" s="1777"/>
      <c r="CX78" s="1777"/>
      <c r="CY78" s="1777"/>
      <c r="CZ78" s="1777"/>
      <c r="DA78" s="1777"/>
      <c r="DB78" s="1777"/>
      <c r="DC78" s="1777"/>
      <c r="DD78" s="1777"/>
      <c r="DE78" s="1777"/>
      <c r="DF78" s="1777"/>
      <c r="DG78" s="1777"/>
      <c r="DH78" s="1777"/>
      <c r="DI78" s="1777"/>
      <c r="DJ78" s="1777"/>
      <c r="DK78" s="1777"/>
      <c r="DL78" s="1777"/>
      <c r="DM78" s="1777"/>
      <c r="DN78" s="1777"/>
      <c r="DO78" s="1777"/>
      <c r="DP78" s="1777"/>
      <c r="DQ78" s="1777"/>
      <c r="DR78" s="1777"/>
      <c r="DS78" s="1777"/>
      <c r="DT78" s="1777"/>
      <c r="DU78" s="1777"/>
      <c r="DV78" s="1777"/>
      <c r="DW78" s="1777"/>
      <c r="DX78" s="1779"/>
      <c r="DY78" s="1779"/>
      <c r="DZ78" s="1779"/>
      <c r="EA78" s="1779"/>
      <c r="EB78" s="1779"/>
      <c r="EC78" s="1779"/>
      <c r="ED78" s="1779"/>
      <c r="EE78" s="1779"/>
      <c r="EF78" s="1779"/>
      <c r="EG78" s="1779"/>
      <c r="EH78" s="1779"/>
      <c r="EI78" s="1779"/>
      <c r="EJ78" s="1779"/>
      <c r="EK78" s="1779"/>
      <c r="EL78" s="1779"/>
      <c r="EM78" s="1779"/>
      <c r="EN78" s="1779"/>
      <c r="EO78" s="1779"/>
      <c r="EP78" s="1779"/>
      <c r="EQ78" s="1779"/>
      <c r="ER78" s="1779"/>
      <c r="ES78" s="1779"/>
      <c r="ET78" s="1779"/>
      <c r="EU78" s="1779"/>
      <c r="EV78" s="1779"/>
      <c r="EW78" s="1779"/>
      <c r="EX78" s="1779"/>
      <c r="EY78" s="1779"/>
      <c r="EZ78" s="1779"/>
      <c r="FA78" s="1779"/>
      <c r="FB78" s="1779"/>
      <c r="FC78" s="1779"/>
      <c r="FD78" s="1779"/>
      <c r="FE78" s="1779"/>
      <c r="FF78" s="1779"/>
      <c r="FG78" s="1779"/>
      <c r="FH78" s="1779"/>
      <c r="FI78" s="1779"/>
      <c r="FJ78" s="1779"/>
      <c r="FK78" s="1779"/>
      <c r="FL78" s="1779"/>
      <c r="FM78" s="1779"/>
      <c r="FN78" s="1779"/>
      <c r="FO78" s="1779"/>
      <c r="FP78" s="1779"/>
      <c r="FQ78" s="1779"/>
      <c r="FR78" s="1779"/>
      <c r="FS78" s="1779"/>
      <c r="FT78" s="1779"/>
      <c r="FU78" s="1779"/>
      <c r="FV78" s="1779"/>
      <c r="FW78" s="1779"/>
      <c r="FX78" s="1779"/>
      <c r="FY78" s="1779"/>
      <c r="FZ78" s="1779"/>
      <c r="GA78" s="1779"/>
      <c r="XES78" s="1780"/>
      <c r="XET78" s="1780"/>
      <c r="XEU78" s="1780"/>
      <c r="XEV78" s="1780"/>
      <c r="XEW78" s="1780"/>
      <c r="XEX78" s="1780"/>
      <c r="XEY78" s="1780"/>
      <c r="XEZ78" s="1780"/>
      <c r="XFA78" s="1780"/>
      <c r="XFB78" s="1780"/>
      <c r="XFC78" s="1780"/>
      <c r="XFD78" s="1780"/>
    </row>
    <row r="79" s="1663" customFormat="1" ht="36" customHeight="1" spans="1:16384">
      <c r="A79" s="1693">
        <v>45940</v>
      </c>
      <c r="B79" s="1694" t="s">
        <v>1813</v>
      </c>
      <c r="C79" s="1695" t="s">
        <v>91</v>
      </c>
      <c r="D79" s="1696">
        <v>4500181336</v>
      </c>
      <c r="E79" s="1694">
        <v>84006700</v>
      </c>
      <c r="F79" s="1696" t="s">
        <v>1814</v>
      </c>
      <c r="G79" s="1697" t="s">
        <v>1567</v>
      </c>
      <c r="H79" s="1697" t="s">
        <v>1568</v>
      </c>
      <c r="I79" s="1704" t="s">
        <v>1479</v>
      </c>
      <c r="J79" s="1697">
        <v>1512</v>
      </c>
      <c r="K79" s="1697">
        <v>0</v>
      </c>
      <c r="L79" s="1697">
        <v>24</v>
      </c>
      <c r="M79" s="1705">
        <f t="shared" si="28"/>
        <v>63</v>
      </c>
      <c r="N79" s="1706">
        <v>46006</v>
      </c>
      <c r="O79" s="1711">
        <v>46002</v>
      </c>
      <c r="P79" s="1708"/>
      <c r="Q79" s="1708" t="s">
        <v>1480</v>
      </c>
      <c r="R79" s="1708"/>
      <c r="S79" s="1727" t="s">
        <v>1026</v>
      </c>
      <c r="T79" s="1728"/>
      <c r="U79" s="1729" t="s">
        <v>58</v>
      </c>
      <c r="V79" s="1721" t="s">
        <v>1815</v>
      </c>
      <c r="W79" s="1719" t="s">
        <v>725</v>
      </c>
      <c r="X79" s="1720" t="s">
        <v>350</v>
      </c>
      <c r="Y79" s="1739">
        <v>0.9312</v>
      </c>
      <c r="Z79" s="1740">
        <f t="shared" si="26"/>
        <v>1407.9744</v>
      </c>
      <c r="AA79" s="1741"/>
      <c r="AB79" s="1741">
        <v>1512</v>
      </c>
      <c r="AC79" s="1741">
        <f t="shared" si="27"/>
        <v>0</v>
      </c>
      <c r="AD79" s="1741" t="s">
        <v>58</v>
      </c>
      <c r="AE79" s="1742" t="s">
        <v>63</v>
      </c>
      <c r="AF79" s="1742" t="s">
        <v>38</v>
      </c>
      <c r="AG79" s="1720">
        <f t="shared" si="34"/>
        <v>504</v>
      </c>
      <c r="AH79" s="1720">
        <f t="shared" si="35"/>
        <v>504</v>
      </c>
      <c r="AI79" s="1754">
        <f t="shared" si="36"/>
        <v>504</v>
      </c>
      <c r="AJ79" s="1755">
        <f t="shared" si="37"/>
        <v>1512</v>
      </c>
      <c r="AK79" s="1756"/>
      <c r="AL79" s="1756">
        <f t="shared" si="32"/>
        <v>1512</v>
      </c>
      <c r="AM79" s="1756">
        <f t="shared" si="38"/>
        <v>252</v>
      </c>
      <c r="AN79" s="1756"/>
      <c r="AO79" s="1771"/>
      <c r="AP79" s="1771"/>
      <c r="AQ79" s="1772"/>
      <c r="AR79" s="1773"/>
      <c r="AS79" s="1754"/>
      <c r="AT79" s="1773"/>
      <c r="AU79" s="1774"/>
      <c r="AV79" s="1775"/>
      <c r="AW79" s="1777"/>
      <c r="AX79" s="1777"/>
      <c r="AY79" s="1777"/>
      <c r="AZ79" s="1777"/>
      <c r="BA79" s="1777"/>
      <c r="BB79" s="1777"/>
      <c r="BC79" s="1777"/>
      <c r="BD79" s="1777"/>
      <c r="BE79" s="1777"/>
      <c r="BF79" s="1777"/>
      <c r="BG79" s="1777"/>
      <c r="BH79" s="1777"/>
      <c r="BI79" s="1777"/>
      <c r="BJ79" s="1777"/>
      <c r="BK79" s="1777"/>
      <c r="BL79" s="1777"/>
      <c r="BM79" s="1777"/>
      <c r="BN79" s="1777"/>
      <c r="BO79" s="1777"/>
      <c r="BP79" s="1777"/>
      <c r="BQ79" s="1777"/>
      <c r="BR79" s="1777"/>
      <c r="BS79" s="1777"/>
      <c r="BT79" s="1777"/>
      <c r="BU79" s="1777"/>
      <c r="BV79" s="1777"/>
      <c r="BW79" s="1777"/>
      <c r="BX79" s="1777"/>
      <c r="BY79" s="1777"/>
      <c r="BZ79" s="1777"/>
      <c r="CA79" s="1777"/>
      <c r="CB79" s="1777"/>
      <c r="CC79" s="1777"/>
      <c r="CD79" s="1777"/>
      <c r="CE79" s="1777"/>
      <c r="CF79" s="1777"/>
      <c r="CG79" s="1777"/>
      <c r="CH79" s="1777"/>
      <c r="CI79" s="1777"/>
      <c r="CJ79" s="1777"/>
      <c r="CK79" s="1777"/>
      <c r="CL79" s="1777"/>
      <c r="CM79" s="1777"/>
      <c r="CN79" s="1777"/>
      <c r="CO79" s="1777"/>
      <c r="CP79" s="1777"/>
      <c r="CQ79" s="1777"/>
      <c r="CR79" s="1777"/>
      <c r="CS79" s="1777"/>
      <c r="CT79" s="1777"/>
      <c r="CU79" s="1777"/>
      <c r="CV79" s="1777"/>
      <c r="CW79" s="1777"/>
      <c r="CX79" s="1777"/>
      <c r="CY79" s="1777"/>
      <c r="CZ79" s="1777"/>
      <c r="DA79" s="1777"/>
      <c r="DB79" s="1777"/>
      <c r="DC79" s="1777"/>
      <c r="DD79" s="1777"/>
      <c r="DE79" s="1777"/>
      <c r="DF79" s="1777"/>
      <c r="DG79" s="1777"/>
      <c r="DH79" s="1777"/>
      <c r="DI79" s="1777"/>
      <c r="DJ79" s="1777"/>
      <c r="DK79" s="1777"/>
      <c r="DL79" s="1777"/>
      <c r="DM79" s="1777"/>
      <c r="DN79" s="1777"/>
      <c r="DO79" s="1777"/>
      <c r="DP79" s="1777"/>
      <c r="DQ79" s="1777"/>
      <c r="DR79" s="1777"/>
      <c r="DS79" s="1777"/>
      <c r="DT79" s="1777"/>
      <c r="DU79" s="1777"/>
      <c r="DV79" s="1777"/>
      <c r="DW79" s="1777"/>
      <c r="DX79" s="1779"/>
      <c r="DY79" s="1779"/>
      <c r="DZ79" s="1779"/>
      <c r="EA79" s="1779"/>
      <c r="EB79" s="1779"/>
      <c r="EC79" s="1779"/>
      <c r="ED79" s="1779"/>
      <c r="EE79" s="1779"/>
      <c r="EF79" s="1779"/>
      <c r="EG79" s="1779"/>
      <c r="EH79" s="1779"/>
      <c r="EI79" s="1779"/>
      <c r="EJ79" s="1779"/>
      <c r="EK79" s="1779"/>
      <c r="EL79" s="1779"/>
      <c r="EM79" s="1779"/>
      <c r="EN79" s="1779"/>
      <c r="EO79" s="1779"/>
      <c r="EP79" s="1779"/>
      <c r="EQ79" s="1779"/>
      <c r="ER79" s="1779"/>
      <c r="ES79" s="1779"/>
      <c r="ET79" s="1779"/>
      <c r="EU79" s="1779"/>
      <c r="EV79" s="1779"/>
      <c r="EW79" s="1779"/>
      <c r="EX79" s="1779"/>
      <c r="EY79" s="1779"/>
      <c r="EZ79" s="1779"/>
      <c r="FA79" s="1779"/>
      <c r="FB79" s="1779"/>
      <c r="FC79" s="1779"/>
      <c r="FD79" s="1779"/>
      <c r="FE79" s="1779"/>
      <c r="FF79" s="1779"/>
      <c r="FG79" s="1779"/>
      <c r="FH79" s="1779"/>
      <c r="FI79" s="1779"/>
      <c r="FJ79" s="1779"/>
      <c r="FK79" s="1779"/>
      <c r="FL79" s="1779"/>
      <c r="FM79" s="1779"/>
      <c r="FN79" s="1779"/>
      <c r="FO79" s="1779"/>
      <c r="FP79" s="1779"/>
      <c r="FQ79" s="1779"/>
      <c r="FR79" s="1779"/>
      <c r="FS79" s="1779"/>
      <c r="FT79" s="1779"/>
      <c r="FU79" s="1779"/>
      <c r="FV79" s="1779"/>
      <c r="FW79" s="1779"/>
      <c r="FX79" s="1779"/>
      <c r="FY79" s="1779"/>
      <c r="FZ79" s="1779"/>
      <c r="GA79" s="1779"/>
      <c r="XES79" s="1780"/>
      <c r="XET79" s="1780"/>
      <c r="XEU79" s="1780"/>
      <c r="XEV79" s="1780"/>
      <c r="XEW79" s="1780"/>
      <c r="XEX79" s="1780"/>
      <c r="XEY79" s="1780"/>
      <c r="XEZ79" s="1780"/>
      <c r="XFA79" s="1780"/>
      <c r="XFB79" s="1780"/>
      <c r="XFC79" s="1780"/>
      <c r="XFD79" s="1780"/>
    </row>
    <row r="80" s="1664" customFormat="1" ht="36" customHeight="1" spans="1:16384">
      <c r="A80" s="1784">
        <v>45915</v>
      </c>
      <c r="B80" s="1785" t="s">
        <v>1516</v>
      </c>
      <c r="C80" s="1786" t="s">
        <v>91</v>
      </c>
      <c r="D80" s="1787">
        <v>4500179509</v>
      </c>
      <c r="E80" s="1785">
        <v>11919214</v>
      </c>
      <c r="F80" s="1788" t="s">
        <v>1816</v>
      </c>
      <c r="G80" s="1789" t="s">
        <v>1518</v>
      </c>
      <c r="H80" s="1789" t="s">
        <v>1519</v>
      </c>
      <c r="I80" s="1410" t="s">
        <v>1479</v>
      </c>
      <c r="J80" s="1789">
        <v>174</v>
      </c>
      <c r="K80" s="1789">
        <v>0</v>
      </c>
      <c r="L80" s="1789">
        <v>6</v>
      </c>
      <c r="M80" s="1822">
        <f t="shared" si="28"/>
        <v>29</v>
      </c>
      <c r="N80" s="1823">
        <v>45999</v>
      </c>
      <c r="O80" s="1824">
        <v>45995</v>
      </c>
      <c r="P80" s="1825"/>
      <c r="Q80" s="1825" t="s">
        <v>1480</v>
      </c>
      <c r="R80" s="1825" t="s">
        <v>1817</v>
      </c>
      <c r="S80" s="1845" t="s">
        <v>1818</v>
      </c>
      <c r="T80" s="1846"/>
      <c r="U80" s="1847" t="s">
        <v>1819</v>
      </c>
      <c r="V80" s="1848" t="s">
        <v>1522</v>
      </c>
      <c r="W80" s="1849" t="s">
        <v>1808</v>
      </c>
      <c r="X80" s="1850" t="s">
        <v>1820</v>
      </c>
      <c r="Y80" s="1874">
        <v>0.9426</v>
      </c>
      <c r="Z80" s="1875">
        <f t="shared" si="26"/>
        <v>164.0124</v>
      </c>
      <c r="AA80" s="1876"/>
      <c r="AB80" s="1876">
        <v>174</v>
      </c>
      <c r="AC80" s="1876">
        <f t="shared" si="27"/>
        <v>0</v>
      </c>
      <c r="AD80" s="1876" t="s">
        <v>81</v>
      </c>
      <c r="AE80" s="1877" t="s">
        <v>63</v>
      </c>
      <c r="AF80" s="1877" t="s">
        <v>38</v>
      </c>
      <c r="AG80" s="1850">
        <f t="shared" si="34"/>
        <v>58</v>
      </c>
      <c r="AH80" s="1850">
        <f t="shared" si="35"/>
        <v>58</v>
      </c>
      <c r="AI80" s="1903">
        <f t="shared" si="36"/>
        <v>58</v>
      </c>
      <c r="AJ80" s="1904">
        <f t="shared" si="37"/>
        <v>174</v>
      </c>
      <c r="AK80" s="1905"/>
      <c r="AL80" s="1905">
        <f t="shared" si="32"/>
        <v>174</v>
      </c>
      <c r="AM80" s="1905">
        <f t="shared" si="38"/>
        <v>29</v>
      </c>
      <c r="AN80" s="1905"/>
      <c r="AO80" s="1915"/>
      <c r="AP80" s="1915"/>
      <c r="AQ80" s="1916"/>
      <c r="AR80" s="1917"/>
      <c r="AS80" s="1903"/>
      <c r="AT80" s="1917"/>
      <c r="AU80" s="1918"/>
      <c r="AV80" s="1919"/>
      <c r="AW80" s="1936"/>
      <c r="AX80" s="1936"/>
      <c r="AY80" s="1936"/>
      <c r="AZ80" s="1936"/>
      <c r="BA80" s="1936"/>
      <c r="BB80" s="1936"/>
      <c r="BC80" s="1936"/>
      <c r="BD80" s="1936"/>
      <c r="BE80" s="1936"/>
      <c r="BF80" s="1936"/>
      <c r="BG80" s="1936"/>
      <c r="BH80" s="1936"/>
      <c r="BI80" s="1936"/>
      <c r="BJ80" s="1936"/>
      <c r="BK80" s="1936"/>
      <c r="BL80" s="1936"/>
      <c r="BM80" s="1936"/>
      <c r="BN80" s="1936"/>
      <c r="BO80" s="1936"/>
      <c r="BP80" s="1936"/>
      <c r="BQ80" s="1936"/>
      <c r="BR80" s="1936"/>
      <c r="BS80" s="1936"/>
      <c r="BT80" s="1936"/>
      <c r="BU80" s="1936"/>
      <c r="BV80" s="1936"/>
      <c r="BW80" s="1936"/>
      <c r="BX80" s="1936"/>
      <c r="BY80" s="1936"/>
      <c r="BZ80" s="1936"/>
      <c r="CA80" s="1936"/>
      <c r="CB80" s="1936"/>
      <c r="CC80" s="1936"/>
      <c r="CD80" s="1936"/>
      <c r="CE80" s="1936"/>
      <c r="CF80" s="1936"/>
      <c r="CG80" s="1936"/>
      <c r="CH80" s="1936"/>
      <c r="CI80" s="1936"/>
      <c r="CJ80" s="1936"/>
      <c r="CK80" s="1936"/>
      <c r="CL80" s="1936"/>
      <c r="CM80" s="1936"/>
      <c r="CN80" s="1936"/>
      <c r="CO80" s="1936"/>
      <c r="CP80" s="1936"/>
      <c r="CQ80" s="1936"/>
      <c r="CR80" s="1936"/>
      <c r="CS80" s="1936"/>
      <c r="CT80" s="1936"/>
      <c r="CU80" s="1936"/>
      <c r="CV80" s="1936"/>
      <c r="CW80" s="1936"/>
      <c r="CX80" s="1936"/>
      <c r="CY80" s="1936"/>
      <c r="CZ80" s="1936"/>
      <c r="DA80" s="1936"/>
      <c r="DB80" s="1936"/>
      <c r="DC80" s="1936"/>
      <c r="DD80" s="1936"/>
      <c r="DE80" s="1936"/>
      <c r="DF80" s="1936"/>
      <c r="DG80" s="1936"/>
      <c r="DH80" s="1936"/>
      <c r="DI80" s="1936"/>
      <c r="DJ80" s="1936"/>
      <c r="DK80" s="1936"/>
      <c r="DL80" s="1936"/>
      <c r="DM80" s="1936"/>
      <c r="DN80" s="1936"/>
      <c r="DO80" s="1936"/>
      <c r="DP80" s="1936"/>
      <c r="DQ80" s="1936"/>
      <c r="DR80" s="1936"/>
      <c r="DS80" s="1936"/>
      <c r="DT80" s="1936"/>
      <c r="DU80" s="1936"/>
      <c r="DV80" s="1936"/>
      <c r="DW80" s="1936"/>
      <c r="DX80" s="1941"/>
      <c r="DY80" s="1941"/>
      <c r="DZ80" s="1941"/>
      <c r="EA80" s="1941"/>
      <c r="EB80" s="1941"/>
      <c r="EC80" s="1941"/>
      <c r="ED80" s="1941"/>
      <c r="EE80" s="1941"/>
      <c r="EF80" s="1941"/>
      <c r="EG80" s="1941"/>
      <c r="EH80" s="1941"/>
      <c r="EI80" s="1941"/>
      <c r="EJ80" s="1941"/>
      <c r="EK80" s="1941"/>
      <c r="EL80" s="1941"/>
      <c r="EM80" s="1941"/>
      <c r="EN80" s="1941"/>
      <c r="EO80" s="1941"/>
      <c r="EP80" s="1941"/>
      <c r="EQ80" s="1941"/>
      <c r="ER80" s="1941"/>
      <c r="ES80" s="1941"/>
      <c r="ET80" s="1941"/>
      <c r="EU80" s="1941"/>
      <c r="EV80" s="1941"/>
      <c r="EW80" s="1941"/>
      <c r="EX80" s="1941"/>
      <c r="EY80" s="1941"/>
      <c r="EZ80" s="1941"/>
      <c r="FA80" s="1941"/>
      <c r="FB80" s="1941"/>
      <c r="FC80" s="1941"/>
      <c r="FD80" s="1941"/>
      <c r="FE80" s="1941"/>
      <c r="FF80" s="1941"/>
      <c r="FG80" s="1941"/>
      <c r="FH80" s="1941"/>
      <c r="FI80" s="1941"/>
      <c r="FJ80" s="1941"/>
      <c r="FK80" s="1941"/>
      <c r="FL80" s="1941"/>
      <c r="FM80" s="1941"/>
      <c r="FN80" s="1941"/>
      <c r="FO80" s="1941"/>
      <c r="FP80" s="1941"/>
      <c r="FQ80" s="1941"/>
      <c r="FR80" s="1941"/>
      <c r="FS80" s="1941"/>
      <c r="FT80" s="1941"/>
      <c r="FU80" s="1941"/>
      <c r="FV80" s="1941"/>
      <c r="FW80" s="1941"/>
      <c r="FX80" s="1941"/>
      <c r="FY80" s="1941"/>
      <c r="FZ80" s="1941"/>
      <c r="GA80" s="1941"/>
      <c r="XES80" s="1944"/>
      <c r="XET80" s="1944"/>
      <c r="XEU80" s="1944"/>
      <c r="XEV80" s="1944"/>
      <c r="XEW80" s="1944"/>
      <c r="XEX80" s="1944"/>
      <c r="XEY80" s="1944"/>
      <c r="XEZ80" s="1944"/>
      <c r="XFA80" s="1944"/>
      <c r="XFB80" s="1944"/>
      <c r="XFC80" s="1944"/>
      <c r="XFD80" s="1944"/>
    </row>
    <row r="81" s="1664" customFormat="1" ht="36" customHeight="1" spans="1:16384">
      <c r="A81" s="1784">
        <v>45915</v>
      </c>
      <c r="B81" s="1785" t="s">
        <v>1516</v>
      </c>
      <c r="C81" s="1786" t="s">
        <v>91</v>
      </c>
      <c r="D81" s="1787">
        <v>4500179523</v>
      </c>
      <c r="E81" s="1785">
        <v>11919212</v>
      </c>
      <c r="F81" s="1788" t="s">
        <v>1821</v>
      </c>
      <c r="G81" s="1789" t="s">
        <v>1518</v>
      </c>
      <c r="H81" s="1789" t="s">
        <v>1519</v>
      </c>
      <c r="I81" s="1410" t="s">
        <v>1479</v>
      </c>
      <c r="J81" s="1789">
        <v>330</v>
      </c>
      <c r="K81" s="1789">
        <v>0</v>
      </c>
      <c r="L81" s="1789">
        <v>6</v>
      </c>
      <c r="M81" s="1822">
        <f t="shared" si="28"/>
        <v>55</v>
      </c>
      <c r="N81" s="1823">
        <v>45999</v>
      </c>
      <c r="O81" s="1824">
        <v>45995</v>
      </c>
      <c r="P81" s="1825"/>
      <c r="Q81" s="1825" t="s">
        <v>1480</v>
      </c>
      <c r="R81" s="1825" t="s">
        <v>1822</v>
      </c>
      <c r="S81" s="1845" t="s">
        <v>1818</v>
      </c>
      <c r="T81" s="1846"/>
      <c r="U81" s="1847" t="s">
        <v>1819</v>
      </c>
      <c r="V81" s="1848" t="s">
        <v>1522</v>
      </c>
      <c r="W81" s="1849" t="s">
        <v>1808</v>
      </c>
      <c r="X81" s="1850" t="s">
        <v>1820</v>
      </c>
      <c r="Y81" s="1874">
        <v>0.9426</v>
      </c>
      <c r="Z81" s="1875">
        <f t="shared" si="26"/>
        <v>311.058</v>
      </c>
      <c r="AA81" s="1876"/>
      <c r="AB81" s="1876">
        <v>330</v>
      </c>
      <c r="AC81" s="1876">
        <f t="shared" si="27"/>
        <v>0</v>
      </c>
      <c r="AD81" s="1876" t="s">
        <v>81</v>
      </c>
      <c r="AE81" s="1877" t="s">
        <v>63</v>
      </c>
      <c r="AF81" s="1877" t="s">
        <v>38</v>
      </c>
      <c r="AG81" s="1850">
        <f t="shared" si="34"/>
        <v>110</v>
      </c>
      <c r="AH81" s="1850">
        <f t="shared" si="35"/>
        <v>110</v>
      </c>
      <c r="AI81" s="1903">
        <f t="shared" si="36"/>
        <v>110</v>
      </c>
      <c r="AJ81" s="1904">
        <f t="shared" si="37"/>
        <v>330</v>
      </c>
      <c r="AK81" s="1905"/>
      <c r="AL81" s="1905">
        <f t="shared" si="32"/>
        <v>330</v>
      </c>
      <c r="AM81" s="1905">
        <f t="shared" si="38"/>
        <v>55</v>
      </c>
      <c r="AN81" s="1905"/>
      <c r="AO81" s="1915"/>
      <c r="AP81" s="1915"/>
      <c r="AQ81" s="1916"/>
      <c r="AR81" s="1917"/>
      <c r="AS81" s="1903"/>
      <c r="AT81" s="1917"/>
      <c r="AU81" s="1918"/>
      <c r="AV81" s="1919"/>
      <c r="AW81" s="1936"/>
      <c r="AX81" s="1936"/>
      <c r="AY81" s="1936"/>
      <c r="AZ81" s="1936"/>
      <c r="BA81" s="1936"/>
      <c r="BB81" s="1936"/>
      <c r="BC81" s="1936"/>
      <c r="BD81" s="1936"/>
      <c r="BE81" s="1936"/>
      <c r="BF81" s="1936"/>
      <c r="BG81" s="1936"/>
      <c r="BH81" s="1936"/>
      <c r="BI81" s="1936"/>
      <c r="BJ81" s="1936"/>
      <c r="BK81" s="1936"/>
      <c r="BL81" s="1936"/>
      <c r="BM81" s="1936"/>
      <c r="BN81" s="1936"/>
      <c r="BO81" s="1936"/>
      <c r="BP81" s="1936"/>
      <c r="BQ81" s="1936"/>
      <c r="BR81" s="1936"/>
      <c r="BS81" s="1936"/>
      <c r="BT81" s="1936"/>
      <c r="BU81" s="1936"/>
      <c r="BV81" s="1936"/>
      <c r="BW81" s="1936"/>
      <c r="BX81" s="1936"/>
      <c r="BY81" s="1936"/>
      <c r="BZ81" s="1936"/>
      <c r="CA81" s="1936"/>
      <c r="CB81" s="1936"/>
      <c r="CC81" s="1936"/>
      <c r="CD81" s="1936"/>
      <c r="CE81" s="1936"/>
      <c r="CF81" s="1936"/>
      <c r="CG81" s="1936"/>
      <c r="CH81" s="1936"/>
      <c r="CI81" s="1936"/>
      <c r="CJ81" s="1936"/>
      <c r="CK81" s="1936"/>
      <c r="CL81" s="1936"/>
      <c r="CM81" s="1936"/>
      <c r="CN81" s="1936"/>
      <c r="CO81" s="1936"/>
      <c r="CP81" s="1936"/>
      <c r="CQ81" s="1936"/>
      <c r="CR81" s="1936"/>
      <c r="CS81" s="1936"/>
      <c r="CT81" s="1936"/>
      <c r="CU81" s="1936"/>
      <c r="CV81" s="1936"/>
      <c r="CW81" s="1936"/>
      <c r="CX81" s="1936"/>
      <c r="CY81" s="1936"/>
      <c r="CZ81" s="1936"/>
      <c r="DA81" s="1936"/>
      <c r="DB81" s="1936"/>
      <c r="DC81" s="1936"/>
      <c r="DD81" s="1936"/>
      <c r="DE81" s="1936"/>
      <c r="DF81" s="1936"/>
      <c r="DG81" s="1936"/>
      <c r="DH81" s="1936"/>
      <c r="DI81" s="1936"/>
      <c r="DJ81" s="1936"/>
      <c r="DK81" s="1936"/>
      <c r="DL81" s="1936"/>
      <c r="DM81" s="1936"/>
      <c r="DN81" s="1936"/>
      <c r="DO81" s="1936"/>
      <c r="DP81" s="1936"/>
      <c r="DQ81" s="1936"/>
      <c r="DR81" s="1936"/>
      <c r="DS81" s="1936"/>
      <c r="DT81" s="1936"/>
      <c r="DU81" s="1936"/>
      <c r="DV81" s="1936"/>
      <c r="DW81" s="1936"/>
      <c r="DX81" s="1941"/>
      <c r="DY81" s="1941"/>
      <c r="DZ81" s="1941"/>
      <c r="EA81" s="1941"/>
      <c r="EB81" s="1941"/>
      <c r="EC81" s="1941"/>
      <c r="ED81" s="1941"/>
      <c r="EE81" s="1941"/>
      <c r="EF81" s="1941"/>
      <c r="EG81" s="1941"/>
      <c r="EH81" s="1941"/>
      <c r="EI81" s="1941"/>
      <c r="EJ81" s="1941"/>
      <c r="EK81" s="1941"/>
      <c r="EL81" s="1941"/>
      <c r="EM81" s="1941"/>
      <c r="EN81" s="1941"/>
      <c r="EO81" s="1941"/>
      <c r="EP81" s="1941"/>
      <c r="EQ81" s="1941"/>
      <c r="ER81" s="1941"/>
      <c r="ES81" s="1941"/>
      <c r="ET81" s="1941"/>
      <c r="EU81" s="1941"/>
      <c r="EV81" s="1941"/>
      <c r="EW81" s="1941"/>
      <c r="EX81" s="1941"/>
      <c r="EY81" s="1941"/>
      <c r="EZ81" s="1941"/>
      <c r="FA81" s="1941"/>
      <c r="FB81" s="1941"/>
      <c r="FC81" s="1941"/>
      <c r="FD81" s="1941"/>
      <c r="FE81" s="1941"/>
      <c r="FF81" s="1941"/>
      <c r="FG81" s="1941"/>
      <c r="FH81" s="1941"/>
      <c r="FI81" s="1941"/>
      <c r="FJ81" s="1941"/>
      <c r="FK81" s="1941"/>
      <c r="FL81" s="1941"/>
      <c r="FM81" s="1941"/>
      <c r="FN81" s="1941"/>
      <c r="FO81" s="1941"/>
      <c r="FP81" s="1941"/>
      <c r="FQ81" s="1941"/>
      <c r="FR81" s="1941"/>
      <c r="FS81" s="1941"/>
      <c r="FT81" s="1941"/>
      <c r="FU81" s="1941"/>
      <c r="FV81" s="1941"/>
      <c r="FW81" s="1941"/>
      <c r="FX81" s="1941"/>
      <c r="FY81" s="1941"/>
      <c r="FZ81" s="1941"/>
      <c r="GA81" s="1941"/>
      <c r="XES81" s="1944"/>
      <c r="XET81" s="1944"/>
      <c r="XEU81" s="1944"/>
      <c r="XEV81" s="1944"/>
      <c r="XEW81" s="1944"/>
      <c r="XEX81" s="1944"/>
      <c r="XEY81" s="1944"/>
      <c r="XEZ81" s="1944"/>
      <c r="XFA81" s="1944"/>
      <c r="XFB81" s="1944"/>
      <c r="XFC81" s="1944"/>
      <c r="XFD81" s="1944"/>
    </row>
    <row r="82" s="1664" customFormat="1" ht="36" customHeight="1" spans="1:16384">
      <c r="A82" s="1784">
        <v>45915</v>
      </c>
      <c r="B82" s="1785" t="s">
        <v>1516</v>
      </c>
      <c r="C82" s="1786" t="s">
        <v>91</v>
      </c>
      <c r="D82" s="1787">
        <v>4500179529</v>
      </c>
      <c r="E82" s="1785">
        <v>11919213</v>
      </c>
      <c r="F82" s="1788" t="s">
        <v>1823</v>
      </c>
      <c r="G82" s="1789" t="s">
        <v>1518</v>
      </c>
      <c r="H82" s="1789" t="s">
        <v>1519</v>
      </c>
      <c r="I82" s="1410" t="s">
        <v>1479</v>
      </c>
      <c r="J82" s="1789">
        <v>144</v>
      </c>
      <c r="K82" s="1789">
        <v>0</v>
      </c>
      <c r="L82" s="1789">
        <v>6</v>
      </c>
      <c r="M82" s="1822">
        <f t="shared" si="28"/>
        <v>24</v>
      </c>
      <c r="N82" s="1823">
        <v>45999</v>
      </c>
      <c r="O82" s="1824">
        <v>45995</v>
      </c>
      <c r="P82" s="1825"/>
      <c r="Q82" s="1825" t="s">
        <v>1480</v>
      </c>
      <c r="R82" s="1825" t="s">
        <v>1817</v>
      </c>
      <c r="S82" s="1845" t="s">
        <v>1818</v>
      </c>
      <c r="T82" s="1846"/>
      <c r="U82" s="1847" t="s">
        <v>1819</v>
      </c>
      <c r="V82" s="1848" t="s">
        <v>1522</v>
      </c>
      <c r="W82" s="1849" t="s">
        <v>1808</v>
      </c>
      <c r="X82" s="1850" t="s">
        <v>1824</v>
      </c>
      <c r="Y82" s="1874">
        <v>0.9545</v>
      </c>
      <c r="Z82" s="1875">
        <f t="shared" si="26"/>
        <v>137.448</v>
      </c>
      <c r="AA82" s="1876"/>
      <c r="AB82" s="1876">
        <v>144</v>
      </c>
      <c r="AC82" s="1876">
        <f t="shared" si="27"/>
        <v>0</v>
      </c>
      <c r="AD82" s="1876" t="s">
        <v>81</v>
      </c>
      <c r="AE82" s="1877" t="s">
        <v>63</v>
      </c>
      <c r="AF82" s="1877" t="s">
        <v>38</v>
      </c>
      <c r="AG82" s="1850">
        <f t="shared" si="34"/>
        <v>48</v>
      </c>
      <c r="AH82" s="1850">
        <f t="shared" si="35"/>
        <v>48</v>
      </c>
      <c r="AI82" s="1903">
        <f t="shared" si="36"/>
        <v>48</v>
      </c>
      <c r="AJ82" s="1904">
        <f t="shared" si="37"/>
        <v>144</v>
      </c>
      <c r="AK82" s="1905"/>
      <c r="AL82" s="1905">
        <f t="shared" si="32"/>
        <v>144</v>
      </c>
      <c r="AM82" s="1905">
        <f t="shared" si="38"/>
        <v>24</v>
      </c>
      <c r="AN82" s="1905"/>
      <c r="AO82" s="1915"/>
      <c r="AP82" s="1915"/>
      <c r="AQ82" s="1916"/>
      <c r="AR82" s="1917"/>
      <c r="AS82" s="1903"/>
      <c r="AT82" s="1917"/>
      <c r="AU82" s="1918"/>
      <c r="AV82" s="1919"/>
      <c r="AW82" s="1936"/>
      <c r="AX82" s="1936"/>
      <c r="AY82" s="1936"/>
      <c r="AZ82" s="1936"/>
      <c r="BA82" s="1936"/>
      <c r="BB82" s="1936"/>
      <c r="BC82" s="1936"/>
      <c r="BD82" s="1936"/>
      <c r="BE82" s="1936"/>
      <c r="BF82" s="1936"/>
      <c r="BG82" s="1936"/>
      <c r="BH82" s="1936"/>
      <c r="BI82" s="1936"/>
      <c r="BJ82" s="1936"/>
      <c r="BK82" s="1936"/>
      <c r="BL82" s="1936"/>
      <c r="BM82" s="1936"/>
      <c r="BN82" s="1936"/>
      <c r="BO82" s="1936"/>
      <c r="BP82" s="1936"/>
      <c r="BQ82" s="1936"/>
      <c r="BR82" s="1936"/>
      <c r="BS82" s="1936"/>
      <c r="BT82" s="1936"/>
      <c r="BU82" s="1936"/>
      <c r="BV82" s="1936"/>
      <c r="BW82" s="1936"/>
      <c r="BX82" s="1936"/>
      <c r="BY82" s="1936"/>
      <c r="BZ82" s="1936"/>
      <c r="CA82" s="1936"/>
      <c r="CB82" s="1936"/>
      <c r="CC82" s="1936"/>
      <c r="CD82" s="1936"/>
      <c r="CE82" s="1936"/>
      <c r="CF82" s="1936"/>
      <c r="CG82" s="1936"/>
      <c r="CH82" s="1936"/>
      <c r="CI82" s="1936"/>
      <c r="CJ82" s="1936"/>
      <c r="CK82" s="1936"/>
      <c r="CL82" s="1936"/>
      <c r="CM82" s="1936"/>
      <c r="CN82" s="1936"/>
      <c r="CO82" s="1936"/>
      <c r="CP82" s="1936"/>
      <c r="CQ82" s="1936"/>
      <c r="CR82" s="1936"/>
      <c r="CS82" s="1936"/>
      <c r="CT82" s="1936"/>
      <c r="CU82" s="1936"/>
      <c r="CV82" s="1936"/>
      <c r="CW82" s="1936"/>
      <c r="CX82" s="1936"/>
      <c r="CY82" s="1936"/>
      <c r="CZ82" s="1936"/>
      <c r="DA82" s="1936"/>
      <c r="DB82" s="1936"/>
      <c r="DC82" s="1936"/>
      <c r="DD82" s="1936"/>
      <c r="DE82" s="1936"/>
      <c r="DF82" s="1936"/>
      <c r="DG82" s="1936"/>
      <c r="DH82" s="1936"/>
      <c r="DI82" s="1936"/>
      <c r="DJ82" s="1936"/>
      <c r="DK82" s="1936"/>
      <c r="DL82" s="1936"/>
      <c r="DM82" s="1936"/>
      <c r="DN82" s="1936"/>
      <c r="DO82" s="1936"/>
      <c r="DP82" s="1936"/>
      <c r="DQ82" s="1936"/>
      <c r="DR82" s="1936"/>
      <c r="DS82" s="1936"/>
      <c r="DT82" s="1936"/>
      <c r="DU82" s="1936"/>
      <c r="DV82" s="1936"/>
      <c r="DW82" s="1936"/>
      <c r="DX82" s="1941"/>
      <c r="DY82" s="1941"/>
      <c r="DZ82" s="1941"/>
      <c r="EA82" s="1941"/>
      <c r="EB82" s="1941"/>
      <c r="EC82" s="1941"/>
      <c r="ED82" s="1941"/>
      <c r="EE82" s="1941"/>
      <c r="EF82" s="1941"/>
      <c r="EG82" s="1941"/>
      <c r="EH82" s="1941"/>
      <c r="EI82" s="1941"/>
      <c r="EJ82" s="1941"/>
      <c r="EK82" s="1941"/>
      <c r="EL82" s="1941"/>
      <c r="EM82" s="1941"/>
      <c r="EN82" s="1941"/>
      <c r="EO82" s="1941"/>
      <c r="EP82" s="1941"/>
      <c r="EQ82" s="1941"/>
      <c r="ER82" s="1941"/>
      <c r="ES82" s="1941"/>
      <c r="ET82" s="1941"/>
      <c r="EU82" s="1941"/>
      <c r="EV82" s="1941"/>
      <c r="EW82" s="1941"/>
      <c r="EX82" s="1941"/>
      <c r="EY82" s="1941"/>
      <c r="EZ82" s="1941"/>
      <c r="FA82" s="1941"/>
      <c r="FB82" s="1941"/>
      <c r="FC82" s="1941"/>
      <c r="FD82" s="1941"/>
      <c r="FE82" s="1941"/>
      <c r="FF82" s="1941"/>
      <c r="FG82" s="1941"/>
      <c r="FH82" s="1941"/>
      <c r="FI82" s="1941"/>
      <c r="FJ82" s="1941"/>
      <c r="FK82" s="1941"/>
      <c r="FL82" s="1941"/>
      <c r="FM82" s="1941"/>
      <c r="FN82" s="1941"/>
      <c r="FO82" s="1941"/>
      <c r="FP82" s="1941"/>
      <c r="FQ82" s="1941"/>
      <c r="FR82" s="1941"/>
      <c r="FS82" s="1941"/>
      <c r="FT82" s="1941"/>
      <c r="FU82" s="1941"/>
      <c r="FV82" s="1941"/>
      <c r="FW82" s="1941"/>
      <c r="FX82" s="1941"/>
      <c r="FY82" s="1941"/>
      <c r="FZ82" s="1941"/>
      <c r="GA82" s="1941"/>
      <c r="XES82" s="1944"/>
      <c r="XET82" s="1944"/>
      <c r="XEU82" s="1944"/>
      <c r="XEV82" s="1944"/>
      <c r="XEW82" s="1944"/>
      <c r="XEX82" s="1944"/>
      <c r="XEY82" s="1944"/>
      <c r="XEZ82" s="1944"/>
      <c r="XFA82" s="1944"/>
      <c r="XFB82" s="1944"/>
      <c r="XFC82" s="1944"/>
      <c r="XFD82" s="1944"/>
    </row>
    <row r="83" s="1664" customFormat="1" ht="36" customHeight="1" spans="1:16384">
      <c r="A83" s="1784">
        <v>45968</v>
      </c>
      <c r="B83" s="1785" t="s">
        <v>1671</v>
      </c>
      <c r="C83" s="1786" t="s">
        <v>398</v>
      </c>
      <c r="D83" s="1788">
        <v>4500184827</v>
      </c>
      <c r="E83" s="1785" t="s">
        <v>1825</v>
      </c>
      <c r="F83" s="1788" t="s">
        <v>1826</v>
      </c>
      <c r="G83" s="1789" t="s">
        <v>1489</v>
      </c>
      <c r="H83" s="1789" t="s">
        <v>1490</v>
      </c>
      <c r="I83" s="1410" t="s">
        <v>1491</v>
      </c>
      <c r="J83" s="1789">
        <v>54</v>
      </c>
      <c r="K83" s="1789">
        <v>0</v>
      </c>
      <c r="L83" s="1789">
        <v>18</v>
      </c>
      <c r="M83" s="1822">
        <f t="shared" si="28"/>
        <v>3</v>
      </c>
      <c r="N83" s="1823">
        <v>46009</v>
      </c>
      <c r="O83" s="1824">
        <v>46007</v>
      </c>
      <c r="P83" s="1825"/>
      <c r="Q83" s="1825" t="s">
        <v>1480</v>
      </c>
      <c r="R83" s="1825"/>
      <c r="S83" s="1845" t="s">
        <v>1184</v>
      </c>
      <c r="T83" s="1846"/>
      <c r="U83" s="1847" t="s">
        <v>1827</v>
      </c>
      <c r="V83" s="1848" t="s">
        <v>1654</v>
      </c>
      <c r="W83" s="1849" t="s">
        <v>1603</v>
      </c>
      <c r="X83" s="1850" t="s">
        <v>220</v>
      </c>
      <c r="Y83" s="1874">
        <v>3.7299</v>
      </c>
      <c r="Z83" s="1875">
        <f t="shared" si="26"/>
        <v>201.4146</v>
      </c>
      <c r="AA83" s="1876"/>
      <c r="AB83" s="1876">
        <v>54</v>
      </c>
      <c r="AC83" s="1876">
        <f t="shared" ref="AC83:AC92" si="39">AB83-J83</f>
        <v>0</v>
      </c>
      <c r="AD83" s="1876" t="s">
        <v>327</v>
      </c>
      <c r="AE83" s="1877" t="s">
        <v>63</v>
      </c>
      <c r="AF83" s="1877" t="s">
        <v>38</v>
      </c>
      <c r="AG83" s="1850">
        <f>J83</f>
        <v>54</v>
      </c>
      <c r="AH83" s="1850">
        <f>J83</f>
        <v>54</v>
      </c>
      <c r="AI83" s="1903">
        <f>J83</f>
        <v>54</v>
      </c>
      <c r="AJ83" s="1904"/>
      <c r="AK83" s="1905"/>
      <c r="AL83" s="1905">
        <f t="shared" si="32"/>
        <v>54</v>
      </c>
      <c r="AM83" s="1905"/>
      <c r="AN83" s="1905"/>
      <c r="AO83" s="1915"/>
      <c r="AP83" s="1915"/>
      <c r="AQ83" s="1916"/>
      <c r="AR83" s="1917"/>
      <c r="AS83" s="1903"/>
      <c r="AT83" s="1917"/>
      <c r="AU83" s="1918">
        <f>J83</f>
        <v>54</v>
      </c>
      <c r="AV83" s="1919"/>
      <c r="AW83" s="1936"/>
      <c r="AX83" s="1936"/>
      <c r="AY83" s="1936"/>
      <c r="AZ83" s="1936"/>
      <c r="BA83" s="1936"/>
      <c r="BB83" s="1936"/>
      <c r="BC83" s="1936"/>
      <c r="BD83" s="1936"/>
      <c r="BE83" s="1936"/>
      <c r="BF83" s="1936"/>
      <c r="BG83" s="1936"/>
      <c r="BH83" s="1936"/>
      <c r="BI83" s="1936"/>
      <c r="BJ83" s="1936"/>
      <c r="BK83" s="1936"/>
      <c r="BL83" s="1936"/>
      <c r="BM83" s="1936"/>
      <c r="BN83" s="1936"/>
      <c r="BO83" s="1936"/>
      <c r="BP83" s="1936"/>
      <c r="BQ83" s="1936"/>
      <c r="BR83" s="1936"/>
      <c r="BS83" s="1936"/>
      <c r="BT83" s="1936"/>
      <c r="BU83" s="1936"/>
      <c r="BV83" s="1936"/>
      <c r="BW83" s="1936"/>
      <c r="BX83" s="1936"/>
      <c r="BY83" s="1936"/>
      <c r="BZ83" s="1936"/>
      <c r="CA83" s="1936"/>
      <c r="CB83" s="1936"/>
      <c r="CC83" s="1936"/>
      <c r="CD83" s="1936"/>
      <c r="CE83" s="1936"/>
      <c r="CF83" s="1936"/>
      <c r="CG83" s="1936"/>
      <c r="CH83" s="1936"/>
      <c r="CI83" s="1936"/>
      <c r="CJ83" s="1936"/>
      <c r="CK83" s="1936"/>
      <c r="CL83" s="1936"/>
      <c r="CM83" s="1936"/>
      <c r="CN83" s="1936"/>
      <c r="CO83" s="1936"/>
      <c r="CP83" s="1936"/>
      <c r="CQ83" s="1936"/>
      <c r="CR83" s="1936"/>
      <c r="CS83" s="1936"/>
      <c r="CT83" s="1936"/>
      <c r="CU83" s="1936"/>
      <c r="CV83" s="1936"/>
      <c r="CW83" s="1936"/>
      <c r="CX83" s="1936"/>
      <c r="CY83" s="1936"/>
      <c r="CZ83" s="1936"/>
      <c r="DA83" s="1936"/>
      <c r="DB83" s="1936"/>
      <c r="DC83" s="1936"/>
      <c r="DD83" s="1936"/>
      <c r="DE83" s="1936"/>
      <c r="DF83" s="1936"/>
      <c r="DG83" s="1936"/>
      <c r="DH83" s="1936"/>
      <c r="DI83" s="1936"/>
      <c r="DJ83" s="1936"/>
      <c r="DK83" s="1936"/>
      <c r="DL83" s="1936"/>
      <c r="DM83" s="1936"/>
      <c r="DN83" s="1936"/>
      <c r="DO83" s="1936"/>
      <c r="DP83" s="1936"/>
      <c r="DQ83" s="1936"/>
      <c r="DR83" s="1936"/>
      <c r="DS83" s="1936"/>
      <c r="DT83" s="1936"/>
      <c r="DU83" s="1936"/>
      <c r="DV83" s="1936"/>
      <c r="DW83" s="1936"/>
      <c r="DX83" s="1941"/>
      <c r="DY83" s="1941"/>
      <c r="DZ83" s="1941"/>
      <c r="EA83" s="1941"/>
      <c r="EB83" s="1941"/>
      <c r="EC83" s="1941"/>
      <c r="ED83" s="1941"/>
      <c r="EE83" s="1941"/>
      <c r="EF83" s="1941"/>
      <c r="EG83" s="1941"/>
      <c r="EH83" s="1941"/>
      <c r="EI83" s="1941"/>
      <c r="EJ83" s="1941"/>
      <c r="EK83" s="1941"/>
      <c r="EL83" s="1941"/>
      <c r="EM83" s="1941"/>
      <c r="EN83" s="1941"/>
      <c r="EO83" s="1941"/>
      <c r="EP83" s="1941"/>
      <c r="EQ83" s="1941"/>
      <c r="ER83" s="1941"/>
      <c r="ES83" s="1941"/>
      <c r="ET83" s="1941"/>
      <c r="EU83" s="1941"/>
      <c r="EV83" s="1941"/>
      <c r="EW83" s="1941"/>
      <c r="EX83" s="1941"/>
      <c r="EY83" s="1941"/>
      <c r="EZ83" s="1941"/>
      <c r="FA83" s="1941"/>
      <c r="FB83" s="1941"/>
      <c r="FC83" s="1941"/>
      <c r="FD83" s="1941"/>
      <c r="FE83" s="1941"/>
      <c r="FF83" s="1941"/>
      <c r="FG83" s="1941"/>
      <c r="FH83" s="1941"/>
      <c r="FI83" s="1941"/>
      <c r="FJ83" s="1941"/>
      <c r="FK83" s="1941"/>
      <c r="FL83" s="1941"/>
      <c r="FM83" s="1941"/>
      <c r="FN83" s="1941"/>
      <c r="FO83" s="1941"/>
      <c r="FP83" s="1941"/>
      <c r="FQ83" s="1941"/>
      <c r="FR83" s="1941"/>
      <c r="FS83" s="1941"/>
      <c r="FT83" s="1941"/>
      <c r="FU83" s="1941"/>
      <c r="FV83" s="1941"/>
      <c r="FW83" s="1941"/>
      <c r="FX83" s="1941"/>
      <c r="FY83" s="1941"/>
      <c r="FZ83" s="1941"/>
      <c r="GA83" s="1941"/>
      <c r="XES83" s="1944"/>
      <c r="XET83" s="1944"/>
      <c r="XEU83" s="1944"/>
      <c r="XEV83" s="1944"/>
      <c r="XEW83" s="1944"/>
      <c r="XEX83" s="1944"/>
      <c r="XEY83" s="1944"/>
      <c r="XEZ83" s="1944"/>
      <c r="XFA83" s="1944"/>
      <c r="XFB83" s="1944"/>
      <c r="XFC83" s="1944"/>
      <c r="XFD83" s="1944"/>
    </row>
    <row r="84" s="1664" customFormat="1" ht="36" customHeight="1" spans="1:16384">
      <c r="A84" s="1784">
        <v>45968</v>
      </c>
      <c r="B84" s="1785" t="s">
        <v>1671</v>
      </c>
      <c r="C84" s="1786" t="s">
        <v>398</v>
      </c>
      <c r="D84" s="1788">
        <v>4500184827</v>
      </c>
      <c r="E84" s="1785" t="s">
        <v>1828</v>
      </c>
      <c r="F84" s="1788" t="s">
        <v>1829</v>
      </c>
      <c r="G84" s="1789" t="s">
        <v>1489</v>
      </c>
      <c r="H84" s="1789" t="s">
        <v>1490</v>
      </c>
      <c r="I84" s="1410" t="s">
        <v>1491</v>
      </c>
      <c r="J84" s="1789">
        <v>18</v>
      </c>
      <c r="K84" s="1789">
        <v>0</v>
      </c>
      <c r="L84" s="1789">
        <v>18</v>
      </c>
      <c r="M84" s="1822">
        <f t="shared" si="28"/>
        <v>1</v>
      </c>
      <c r="N84" s="1823">
        <v>46009</v>
      </c>
      <c r="O84" s="1824">
        <v>46007</v>
      </c>
      <c r="P84" s="1825"/>
      <c r="Q84" s="1825" t="s">
        <v>1480</v>
      </c>
      <c r="R84" s="1825"/>
      <c r="S84" s="1845" t="s">
        <v>1184</v>
      </c>
      <c r="T84" s="1846"/>
      <c r="U84" s="1847" t="s">
        <v>1827</v>
      </c>
      <c r="V84" s="1848" t="s">
        <v>1654</v>
      </c>
      <c r="W84" s="1849" t="s">
        <v>1603</v>
      </c>
      <c r="X84" s="1850" t="s">
        <v>220</v>
      </c>
      <c r="Y84" s="1874">
        <v>3.7299</v>
      </c>
      <c r="Z84" s="1875">
        <f t="shared" si="26"/>
        <v>67.1382</v>
      </c>
      <c r="AA84" s="1876"/>
      <c r="AB84" s="1876">
        <v>18</v>
      </c>
      <c r="AC84" s="1876">
        <f t="shared" si="39"/>
        <v>0</v>
      </c>
      <c r="AD84" s="1876" t="s">
        <v>81</v>
      </c>
      <c r="AE84" s="1877" t="s">
        <v>63</v>
      </c>
      <c r="AF84" s="1877" t="s">
        <v>38</v>
      </c>
      <c r="AG84" s="1850">
        <f>J84</f>
        <v>18</v>
      </c>
      <c r="AH84" s="1850">
        <f>J84</f>
        <v>18</v>
      </c>
      <c r="AI84" s="1903">
        <f>J84</f>
        <v>18</v>
      </c>
      <c r="AJ84" s="1904"/>
      <c r="AK84" s="1905"/>
      <c r="AL84" s="1905">
        <f t="shared" si="32"/>
        <v>18</v>
      </c>
      <c r="AM84" s="1905"/>
      <c r="AN84" s="1905"/>
      <c r="AO84" s="1915"/>
      <c r="AP84" s="1915"/>
      <c r="AQ84" s="1916"/>
      <c r="AR84" s="1917"/>
      <c r="AS84" s="1903"/>
      <c r="AT84" s="1917"/>
      <c r="AU84" s="1918">
        <f>J84</f>
        <v>18</v>
      </c>
      <c r="AV84" s="1919"/>
      <c r="AW84" s="1936"/>
      <c r="AX84" s="1936"/>
      <c r="AY84" s="1936"/>
      <c r="AZ84" s="1936"/>
      <c r="BA84" s="1936"/>
      <c r="BB84" s="1936"/>
      <c r="BC84" s="1936"/>
      <c r="BD84" s="1936"/>
      <c r="BE84" s="1936"/>
      <c r="BF84" s="1936"/>
      <c r="BG84" s="1936"/>
      <c r="BH84" s="1936"/>
      <c r="BI84" s="1936"/>
      <c r="BJ84" s="1936"/>
      <c r="BK84" s="1936"/>
      <c r="BL84" s="1936"/>
      <c r="BM84" s="1936"/>
      <c r="BN84" s="1936"/>
      <c r="BO84" s="1936"/>
      <c r="BP84" s="1936"/>
      <c r="BQ84" s="1936"/>
      <c r="BR84" s="1936"/>
      <c r="BS84" s="1936"/>
      <c r="BT84" s="1936"/>
      <c r="BU84" s="1936"/>
      <c r="BV84" s="1936"/>
      <c r="BW84" s="1936"/>
      <c r="BX84" s="1936"/>
      <c r="BY84" s="1936"/>
      <c r="BZ84" s="1936"/>
      <c r="CA84" s="1936"/>
      <c r="CB84" s="1936"/>
      <c r="CC84" s="1936"/>
      <c r="CD84" s="1936"/>
      <c r="CE84" s="1936"/>
      <c r="CF84" s="1936"/>
      <c r="CG84" s="1936"/>
      <c r="CH84" s="1936"/>
      <c r="CI84" s="1936"/>
      <c r="CJ84" s="1936"/>
      <c r="CK84" s="1936"/>
      <c r="CL84" s="1936"/>
      <c r="CM84" s="1936"/>
      <c r="CN84" s="1936"/>
      <c r="CO84" s="1936"/>
      <c r="CP84" s="1936"/>
      <c r="CQ84" s="1936"/>
      <c r="CR84" s="1936"/>
      <c r="CS84" s="1936"/>
      <c r="CT84" s="1936"/>
      <c r="CU84" s="1936"/>
      <c r="CV84" s="1936"/>
      <c r="CW84" s="1936"/>
      <c r="CX84" s="1936"/>
      <c r="CY84" s="1936"/>
      <c r="CZ84" s="1936"/>
      <c r="DA84" s="1936"/>
      <c r="DB84" s="1936"/>
      <c r="DC84" s="1936"/>
      <c r="DD84" s="1936"/>
      <c r="DE84" s="1936"/>
      <c r="DF84" s="1936"/>
      <c r="DG84" s="1936"/>
      <c r="DH84" s="1936"/>
      <c r="DI84" s="1936"/>
      <c r="DJ84" s="1936"/>
      <c r="DK84" s="1936"/>
      <c r="DL84" s="1936"/>
      <c r="DM84" s="1936"/>
      <c r="DN84" s="1936"/>
      <c r="DO84" s="1936"/>
      <c r="DP84" s="1936"/>
      <c r="DQ84" s="1936"/>
      <c r="DR84" s="1936"/>
      <c r="DS84" s="1936"/>
      <c r="DT84" s="1936"/>
      <c r="DU84" s="1936"/>
      <c r="DV84" s="1936"/>
      <c r="DW84" s="1936"/>
      <c r="DX84" s="1941"/>
      <c r="DY84" s="1941"/>
      <c r="DZ84" s="1941"/>
      <c r="EA84" s="1941"/>
      <c r="EB84" s="1941"/>
      <c r="EC84" s="1941"/>
      <c r="ED84" s="1941"/>
      <c r="EE84" s="1941"/>
      <c r="EF84" s="1941"/>
      <c r="EG84" s="1941"/>
      <c r="EH84" s="1941"/>
      <c r="EI84" s="1941"/>
      <c r="EJ84" s="1941"/>
      <c r="EK84" s="1941"/>
      <c r="EL84" s="1941"/>
      <c r="EM84" s="1941"/>
      <c r="EN84" s="1941"/>
      <c r="EO84" s="1941"/>
      <c r="EP84" s="1941"/>
      <c r="EQ84" s="1941"/>
      <c r="ER84" s="1941"/>
      <c r="ES84" s="1941"/>
      <c r="ET84" s="1941"/>
      <c r="EU84" s="1941"/>
      <c r="EV84" s="1941"/>
      <c r="EW84" s="1941"/>
      <c r="EX84" s="1941"/>
      <c r="EY84" s="1941"/>
      <c r="EZ84" s="1941"/>
      <c r="FA84" s="1941"/>
      <c r="FB84" s="1941"/>
      <c r="FC84" s="1941"/>
      <c r="FD84" s="1941"/>
      <c r="FE84" s="1941"/>
      <c r="FF84" s="1941"/>
      <c r="FG84" s="1941"/>
      <c r="FH84" s="1941"/>
      <c r="FI84" s="1941"/>
      <c r="FJ84" s="1941"/>
      <c r="FK84" s="1941"/>
      <c r="FL84" s="1941"/>
      <c r="FM84" s="1941"/>
      <c r="FN84" s="1941"/>
      <c r="FO84" s="1941"/>
      <c r="FP84" s="1941"/>
      <c r="FQ84" s="1941"/>
      <c r="FR84" s="1941"/>
      <c r="FS84" s="1941"/>
      <c r="FT84" s="1941"/>
      <c r="FU84" s="1941"/>
      <c r="FV84" s="1941"/>
      <c r="FW84" s="1941"/>
      <c r="FX84" s="1941"/>
      <c r="FY84" s="1941"/>
      <c r="FZ84" s="1941"/>
      <c r="GA84" s="1941"/>
      <c r="XES84" s="1944"/>
      <c r="XET84" s="1944"/>
      <c r="XEU84" s="1944"/>
      <c r="XEV84" s="1944"/>
      <c r="XEW84" s="1944"/>
      <c r="XEX84" s="1944"/>
      <c r="XEY84" s="1944"/>
      <c r="XEZ84" s="1944"/>
      <c r="XFA84" s="1944"/>
      <c r="XFB84" s="1944"/>
      <c r="XFC84" s="1944"/>
      <c r="XFD84" s="1944"/>
    </row>
    <row r="85" s="1664" customFormat="1" ht="36" customHeight="1" spans="1:16384">
      <c r="A85" s="1784">
        <v>45968</v>
      </c>
      <c r="B85" s="1785" t="s">
        <v>1671</v>
      </c>
      <c r="C85" s="1786" t="s">
        <v>398</v>
      </c>
      <c r="D85" s="1788">
        <v>4500184827</v>
      </c>
      <c r="E85" s="1785" t="s">
        <v>1830</v>
      </c>
      <c r="F85" s="1788" t="s">
        <v>1831</v>
      </c>
      <c r="G85" s="1789" t="s">
        <v>1489</v>
      </c>
      <c r="H85" s="1789" t="s">
        <v>1490</v>
      </c>
      <c r="I85" s="1410" t="s">
        <v>1491</v>
      </c>
      <c r="J85" s="1789">
        <v>36</v>
      </c>
      <c r="K85" s="1789">
        <v>0</v>
      </c>
      <c r="L85" s="1789">
        <v>18</v>
      </c>
      <c r="M85" s="1822">
        <f t="shared" si="28"/>
        <v>2</v>
      </c>
      <c r="N85" s="1823">
        <v>46009</v>
      </c>
      <c r="O85" s="1824">
        <v>46007</v>
      </c>
      <c r="P85" s="1825"/>
      <c r="Q85" s="1825" t="s">
        <v>1480</v>
      </c>
      <c r="R85" s="1825"/>
      <c r="S85" s="1845" t="s">
        <v>1184</v>
      </c>
      <c r="T85" s="1846"/>
      <c r="U85" s="1847" t="s">
        <v>1827</v>
      </c>
      <c r="V85" s="1848" t="s">
        <v>1654</v>
      </c>
      <c r="W85" s="1849" t="s">
        <v>1603</v>
      </c>
      <c r="X85" s="1850" t="s">
        <v>220</v>
      </c>
      <c r="Y85" s="1874">
        <v>3.7299</v>
      </c>
      <c r="Z85" s="1875">
        <f t="shared" si="26"/>
        <v>134.2764</v>
      </c>
      <c r="AA85" s="1876"/>
      <c r="AB85" s="1876">
        <v>36</v>
      </c>
      <c r="AC85" s="1876">
        <f t="shared" si="39"/>
        <v>0</v>
      </c>
      <c r="AD85" s="1876" t="s">
        <v>81</v>
      </c>
      <c r="AE85" s="1877" t="s">
        <v>63</v>
      </c>
      <c r="AF85" s="1877" t="s">
        <v>38</v>
      </c>
      <c r="AG85" s="1850">
        <f>J85</f>
        <v>36</v>
      </c>
      <c r="AH85" s="1850">
        <f>J85</f>
        <v>36</v>
      </c>
      <c r="AI85" s="1903">
        <f>J85</f>
        <v>36</v>
      </c>
      <c r="AJ85" s="1904"/>
      <c r="AK85" s="1905"/>
      <c r="AL85" s="1905">
        <f t="shared" si="32"/>
        <v>36</v>
      </c>
      <c r="AM85" s="1905"/>
      <c r="AN85" s="1905"/>
      <c r="AO85" s="1915"/>
      <c r="AP85" s="1915"/>
      <c r="AQ85" s="1916"/>
      <c r="AR85" s="1917"/>
      <c r="AS85" s="1903"/>
      <c r="AT85" s="1917"/>
      <c r="AU85" s="1918">
        <f>J85</f>
        <v>36</v>
      </c>
      <c r="AV85" s="1919"/>
      <c r="AW85" s="1936"/>
      <c r="AX85" s="1936"/>
      <c r="AY85" s="1936"/>
      <c r="AZ85" s="1936"/>
      <c r="BA85" s="1936"/>
      <c r="BB85" s="1936"/>
      <c r="BC85" s="1936"/>
      <c r="BD85" s="1936"/>
      <c r="BE85" s="1936"/>
      <c r="BF85" s="1936"/>
      <c r="BG85" s="1936"/>
      <c r="BH85" s="1936"/>
      <c r="BI85" s="1936"/>
      <c r="BJ85" s="1936"/>
      <c r="BK85" s="1936"/>
      <c r="BL85" s="1936"/>
      <c r="BM85" s="1936"/>
      <c r="BN85" s="1936"/>
      <c r="BO85" s="1936"/>
      <c r="BP85" s="1936"/>
      <c r="BQ85" s="1936"/>
      <c r="BR85" s="1936"/>
      <c r="BS85" s="1936"/>
      <c r="BT85" s="1936"/>
      <c r="BU85" s="1936"/>
      <c r="BV85" s="1936"/>
      <c r="BW85" s="1936"/>
      <c r="BX85" s="1936"/>
      <c r="BY85" s="1936"/>
      <c r="BZ85" s="1936"/>
      <c r="CA85" s="1936"/>
      <c r="CB85" s="1936"/>
      <c r="CC85" s="1936"/>
      <c r="CD85" s="1936"/>
      <c r="CE85" s="1936"/>
      <c r="CF85" s="1936"/>
      <c r="CG85" s="1936"/>
      <c r="CH85" s="1936"/>
      <c r="CI85" s="1936"/>
      <c r="CJ85" s="1936"/>
      <c r="CK85" s="1936"/>
      <c r="CL85" s="1936"/>
      <c r="CM85" s="1936"/>
      <c r="CN85" s="1936"/>
      <c r="CO85" s="1936"/>
      <c r="CP85" s="1936"/>
      <c r="CQ85" s="1936"/>
      <c r="CR85" s="1936"/>
      <c r="CS85" s="1936"/>
      <c r="CT85" s="1936"/>
      <c r="CU85" s="1936"/>
      <c r="CV85" s="1936"/>
      <c r="CW85" s="1936"/>
      <c r="CX85" s="1936"/>
      <c r="CY85" s="1936"/>
      <c r="CZ85" s="1936"/>
      <c r="DA85" s="1936"/>
      <c r="DB85" s="1936"/>
      <c r="DC85" s="1936"/>
      <c r="DD85" s="1936"/>
      <c r="DE85" s="1936"/>
      <c r="DF85" s="1936"/>
      <c r="DG85" s="1936"/>
      <c r="DH85" s="1936"/>
      <c r="DI85" s="1936"/>
      <c r="DJ85" s="1936"/>
      <c r="DK85" s="1936"/>
      <c r="DL85" s="1936"/>
      <c r="DM85" s="1936"/>
      <c r="DN85" s="1936"/>
      <c r="DO85" s="1936"/>
      <c r="DP85" s="1936"/>
      <c r="DQ85" s="1936"/>
      <c r="DR85" s="1936"/>
      <c r="DS85" s="1936"/>
      <c r="DT85" s="1936"/>
      <c r="DU85" s="1936"/>
      <c r="DV85" s="1936"/>
      <c r="DW85" s="1936"/>
      <c r="DX85" s="1941"/>
      <c r="DY85" s="1941"/>
      <c r="DZ85" s="1941"/>
      <c r="EA85" s="1941"/>
      <c r="EB85" s="1941"/>
      <c r="EC85" s="1941"/>
      <c r="ED85" s="1941"/>
      <c r="EE85" s="1941"/>
      <c r="EF85" s="1941"/>
      <c r="EG85" s="1941"/>
      <c r="EH85" s="1941"/>
      <c r="EI85" s="1941"/>
      <c r="EJ85" s="1941"/>
      <c r="EK85" s="1941"/>
      <c r="EL85" s="1941"/>
      <c r="EM85" s="1941"/>
      <c r="EN85" s="1941"/>
      <c r="EO85" s="1941"/>
      <c r="EP85" s="1941"/>
      <c r="EQ85" s="1941"/>
      <c r="ER85" s="1941"/>
      <c r="ES85" s="1941"/>
      <c r="ET85" s="1941"/>
      <c r="EU85" s="1941"/>
      <c r="EV85" s="1941"/>
      <c r="EW85" s="1941"/>
      <c r="EX85" s="1941"/>
      <c r="EY85" s="1941"/>
      <c r="EZ85" s="1941"/>
      <c r="FA85" s="1941"/>
      <c r="FB85" s="1941"/>
      <c r="FC85" s="1941"/>
      <c r="FD85" s="1941"/>
      <c r="FE85" s="1941"/>
      <c r="FF85" s="1941"/>
      <c r="FG85" s="1941"/>
      <c r="FH85" s="1941"/>
      <c r="FI85" s="1941"/>
      <c r="FJ85" s="1941"/>
      <c r="FK85" s="1941"/>
      <c r="FL85" s="1941"/>
      <c r="FM85" s="1941"/>
      <c r="FN85" s="1941"/>
      <c r="FO85" s="1941"/>
      <c r="FP85" s="1941"/>
      <c r="FQ85" s="1941"/>
      <c r="FR85" s="1941"/>
      <c r="FS85" s="1941"/>
      <c r="FT85" s="1941"/>
      <c r="FU85" s="1941"/>
      <c r="FV85" s="1941"/>
      <c r="FW85" s="1941"/>
      <c r="FX85" s="1941"/>
      <c r="FY85" s="1941"/>
      <c r="FZ85" s="1941"/>
      <c r="GA85" s="1941"/>
      <c r="XES85" s="1944"/>
      <c r="XET85" s="1944"/>
      <c r="XEU85" s="1944"/>
      <c r="XEV85" s="1944"/>
      <c r="XEW85" s="1944"/>
      <c r="XEX85" s="1944"/>
      <c r="XEY85" s="1944"/>
      <c r="XEZ85" s="1944"/>
      <c r="XFA85" s="1944"/>
      <c r="XFB85" s="1944"/>
      <c r="XFC85" s="1944"/>
      <c r="XFD85" s="1944"/>
    </row>
    <row r="86" s="1664" customFormat="1" ht="36" customHeight="1" spans="1:16384">
      <c r="A86" s="1784">
        <v>45968</v>
      </c>
      <c r="B86" s="1785" t="s">
        <v>1671</v>
      </c>
      <c r="C86" s="1786" t="s">
        <v>398</v>
      </c>
      <c r="D86" s="1788">
        <v>4500184827</v>
      </c>
      <c r="E86" s="1785" t="s">
        <v>1832</v>
      </c>
      <c r="F86" s="1788" t="s">
        <v>1833</v>
      </c>
      <c r="G86" s="1789" t="s">
        <v>1489</v>
      </c>
      <c r="H86" s="1789" t="s">
        <v>1490</v>
      </c>
      <c r="I86" s="1410" t="s">
        <v>1491</v>
      </c>
      <c r="J86" s="1789">
        <v>18</v>
      </c>
      <c r="K86" s="1789">
        <v>0</v>
      </c>
      <c r="L86" s="1789">
        <v>18</v>
      </c>
      <c r="M86" s="1822">
        <f t="shared" si="28"/>
        <v>1</v>
      </c>
      <c r="N86" s="1823">
        <v>46009</v>
      </c>
      <c r="O86" s="1824">
        <v>46007</v>
      </c>
      <c r="P86" s="1825"/>
      <c r="Q86" s="1825" t="s">
        <v>1480</v>
      </c>
      <c r="R86" s="1825"/>
      <c r="S86" s="1845" t="s">
        <v>1184</v>
      </c>
      <c r="T86" s="1846"/>
      <c r="U86" s="1847" t="s">
        <v>1827</v>
      </c>
      <c r="V86" s="1848" t="s">
        <v>1654</v>
      </c>
      <c r="W86" s="1849" t="s">
        <v>1603</v>
      </c>
      <c r="X86" s="1850" t="s">
        <v>220</v>
      </c>
      <c r="Y86" s="1874">
        <v>3.7299</v>
      </c>
      <c r="Z86" s="1875">
        <f t="shared" si="26"/>
        <v>67.1382</v>
      </c>
      <c r="AA86" s="1876"/>
      <c r="AB86" s="1876">
        <v>18</v>
      </c>
      <c r="AC86" s="1876">
        <f t="shared" si="39"/>
        <v>0</v>
      </c>
      <c r="AD86" s="1876" t="s">
        <v>81</v>
      </c>
      <c r="AE86" s="1877" t="s">
        <v>63</v>
      </c>
      <c r="AF86" s="1877" t="s">
        <v>38</v>
      </c>
      <c r="AG86" s="1850">
        <f>J86</f>
        <v>18</v>
      </c>
      <c r="AH86" s="1850">
        <f>J86</f>
        <v>18</v>
      </c>
      <c r="AI86" s="1903">
        <f>J86</f>
        <v>18</v>
      </c>
      <c r="AJ86" s="1904"/>
      <c r="AK86" s="1905"/>
      <c r="AL86" s="1905">
        <f t="shared" si="32"/>
        <v>18</v>
      </c>
      <c r="AM86" s="1905"/>
      <c r="AN86" s="1905"/>
      <c r="AO86" s="1915"/>
      <c r="AP86" s="1915"/>
      <c r="AQ86" s="1916"/>
      <c r="AR86" s="1917"/>
      <c r="AS86" s="1903"/>
      <c r="AT86" s="1917"/>
      <c r="AU86" s="1918">
        <f>J86</f>
        <v>18</v>
      </c>
      <c r="AV86" s="1919"/>
      <c r="AW86" s="1936"/>
      <c r="AX86" s="1936"/>
      <c r="AY86" s="1936"/>
      <c r="AZ86" s="1936"/>
      <c r="BA86" s="1936"/>
      <c r="BB86" s="1936"/>
      <c r="BC86" s="1936"/>
      <c r="BD86" s="1936"/>
      <c r="BE86" s="1936"/>
      <c r="BF86" s="1936"/>
      <c r="BG86" s="1936"/>
      <c r="BH86" s="1936"/>
      <c r="BI86" s="1936"/>
      <c r="BJ86" s="1936"/>
      <c r="BK86" s="1936"/>
      <c r="BL86" s="1936"/>
      <c r="BM86" s="1936"/>
      <c r="BN86" s="1936"/>
      <c r="BO86" s="1936"/>
      <c r="BP86" s="1936"/>
      <c r="BQ86" s="1936"/>
      <c r="BR86" s="1936"/>
      <c r="BS86" s="1936"/>
      <c r="BT86" s="1936"/>
      <c r="BU86" s="1936"/>
      <c r="BV86" s="1936"/>
      <c r="BW86" s="1936"/>
      <c r="BX86" s="1936"/>
      <c r="BY86" s="1936"/>
      <c r="BZ86" s="1936"/>
      <c r="CA86" s="1936"/>
      <c r="CB86" s="1936"/>
      <c r="CC86" s="1936"/>
      <c r="CD86" s="1936"/>
      <c r="CE86" s="1936"/>
      <c r="CF86" s="1936"/>
      <c r="CG86" s="1936"/>
      <c r="CH86" s="1936"/>
      <c r="CI86" s="1936"/>
      <c r="CJ86" s="1936"/>
      <c r="CK86" s="1936"/>
      <c r="CL86" s="1936"/>
      <c r="CM86" s="1936"/>
      <c r="CN86" s="1936"/>
      <c r="CO86" s="1936"/>
      <c r="CP86" s="1936"/>
      <c r="CQ86" s="1936"/>
      <c r="CR86" s="1936"/>
      <c r="CS86" s="1936"/>
      <c r="CT86" s="1936"/>
      <c r="CU86" s="1936"/>
      <c r="CV86" s="1936"/>
      <c r="CW86" s="1936"/>
      <c r="CX86" s="1936"/>
      <c r="CY86" s="1936"/>
      <c r="CZ86" s="1936"/>
      <c r="DA86" s="1936"/>
      <c r="DB86" s="1936"/>
      <c r="DC86" s="1936"/>
      <c r="DD86" s="1936"/>
      <c r="DE86" s="1936"/>
      <c r="DF86" s="1936"/>
      <c r="DG86" s="1936"/>
      <c r="DH86" s="1936"/>
      <c r="DI86" s="1936"/>
      <c r="DJ86" s="1936"/>
      <c r="DK86" s="1936"/>
      <c r="DL86" s="1936"/>
      <c r="DM86" s="1936"/>
      <c r="DN86" s="1936"/>
      <c r="DO86" s="1936"/>
      <c r="DP86" s="1936"/>
      <c r="DQ86" s="1936"/>
      <c r="DR86" s="1936"/>
      <c r="DS86" s="1936"/>
      <c r="DT86" s="1936"/>
      <c r="DU86" s="1936"/>
      <c r="DV86" s="1936"/>
      <c r="DW86" s="1936"/>
      <c r="DX86" s="1941"/>
      <c r="DY86" s="1941"/>
      <c r="DZ86" s="1941"/>
      <c r="EA86" s="1941"/>
      <c r="EB86" s="1941"/>
      <c r="EC86" s="1941"/>
      <c r="ED86" s="1941"/>
      <c r="EE86" s="1941"/>
      <c r="EF86" s="1941"/>
      <c r="EG86" s="1941"/>
      <c r="EH86" s="1941"/>
      <c r="EI86" s="1941"/>
      <c r="EJ86" s="1941"/>
      <c r="EK86" s="1941"/>
      <c r="EL86" s="1941"/>
      <c r="EM86" s="1941"/>
      <c r="EN86" s="1941"/>
      <c r="EO86" s="1941"/>
      <c r="EP86" s="1941"/>
      <c r="EQ86" s="1941"/>
      <c r="ER86" s="1941"/>
      <c r="ES86" s="1941"/>
      <c r="ET86" s="1941"/>
      <c r="EU86" s="1941"/>
      <c r="EV86" s="1941"/>
      <c r="EW86" s="1941"/>
      <c r="EX86" s="1941"/>
      <c r="EY86" s="1941"/>
      <c r="EZ86" s="1941"/>
      <c r="FA86" s="1941"/>
      <c r="FB86" s="1941"/>
      <c r="FC86" s="1941"/>
      <c r="FD86" s="1941"/>
      <c r="FE86" s="1941"/>
      <c r="FF86" s="1941"/>
      <c r="FG86" s="1941"/>
      <c r="FH86" s="1941"/>
      <c r="FI86" s="1941"/>
      <c r="FJ86" s="1941"/>
      <c r="FK86" s="1941"/>
      <c r="FL86" s="1941"/>
      <c r="FM86" s="1941"/>
      <c r="FN86" s="1941"/>
      <c r="FO86" s="1941"/>
      <c r="FP86" s="1941"/>
      <c r="FQ86" s="1941"/>
      <c r="FR86" s="1941"/>
      <c r="FS86" s="1941"/>
      <c r="FT86" s="1941"/>
      <c r="FU86" s="1941"/>
      <c r="FV86" s="1941"/>
      <c r="FW86" s="1941"/>
      <c r="FX86" s="1941"/>
      <c r="FY86" s="1941"/>
      <c r="FZ86" s="1941"/>
      <c r="GA86" s="1941"/>
      <c r="XES86" s="1944"/>
      <c r="XET86" s="1944"/>
      <c r="XEU86" s="1944"/>
      <c r="XEV86" s="1944"/>
      <c r="XEW86" s="1944"/>
      <c r="XEX86" s="1944"/>
      <c r="XEY86" s="1944"/>
      <c r="XEZ86" s="1944"/>
      <c r="XFA86" s="1944"/>
      <c r="XFB86" s="1944"/>
      <c r="XFC86" s="1944"/>
      <c r="XFD86" s="1944"/>
    </row>
    <row r="87" s="1664" customFormat="1" ht="36" customHeight="1" spans="1:16384">
      <c r="A87" s="1784">
        <v>45968</v>
      </c>
      <c r="B87" s="1785" t="s">
        <v>1671</v>
      </c>
      <c r="C87" s="1786" t="s">
        <v>398</v>
      </c>
      <c r="D87" s="1788">
        <v>4500184827</v>
      </c>
      <c r="E87" s="1785" t="s">
        <v>1834</v>
      </c>
      <c r="F87" s="1788" t="s">
        <v>1835</v>
      </c>
      <c r="G87" s="1789" t="s">
        <v>1489</v>
      </c>
      <c r="H87" s="1789" t="s">
        <v>1490</v>
      </c>
      <c r="I87" s="1410" t="s">
        <v>1491</v>
      </c>
      <c r="J87" s="1789">
        <v>54</v>
      </c>
      <c r="K87" s="1789">
        <v>0</v>
      </c>
      <c r="L87" s="1789">
        <v>18</v>
      </c>
      <c r="M87" s="1822">
        <f t="shared" si="28"/>
        <v>3</v>
      </c>
      <c r="N87" s="1823">
        <v>46009</v>
      </c>
      <c r="O87" s="1824">
        <v>46007</v>
      </c>
      <c r="P87" s="1825"/>
      <c r="Q87" s="1825" t="s">
        <v>1480</v>
      </c>
      <c r="R87" s="1825"/>
      <c r="S87" s="1845" t="s">
        <v>1184</v>
      </c>
      <c r="T87" s="1846"/>
      <c r="U87" s="1847" t="s">
        <v>1827</v>
      </c>
      <c r="V87" s="1848" t="s">
        <v>1654</v>
      </c>
      <c r="W87" s="1849" t="s">
        <v>1603</v>
      </c>
      <c r="X87" s="1850" t="s">
        <v>220</v>
      </c>
      <c r="Y87" s="1874">
        <v>3.7299</v>
      </c>
      <c r="Z87" s="1875">
        <f t="shared" si="26"/>
        <v>201.4146</v>
      </c>
      <c r="AA87" s="1876"/>
      <c r="AB87" s="1876">
        <v>54</v>
      </c>
      <c r="AC87" s="1876">
        <f t="shared" si="39"/>
        <v>0</v>
      </c>
      <c r="AD87" s="1876" t="s">
        <v>81</v>
      </c>
      <c r="AE87" s="1877" t="s">
        <v>63</v>
      </c>
      <c r="AF87" s="1877" t="s">
        <v>38</v>
      </c>
      <c r="AG87" s="1850">
        <f>J87</f>
        <v>54</v>
      </c>
      <c r="AH87" s="1850">
        <f>J87</f>
        <v>54</v>
      </c>
      <c r="AI87" s="1903">
        <f>J87</f>
        <v>54</v>
      </c>
      <c r="AJ87" s="1904"/>
      <c r="AK87" s="1905"/>
      <c r="AL87" s="1905">
        <f t="shared" si="32"/>
        <v>54</v>
      </c>
      <c r="AM87" s="1905"/>
      <c r="AN87" s="1905"/>
      <c r="AO87" s="1915"/>
      <c r="AP87" s="1915"/>
      <c r="AQ87" s="1916"/>
      <c r="AR87" s="1917"/>
      <c r="AS87" s="1903"/>
      <c r="AT87" s="1917"/>
      <c r="AU87" s="1918">
        <f>J87</f>
        <v>54</v>
      </c>
      <c r="AV87" s="1919"/>
      <c r="AW87" s="1936"/>
      <c r="AX87" s="1936"/>
      <c r="AY87" s="1936"/>
      <c r="AZ87" s="1936"/>
      <c r="BA87" s="1936"/>
      <c r="BB87" s="1936"/>
      <c r="BC87" s="1936"/>
      <c r="BD87" s="1936"/>
      <c r="BE87" s="1936"/>
      <c r="BF87" s="1936"/>
      <c r="BG87" s="1936"/>
      <c r="BH87" s="1936"/>
      <c r="BI87" s="1936"/>
      <c r="BJ87" s="1936"/>
      <c r="BK87" s="1936"/>
      <c r="BL87" s="1936"/>
      <c r="BM87" s="1936"/>
      <c r="BN87" s="1936"/>
      <c r="BO87" s="1936"/>
      <c r="BP87" s="1936"/>
      <c r="BQ87" s="1936"/>
      <c r="BR87" s="1936"/>
      <c r="BS87" s="1936"/>
      <c r="BT87" s="1936"/>
      <c r="BU87" s="1936"/>
      <c r="BV87" s="1936"/>
      <c r="BW87" s="1936"/>
      <c r="BX87" s="1936"/>
      <c r="BY87" s="1936"/>
      <c r="BZ87" s="1936"/>
      <c r="CA87" s="1936"/>
      <c r="CB87" s="1936"/>
      <c r="CC87" s="1936"/>
      <c r="CD87" s="1936"/>
      <c r="CE87" s="1936"/>
      <c r="CF87" s="1936"/>
      <c r="CG87" s="1936"/>
      <c r="CH87" s="1936"/>
      <c r="CI87" s="1936"/>
      <c r="CJ87" s="1936"/>
      <c r="CK87" s="1936"/>
      <c r="CL87" s="1936"/>
      <c r="CM87" s="1936"/>
      <c r="CN87" s="1936"/>
      <c r="CO87" s="1936"/>
      <c r="CP87" s="1936"/>
      <c r="CQ87" s="1936"/>
      <c r="CR87" s="1936"/>
      <c r="CS87" s="1936"/>
      <c r="CT87" s="1936"/>
      <c r="CU87" s="1936"/>
      <c r="CV87" s="1936"/>
      <c r="CW87" s="1936"/>
      <c r="CX87" s="1936"/>
      <c r="CY87" s="1936"/>
      <c r="CZ87" s="1936"/>
      <c r="DA87" s="1936"/>
      <c r="DB87" s="1936"/>
      <c r="DC87" s="1936"/>
      <c r="DD87" s="1936"/>
      <c r="DE87" s="1936"/>
      <c r="DF87" s="1936"/>
      <c r="DG87" s="1936"/>
      <c r="DH87" s="1936"/>
      <c r="DI87" s="1936"/>
      <c r="DJ87" s="1936"/>
      <c r="DK87" s="1936"/>
      <c r="DL87" s="1936"/>
      <c r="DM87" s="1936"/>
      <c r="DN87" s="1936"/>
      <c r="DO87" s="1936"/>
      <c r="DP87" s="1936"/>
      <c r="DQ87" s="1936"/>
      <c r="DR87" s="1936"/>
      <c r="DS87" s="1936"/>
      <c r="DT87" s="1936"/>
      <c r="DU87" s="1936"/>
      <c r="DV87" s="1936"/>
      <c r="DW87" s="1936"/>
      <c r="DX87" s="1941"/>
      <c r="DY87" s="1941"/>
      <c r="DZ87" s="1941"/>
      <c r="EA87" s="1941"/>
      <c r="EB87" s="1941"/>
      <c r="EC87" s="1941"/>
      <c r="ED87" s="1941"/>
      <c r="EE87" s="1941"/>
      <c r="EF87" s="1941"/>
      <c r="EG87" s="1941"/>
      <c r="EH87" s="1941"/>
      <c r="EI87" s="1941"/>
      <c r="EJ87" s="1941"/>
      <c r="EK87" s="1941"/>
      <c r="EL87" s="1941"/>
      <c r="EM87" s="1941"/>
      <c r="EN87" s="1941"/>
      <c r="EO87" s="1941"/>
      <c r="EP87" s="1941"/>
      <c r="EQ87" s="1941"/>
      <c r="ER87" s="1941"/>
      <c r="ES87" s="1941"/>
      <c r="ET87" s="1941"/>
      <c r="EU87" s="1941"/>
      <c r="EV87" s="1941"/>
      <c r="EW87" s="1941"/>
      <c r="EX87" s="1941"/>
      <c r="EY87" s="1941"/>
      <c r="EZ87" s="1941"/>
      <c r="FA87" s="1941"/>
      <c r="FB87" s="1941"/>
      <c r="FC87" s="1941"/>
      <c r="FD87" s="1941"/>
      <c r="FE87" s="1941"/>
      <c r="FF87" s="1941"/>
      <c r="FG87" s="1941"/>
      <c r="FH87" s="1941"/>
      <c r="FI87" s="1941"/>
      <c r="FJ87" s="1941"/>
      <c r="FK87" s="1941"/>
      <c r="FL87" s="1941"/>
      <c r="FM87" s="1941"/>
      <c r="FN87" s="1941"/>
      <c r="FO87" s="1941"/>
      <c r="FP87" s="1941"/>
      <c r="FQ87" s="1941"/>
      <c r="FR87" s="1941"/>
      <c r="FS87" s="1941"/>
      <c r="FT87" s="1941"/>
      <c r="FU87" s="1941"/>
      <c r="FV87" s="1941"/>
      <c r="FW87" s="1941"/>
      <c r="FX87" s="1941"/>
      <c r="FY87" s="1941"/>
      <c r="FZ87" s="1941"/>
      <c r="GA87" s="1941"/>
      <c r="XES87" s="1944"/>
      <c r="XET87" s="1944"/>
      <c r="XEU87" s="1944"/>
      <c r="XEV87" s="1944"/>
      <c r="XEW87" s="1944"/>
      <c r="XEX87" s="1944"/>
      <c r="XEY87" s="1944"/>
      <c r="XEZ87" s="1944"/>
      <c r="XFA87" s="1944"/>
      <c r="XFB87" s="1944"/>
      <c r="XFC87" s="1944"/>
      <c r="XFD87" s="1944"/>
    </row>
    <row r="88" s="1664" customFormat="1" ht="36" customHeight="1" spans="1:16384">
      <c r="A88" s="1784">
        <v>45968</v>
      </c>
      <c r="B88" s="1785" t="s">
        <v>1231</v>
      </c>
      <c r="C88" s="1786" t="s">
        <v>91</v>
      </c>
      <c r="D88" s="1788">
        <v>4500184950</v>
      </c>
      <c r="E88" s="1785">
        <v>384174102</v>
      </c>
      <c r="F88" s="1788" t="s">
        <v>1836</v>
      </c>
      <c r="G88" s="1789" t="s">
        <v>1732</v>
      </c>
      <c r="H88" s="1789" t="s">
        <v>1478</v>
      </c>
      <c r="I88" s="1410" t="s">
        <v>1479</v>
      </c>
      <c r="J88" s="1789">
        <v>1200</v>
      </c>
      <c r="K88" s="1789">
        <v>0</v>
      </c>
      <c r="L88" s="1789">
        <v>24</v>
      </c>
      <c r="M88" s="1822">
        <f t="shared" si="28"/>
        <v>50</v>
      </c>
      <c r="N88" s="1823">
        <v>46013</v>
      </c>
      <c r="O88" s="1824">
        <v>46009</v>
      </c>
      <c r="P88" s="1825"/>
      <c r="Q88" s="1825" t="s">
        <v>1480</v>
      </c>
      <c r="R88" s="1825" t="s">
        <v>1233</v>
      </c>
      <c r="S88" s="1472" t="s">
        <v>1234</v>
      </c>
      <c r="T88" s="1467"/>
      <c r="U88" s="1467" t="s">
        <v>1235</v>
      </c>
      <c r="V88" s="1848" t="s">
        <v>348</v>
      </c>
      <c r="W88" s="1849" t="s">
        <v>1837</v>
      </c>
      <c r="X88" s="1850" t="s">
        <v>350</v>
      </c>
      <c r="Y88" s="1874">
        <v>0.9073</v>
      </c>
      <c r="Z88" s="1875">
        <f t="shared" si="26"/>
        <v>1088.76</v>
      </c>
      <c r="AA88" s="1876"/>
      <c r="AB88" s="1876">
        <v>1200</v>
      </c>
      <c r="AC88" s="1876">
        <f t="shared" si="39"/>
        <v>0</v>
      </c>
      <c r="AD88" s="1878" t="s">
        <v>81</v>
      </c>
      <c r="AE88" s="1877" t="s">
        <v>63</v>
      </c>
      <c r="AF88" s="1877" t="s">
        <v>38</v>
      </c>
      <c r="AG88" s="1850">
        <f>J88/3</f>
        <v>400</v>
      </c>
      <c r="AH88" s="1850">
        <f>J88/3</f>
        <v>400</v>
      </c>
      <c r="AI88" s="1903">
        <f>J88/3</f>
        <v>400</v>
      </c>
      <c r="AJ88" s="1904">
        <f>J88</f>
        <v>1200</v>
      </c>
      <c r="AK88" s="1905"/>
      <c r="AL88" s="1905">
        <f t="shared" si="32"/>
        <v>1200</v>
      </c>
      <c r="AM88" s="1905"/>
      <c r="AN88" s="1905"/>
      <c r="AO88" s="1915"/>
      <c r="AP88" s="1915"/>
      <c r="AQ88" s="1916"/>
      <c r="AR88" s="1917"/>
      <c r="AS88" s="1903"/>
      <c r="AT88" s="1917"/>
      <c r="AU88" s="1918"/>
      <c r="AV88" s="1919"/>
      <c r="AW88" s="1936"/>
      <c r="AX88" s="1936"/>
      <c r="AY88" s="1936"/>
      <c r="AZ88" s="1936"/>
      <c r="BA88" s="1936"/>
      <c r="BB88" s="1936"/>
      <c r="BC88" s="1936"/>
      <c r="BD88" s="1936"/>
      <c r="BE88" s="1936"/>
      <c r="BF88" s="1936"/>
      <c r="BG88" s="1936"/>
      <c r="BH88" s="1936"/>
      <c r="BI88" s="1936"/>
      <c r="BJ88" s="1936"/>
      <c r="BK88" s="1936"/>
      <c r="BL88" s="1936"/>
      <c r="BM88" s="1936"/>
      <c r="BN88" s="1936"/>
      <c r="BO88" s="1936"/>
      <c r="BP88" s="1936"/>
      <c r="BQ88" s="1936"/>
      <c r="BR88" s="1936"/>
      <c r="BS88" s="1936"/>
      <c r="BT88" s="1936"/>
      <c r="BU88" s="1936"/>
      <c r="BV88" s="1936"/>
      <c r="BW88" s="1936"/>
      <c r="BX88" s="1936"/>
      <c r="BY88" s="1936"/>
      <c r="BZ88" s="1936"/>
      <c r="CA88" s="1936"/>
      <c r="CB88" s="1936"/>
      <c r="CC88" s="1936"/>
      <c r="CD88" s="1936"/>
      <c r="CE88" s="1936"/>
      <c r="CF88" s="1936"/>
      <c r="CG88" s="1936"/>
      <c r="CH88" s="1936"/>
      <c r="CI88" s="1936"/>
      <c r="CJ88" s="1936"/>
      <c r="CK88" s="1936"/>
      <c r="CL88" s="1936"/>
      <c r="CM88" s="1936"/>
      <c r="CN88" s="1936"/>
      <c r="CO88" s="1936"/>
      <c r="CP88" s="1936"/>
      <c r="CQ88" s="1936"/>
      <c r="CR88" s="1936"/>
      <c r="CS88" s="1936"/>
      <c r="CT88" s="1936"/>
      <c r="CU88" s="1936"/>
      <c r="CV88" s="1936"/>
      <c r="CW88" s="1936"/>
      <c r="CX88" s="1936"/>
      <c r="CY88" s="1936"/>
      <c r="CZ88" s="1936"/>
      <c r="DA88" s="1936"/>
      <c r="DB88" s="1936"/>
      <c r="DC88" s="1936"/>
      <c r="DD88" s="1936"/>
      <c r="DE88" s="1936"/>
      <c r="DF88" s="1936"/>
      <c r="DG88" s="1936"/>
      <c r="DH88" s="1936"/>
      <c r="DI88" s="1936"/>
      <c r="DJ88" s="1936"/>
      <c r="DK88" s="1936"/>
      <c r="DL88" s="1936"/>
      <c r="DM88" s="1936"/>
      <c r="DN88" s="1936"/>
      <c r="DO88" s="1936"/>
      <c r="DP88" s="1936"/>
      <c r="DQ88" s="1936"/>
      <c r="DR88" s="1936"/>
      <c r="DS88" s="1936"/>
      <c r="DT88" s="1936"/>
      <c r="DU88" s="1936"/>
      <c r="DV88" s="1936"/>
      <c r="DW88" s="1936"/>
      <c r="DX88" s="1941"/>
      <c r="DY88" s="1941"/>
      <c r="DZ88" s="1941"/>
      <c r="EA88" s="1941"/>
      <c r="EB88" s="1941"/>
      <c r="EC88" s="1941"/>
      <c r="ED88" s="1941"/>
      <c r="EE88" s="1941"/>
      <c r="EF88" s="1941"/>
      <c r="EG88" s="1941"/>
      <c r="EH88" s="1941"/>
      <c r="EI88" s="1941"/>
      <c r="EJ88" s="1941"/>
      <c r="EK88" s="1941"/>
      <c r="EL88" s="1941"/>
      <c r="EM88" s="1941"/>
      <c r="EN88" s="1941"/>
      <c r="EO88" s="1941"/>
      <c r="EP88" s="1941"/>
      <c r="EQ88" s="1941"/>
      <c r="ER88" s="1941"/>
      <c r="ES88" s="1941"/>
      <c r="ET88" s="1941"/>
      <c r="EU88" s="1941"/>
      <c r="EV88" s="1941"/>
      <c r="EW88" s="1941"/>
      <c r="EX88" s="1941"/>
      <c r="EY88" s="1941"/>
      <c r="EZ88" s="1941"/>
      <c r="FA88" s="1941"/>
      <c r="FB88" s="1941"/>
      <c r="FC88" s="1941"/>
      <c r="FD88" s="1941"/>
      <c r="FE88" s="1941"/>
      <c r="FF88" s="1941"/>
      <c r="FG88" s="1941"/>
      <c r="FH88" s="1941"/>
      <c r="FI88" s="1941"/>
      <c r="FJ88" s="1941"/>
      <c r="FK88" s="1941"/>
      <c r="FL88" s="1941"/>
      <c r="FM88" s="1941"/>
      <c r="FN88" s="1941"/>
      <c r="FO88" s="1941"/>
      <c r="FP88" s="1941"/>
      <c r="FQ88" s="1941"/>
      <c r="FR88" s="1941"/>
      <c r="FS88" s="1941"/>
      <c r="FT88" s="1941"/>
      <c r="FU88" s="1941"/>
      <c r="FV88" s="1941"/>
      <c r="FW88" s="1941"/>
      <c r="FX88" s="1941"/>
      <c r="FY88" s="1941"/>
      <c r="FZ88" s="1941"/>
      <c r="GA88" s="1941"/>
      <c r="XES88" s="1944"/>
      <c r="XET88" s="1944"/>
      <c r="XEU88" s="1944"/>
      <c r="XEV88" s="1944"/>
      <c r="XEW88" s="1944"/>
      <c r="XEX88" s="1944"/>
      <c r="XEY88" s="1944"/>
      <c r="XEZ88" s="1944"/>
      <c r="XFA88" s="1944"/>
      <c r="XFB88" s="1944"/>
      <c r="XFC88" s="1944"/>
      <c r="XFD88" s="1944"/>
    </row>
    <row r="89" s="1664" customFormat="1" ht="36" customHeight="1" spans="1:16384">
      <c r="A89" s="1784">
        <v>45968</v>
      </c>
      <c r="B89" s="1785" t="s">
        <v>1231</v>
      </c>
      <c r="C89" s="1786" t="s">
        <v>91</v>
      </c>
      <c r="D89" s="1788">
        <v>4500184953</v>
      </c>
      <c r="E89" s="1785">
        <v>384192802</v>
      </c>
      <c r="F89" s="1788" t="s">
        <v>1838</v>
      </c>
      <c r="G89" s="1789" t="s">
        <v>1732</v>
      </c>
      <c r="H89" s="1789" t="s">
        <v>1478</v>
      </c>
      <c r="I89" s="1410" t="s">
        <v>1479</v>
      </c>
      <c r="J89" s="1789">
        <v>1200</v>
      </c>
      <c r="K89" s="1789">
        <v>0</v>
      </c>
      <c r="L89" s="1789">
        <v>24</v>
      </c>
      <c r="M89" s="1822">
        <f t="shared" si="28"/>
        <v>50</v>
      </c>
      <c r="N89" s="1823">
        <v>46013</v>
      </c>
      <c r="O89" s="1824">
        <v>46009</v>
      </c>
      <c r="P89" s="1825"/>
      <c r="Q89" s="1825" t="s">
        <v>1480</v>
      </c>
      <c r="R89" s="1825" t="s">
        <v>1233</v>
      </c>
      <c r="S89" s="1472" t="s">
        <v>1234</v>
      </c>
      <c r="T89" s="1467"/>
      <c r="U89" s="1467" t="s">
        <v>1235</v>
      </c>
      <c r="V89" s="1848" t="s">
        <v>348</v>
      </c>
      <c r="W89" s="1849" t="s">
        <v>1837</v>
      </c>
      <c r="X89" s="1850" t="s">
        <v>350</v>
      </c>
      <c r="Y89" s="1874">
        <v>0.8993</v>
      </c>
      <c r="Z89" s="1875">
        <f t="shared" si="26"/>
        <v>1079.16</v>
      </c>
      <c r="AA89" s="1876"/>
      <c r="AB89" s="1876">
        <v>1200</v>
      </c>
      <c r="AC89" s="1876">
        <f t="shared" si="39"/>
        <v>0</v>
      </c>
      <c r="AD89" s="1878" t="s">
        <v>81</v>
      </c>
      <c r="AE89" s="1877" t="s">
        <v>63</v>
      </c>
      <c r="AF89" s="1877" t="s">
        <v>38</v>
      </c>
      <c r="AG89" s="1850">
        <f>J89/3</f>
        <v>400</v>
      </c>
      <c r="AH89" s="1850">
        <f>J89/3</f>
        <v>400</v>
      </c>
      <c r="AI89" s="1903">
        <f>J89/3</f>
        <v>400</v>
      </c>
      <c r="AJ89" s="1904">
        <f>J89</f>
        <v>1200</v>
      </c>
      <c r="AK89" s="1905"/>
      <c r="AL89" s="1905">
        <f t="shared" si="32"/>
        <v>1200</v>
      </c>
      <c r="AM89" s="1905"/>
      <c r="AN89" s="1905"/>
      <c r="AO89" s="1915"/>
      <c r="AP89" s="1915"/>
      <c r="AQ89" s="1916"/>
      <c r="AR89" s="1917"/>
      <c r="AS89" s="1903"/>
      <c r="AT89" s="1917"/>
      <c r="AU89" s="1918"/>
      <c r="AV89" s="1919"/>
      <c r="AW89" s="1936"/>
      <c r="AX89" s="1936"/>
      <c r="AY89" s="1936"/>
      <c r="AZ89" s="1936"/>
      <c r="BA89" s="1936"/>
      <c r="BB89" s="1936"/>
      <c r="BC89" s="1936"/>
      <c r="BD89" s="1936"/>
      <c r="BE89" s="1936"/>
      <c r="BF89" s="1936"/>
      <c r="BG89" s="1936"/>
      <c r="BH89" s="1936"/>
      <c r="BI89" s="1936"/>
      <c r="BJ89" s="1936"/>
      <c r="BK89" s="1936"/>
      <c r="BL89" s="1936"/>
      <c r="BM89" s="1936"/>
      <c r="BN89" s="1936"/>
      <c r="BO89" s="1936"/>
      <c r="BP89" s="1936"/>
      <c r="BQ89" s="1936"/>
      <c r="BR89" s="1936"/>
      <c r="BS89" s="1936"/>
      <c r="BT89" s="1936"/>
      <c r="BU89" s="1936"/>
      <c r="BV89" s="1936"/>
      <c r="BW89" s="1936"/>
      <c r="BX89" s="1936"/>
      <c r="BY89" s="1936"/>
      <c r="BZ89" s="1936"/>
      <c r="CA89" s="1936"/>
      <c r="CB89" s="1936"/>
      <c r="CC89" s="1936"/>
      <c r="CD89" s="1936"/>
      <c r="CE89" s="1936"/>
      <c r="CF89" s="1936"/>
      <c r="CG89" s="1936"/>
      <c r="CH89" s="1936"/>
      <c r="CI89" s="1936"/>
      <c r="CJ89" s="1936"/>
      <c r="CK89" s="1936"/>
      <c r="CL89" s="1936"/>
      <c r="CM89" s="1936"/>
      <c r="CN89" s="1936"/>
      <c r="CO89" s="1936"/>
      <c r="CP89" s="1936"/>
      <c r="CQ89" s="1936"/>
      <c r="CR89" s="1936"/>
      <c r="CS89" s="1936"/>
      <c r="CT89" s="1936"/>
      <c r="CU89" s="1936"/>
      <c r="CV89" s="1936"/>
      <c r="CW89" s="1936"/>
      <c r="CX89" s="1936"/>
      <c r="CY89" s="1936"/>
      <c r="CZ89" s="1936"/>
      <c r="DA89" s="1936"/>
      <c r="DB89" s="1936"/>
      <c r="DC89" s="1936"/>
      <c r="DD89" s="1936"/>
      <c r="DE89" s="1936"/>
      <c r="DF89" s="1936"/>
      <c r="DG89" s="1936"/>
      <c r="DH89" s="1936"/>
      <c r="DI89" s="1936"/>
      <c r="DJ89" s="1936"/>
      <c r="DK89" s="1936"/>
      <c r="DL89" s="1936"/>
      <c r="DM89" s="1936"/>
      <c r="DN89" s="1936"/>
      <c r="DO89" s="1936"/>
      <c r="DP89" s="1936"/>
      <c r="DQ89" s="1936"/>
      <c r="DR89" s="1936"/>
      <c r="DS89" s="1936"/>
      <c r="DT89" s="1936"/>
      <c r="DU89" s="1936"/>
      <c r="DV89" s="1936"/>
      <c r="DW89" s="1936"/>
      <c r="DX89" s="1941"/>
      <c r="DY89" s="1941"/>
      <c r="DZ89" s="1941"/>
      <c r="EA89" s="1941"/>
      <c r="EB89" s="1941"/>
      <c r="EC89" s="1941"/>
      <c r="ED89" s="1941"/>
      <c r="EE89" s="1941"/>
      <c r="EF89" s="1941"/>
      <c r="EG89" s="1941"/>
      <c r="EH89" s="1941"/>
      <c r="EI89" s="1941"/>
      <c r="EJ89" s="1941"/>
      <c r="EK89" s="1941"/>
      <c r="EL89" s="1941"/>
      <c r="EM89" s="1941"/>
      <c r="EN89" s="1941"/>
      <c r="EO89" s="1941"/>
      <c r="EP89" s="1941"/>
      <c r="EQ89" s="1941"/>
      <c r="ER89" s="1941"/>
      <c r="ES89" s="1941"/>
      <c r="ET89" s="1941"/>
      <c r="EU89" s="1941"/>
      <c r="EV89" s="1941"/>
      <c r="EW89" s="1941"/>
      <c r="EX89" s="1941"/>
      <c r="EY89" s="1941"/>
      <c r="EZ89" s="1941"/>
      <c r="FA89" s="1941"/>
      <c r="FB89" s="1941"/>
      <c r="FC89" s="1941"/>
      <c r="FD89" s="1941"/>
      <c r="FE89" s="1941"/>
      <c r="FF89" s="1941"/>
      <c r="FG89" s="1941"/>
      <c r="FH89" s="1941"/>
      <c r="FI89" s="1941"/>
      <c r="FJ89" s="1941"/>
      <c r="FK89" s="1941"/>
      <c r="FL89" s="1941"/>
      <c r="FM89" s="1941"/>
      <c r="FN89" s="1941"/>
      <c r="FO89" s="1941"/>
      <c r="FP89" s="1941"/>
      <c r="FQ89" s="1941"/>
      <c r="FR89" s="1941"/>
      <c r="FS89" s="1941"/>
      <c r="FT89" s="1941"/>
      <c r="FU89" s="1941"/>
      <c r="FV89" s="1941"/>
      <c r="FW89" s="1941"/>
      <c r="FX89" s="1941"/>
      <c r="FY89" s="1941"/>
      <c r="FZ89" s="1941"/>
      <c r="GA89" s="1941"/>
      <c r="XES89" s="1944"/>
      <c r="XET89" s="1944"/>
      <c r="XEU89" s="1944"/>
      <c r="XEV89" s="1944"/>
      <c r="XEW89" s="1944"/>
      <c r="XEX89" s="1944"/>
      <c r="XEY89" s="1944"/>
      <c r="XEZ89" s="1944"/>
      <c r="XFA89" s="1944"/>
      <c r="XFB89" s="1944"/>
      <c r="XFC89" s="1944"/>
      <c r="XFD89" s="1944"/>
    </row>
    <row r="90" s="1663" customFormat="1" ht="36" customHeight="1" spans="1:16384">
      <c r="A90" s="1693">
        <v>45917</v>
      </c>
      <c r="B90" s="1694" t="s">
        <v>1516</v>
      </c>
      <c r="C90" s="1695" t="s">
        <v>91</v>
      </c>
      <c r="D90" s="1696">
        <v>4500179708</v>
      </c>
      <c r="E90" s="1694">
        <v>11919217</v>
      </c>
      <c r="F90" s="1696" t="s">
        <v>1839</v>
      </c>
      <c r="G90" s="1697" t="s">
        <v>1518</v>
      </c>
      <c r="H90" s="1697" t="s">
        <v>1519</v>
      </c>
      <c r="I90" s="1704" t="s">
        <v>1479</v>
      </c>
      <c r="J90" s="1697">
        <v>378</v>
      </c>
      <c r="K90" s="1697">
        <v>0</v>
      </c>
      <c r="L90" s="1697">
        <v>6</v>
      </c>
      <c r="M90" s="1705">
        <f t="shared" si="28"/>
        <v>63</v>
      </c>
      <c r="N90" s="1706">
        <v>46029</v>
      </c>
      <c r="O90" s="1711">
        <v>46025</v>
      </c>
      <c r="P90" s="1708"/>
      <c r="Q90" s="1708" t="s">
        <v>1480</v>
      </c>
      <c r="R90" s="1708" t="s">
        <v>109</v>
      </c>
      <c r="S90" s="1727" t="s">
        <v>1818</v>
      </c>
      <c r="T90" s="1728"/>
      <c r="U90" s="1729" t="s">
        <v>1819</v>
      </c>
      <c r="V90" s="1721" t="s">
        <v>1522</v>
      </c>
      <c r="W90" s="1719" t="s">
        <v>1808</v>
      </c>
      <c r="X90" s="1720" t="s">
        <v>1820</v>
      </c>
      <c r="Y90" s="1739">
        <v>0.9545</v>
      </c>
      <c r="Z90" s="1740">
        <f t="shared" si="26"/>
        <v>360.801</v>
      </c>
      <c r="AA90" s="1741"/>
      <c r="AB90" s="1741">
        <v>378</v>
      </c>
      <c r="AC90" s="1741">
        <f t="shared" si="39"/>
        <v>0</v>
      </c>
      <c r="AD90" s="1741" t="s">
        <v>81</v>
      </c>
      <c r="AE90" s="1742" t="s">
        <v>63</v>
      </c>
      <c r="AF90" s="1742" t="s">
        <v>38</v>
      </c>
      <c r="AG90" s="1720">
        <f>J90/3</f>
        <v>126</v>
      </c>
      <c r="AH90" s="1720">
        <f>J90/3</f>
        <v>126</v>
      </c>
      <c r="AI90" s="1754">
        <f>J90/3</f>
        <v>126</v>
      </c>
      <c r="AJ90" s="1755">
        <f>J90</f>
        <v>378</v>
      </c>
      <c r="AK90" s="1756"/>
      <c r="AL90" s="1756">
        <f t="shared" si="32"/>
        <v>378</v>
      </c>
      <c r="AM90" s="1756">
        <f>J90/6</f>
        <v>63</v>
      </c>
      <c r="AN90" s="1756"/>
      <c r="AO90" s="1771"/>
      <c r="AP90" s="1771"/>
      <c r="AQ90" s="1772"/>
      <c r="AR90" s="1773"/>
      <c r="AS90" s="1754"/>
      <c r="AT90" s="1773"/>
      <c r="AU90" s="1774"/>
      <c r="AV90" s="1775"/>
      <c r="AW90" s="1777"/>
      <c r="AX90" s="1777"/>
      <c r="AY90" s="1777"/>
      <c r="AZ90" s="1777"/>
      <c r="BA90" s="1777"/>
      <c r="BB90" s="1777"/>
      <c r="BC90" s="1777"/>
      <c r="BD90" s="1777"/>
      <c r="BE90" s="1777"/>
      <c r="BF90" s="1777"/>
      <c r="BG90" s="1777"/>
      <c r="BH90" s="1777"/>
      <c r="BI90" s="1777"/>
      <c r="BJ90" s="1777"/>
      <c r="BK90" s="1777"/>
      <c r="BL90" s="1777"/>
      <c r="BM90" s="1777"/>
      <c r="BN90" s="1777"/>
      <c r="BO90" s="1777"/>
      <c r="BP90" s="1777"/>
      <c r="BQ90" s="1777"/>
      <c r="BR90" s="1777"/>
      <c r="BS90" s="1777"/>
      <c r="BT90" s="1777"/>
      <c r="BU90" s="1777"/>
      <c r="BV90" s="1777"/>
      <c r="BW90" s="1777"/>
      <c r="BX90" s="1777"/>
      <c r="BY90" s="1777"/>
      <c r="BZ90" s="1777"/>
      <c r="CA90" s="1777"/>
      <c r="CB90" s="1777"/>
      <c r="CC90" s="1777"/>
      <c r="CD90" s="1777"/>
      <c r="CE90" s="1777"/>
      <c r="CF90" s="1777"/>
      <c r="CG90" s="1777"/>
      <c r="CH90" s="1777"/>
      <c r="CI90" s="1777"/>
      <c r="CJ90" s="1777"/>
      <c r="CK90" s="1777"/>
      <c r="CL90" s="1777"/>
      <c r="CM90" s="1777"/>
      <c r="CN90" s="1777"/>
      <c r="CO90" s="1777"/>
      <c r="CP90" s="1777"/>
      <c r="CQ90" s="1777"/>
      <c r="CR90" s="1777"/>
      <c r="CS90" s="1777"/>
      <c r="CT90" s="1777"/>
      <c r="CU90" s="1777"/>
      <c r="CV90" s="1777"/>
      <c r="CW90" s="1777"/>
      <c r="CX90" s="1777"/>
      <c r="CY90" s="1777"/>
      <c r="CZ90" s="1777"/>
      <c r="DA90" s="1777"/>
      <c r="DB90" s="1777"/>
      <c r="DC90" s="1777"/>
      <c r="DD90" s="1777"/>
      <c r="DE90" s="1777"/>
      <c r="DF90" s="1777"/>
      <c r="DG90" s="1777"/>
      <c r="DH90" s="1777"/>
      <c r="DI90" s="1777"/>
      <c r="DJ90" s="1777"/>
      <c r="DK90" s="1777"/>
      <c r="DL90" s="1777"/>
      <c r="DM90" s="1777"/>
      <c r="DN90" s="1777"/>
      <c r="DO90" s="1777"/>
      <c r="DP90" s="1777"/>
      <c r="DQ90" s="1777"/>
      <c r="DR90" s="1777"/>
      <c r="DS90" s="1777"/>
      <c r="DT90" s="1777"/>
      <c r="DU90" s="1777"/>
      <c r="DV90" s="1777"/>
      <c r="DW90" s="1777"/>
      <c r="DX90" s="1779"/>
      <c r="DY90" s="1779"/>
      <c r="DZ90" s="1779"/>
      <c r="EA90" s="1779"/>
      <c r="EB90" s="1779"/>
      <c r="EC90" s="1779"/>
      <c r="ED90" s="1779"/>
      <c r="EE90" s="1779"/>
      <c r="EF90" s="1779"/>
      <c r="EG90" s="1779"/>
      <c r="EH90" s="1779"/>
      <c r="EI90" s="1779"/>
      <c r="EJ90" s="1779"/>
      <c r="EK90" s="1779"/>
      <c r="EL90" s="1779"/>
      <c r="EM90" s="1779"/>
      <c r="EN90" s="1779"/>
      <c r="EO90" s="1779"/>
      <c r="EP90" s="1779"/>
      <c r="EQ90" s="1779"/>
      <c r="ER90" s="1779"/>
      <c r="ES90" s="1779"/>
      <c r="ET90" s="1779"/>
      <c r="EU90" s="1779"/>
      <c r="EV90" s="1779"/>
      <c r="EW90" s="1779"/>
      <c r="EX90" s="1779"/>
      <c r="EY90" s="1779"/>
      <c r="EZ90" s="1779"/>
      <c r="FA90" s="1779"/>
      <c r="FB90" s="1779"/>
      <c r="FC90" s="1779"/>
      <c r="FD90" s="1779"/>
      <c r="FE90" s="1779"/>
      <c r="FF90" s="1779"/>
      <c r="FG90" s="1779"/>
      <c r="FH90" s="1779"/>
      <c r="FI90" s="1779"/>
      <c r="FJ90" s="1779"/>
      <c r="FK90" s="1779"/>
      <c r="FL90" s="1779"/>
      <c r="FM90" s="1779"/>
      <c r="FN90" s="1779"/>
      <c r="FO90" s="1779"/>
      <c r="FP90" s="1779"/>
      <c r="FQ90" s="1779"/>
      <c r="FR90" s="1779"/>
      <c r="FS90" s="1779"/>
      <c r="FT90" s="1779"/>
      <c r="FU90" s="1779"/>
      <c r="FV90" s="1779"/>
      <c r="FW90" s="1779"/>
      <c r="FX90" s="1779"/>
      <c r="FY90" s="1779"/>
      <c r="FZ90" s="1779"/>
      <c r="GA90" s="1779"/>
      <c r="XES90" s="1780"/>
      <c r="XET90" s="1780"/>
      <c r="XEU90" s="1780"/>
      <c r="XEV90" s="1780"/>
      <c r="XEW90" s="1780"/>
      <c r="XEX90" s="1780"/>
      <c r="XEY90" s="1780"/>
      <c r="XEZ90" s="1780"/>
      <c r="XFA90" s="1780"/>
      <c r="XFB90" s="1780"/>
      <c r="XFC90" s="1780"/>
      <c r="XFD90" s="1780"/>
    </row>
    <row r="91" s="1663" customFormat="1" ht="36" customHeight="1" spans="1:16384">
      <c r="A91" s="1693">
        <v>45918</v>
      </c>
      <c r="B91" s="1694" t="s">
        <v>1516</v>
      </c>
      <c r="C91" s="1695" t="s">
        <v>91</v>
      </c>
      <c r="D91" s="1696">
        <v>4500179767</v>
      </c>
      <c r="E91" s="1694" t="s">
        <v>1840</v>
      </c>
      <c r="F91" s="1696" t="s">
        <v>1841</v>
      </c>
      <c r="G91" s="1697" t="s">
        <v>1518</v>
      </c>
      <c r="H91" s="1697" t="s">
        <v>1519</v>
      </c>
      <c r="I91" s="1704" t="s">
        <v>1479</v>
      </c>
      <c r="J91" s="1697">
        <v>690</v>
      </c>
      <c r="K91" s="1697">
        <v>0</v>
      </c>
      <c r="L91" s="1697">
        <v>6</v>
      </c>
      <c r="M91" s="1705">
        <f t="shared" si="28"/>
        <v>115</v>
      </c>
      <c r="N91" s="1706">
        <v>46029</v>
      </c>
      <c r="O91" s="1711">
        <v>46025</v>
      </c>
      <c r="P91" s="1708"/>
      <c r="Q91" s="1708" t="s">
        <v>1480</v>
      </c>
      <c r="R91" s="1708" t="s">
        <v>175</v>
      </c>
      <c r="S91" s="1727" t="s">
        <v>1818</v>
      </c>
      <c r="T91" s="1728"/>
      <c r="U91" s="1729" t="s">
        <v>1819</v>
      </c>
      <c r="V91" s="1721" t="s">
        <v>1522</v>
      </c>
      <c r="W91" s="1719" t="s">
        <v>1808</v>
      </c>
      <c r="X91" s="1720" t="s">
        <v>1820</v>
      </c>
      <c r="Y91" s="1739">
        <v>0.9545</v>
      </c>
      <c r="Z91" s="1740">
        <f t="shared" si="26"/>
        <v>658.605</v>
      </c>
      <c r="AA91" s="1741"/>
      <c r="AB91" s="1741">
        <v>690</v>
      </c>
      <c r="AC91" s="1741">
        <f t="shared" si="39"/>
        <v>0</v>
      </c>
      <c r="AD91" s="1741" t="s">
        <v>81</v>
      </c>
      <c r="AE91" s="1742" t="s">
        <v>63</v>
      </c>
      <c r="AF91" s="1742" t="s">
        <v>38</v>
      </c>
      <c r="AG91" s="1720">
        <f>J91/3</f>
        <v>230</v>
      </c>
      <c r="AH91" s="1720">
        <f>J91/3</f>
        <v>230</v>
      </c>
      <c r="AI91" s="1754">
        <f>J91/3</f>
        <v>230</v>
      </c>
      <c r="AJ91" s="1755">
        <f>J91</f>
        <v>690</v>
      </c>
      <c r="AK91" s="1756"/>
      <c r="AL91" s="1756">
        <f t="shared" si="32"/>
        <v>690</v>
      </c>
      <c r="AM91" s="1756">
        <f>J91/6</f>
        <v>115</v>
      </c>
      <c r="AN91" s="1756"/>
      <c r="AO91" s="1771"/>
      <c r="AP91" s="1771"/>
      <c r="AQ91" s="1772"/>
      <c r="AR91" s="1773"/>
      <c r="AS91" s="1754"/>
      <c r="AT91" s="1773"/>
      <c r="AU91" s="1774"/>
      <c r="AV91" s="1775"/>
      <c r="AW91" s="1777"/>
      <c r="AX91" s="1777"/>
      <c r="AY91" s="1777"/>
      <c r="AZ91" s="1777"/>
      <c r="BA91" s="1777"/>
      <c r="BB91" s="1777"/>
      <c r="BC91" s="1777"/>
      <c r="BD91" s="1777"/>
      <c r="BE91" s="1777"/>
      <c r="BF91" s="1777"/>
      <c r="BG91" s="1777"/>
      <c r="BH91" s="1777"/>
      <c r="BI91" s="1777"/>
      <c r="BJ91" s="1777"/>
      <c r="BK91" s="1777"/>
      <c r="BL91" s="1777"/>
      <c r="BM91" s="1777"/>
      <c r="BN91" s="1777"/>
      <c r="BO91" s="1777"/>
      <c r="BP91" s="1777"/>
      <c r="BQ91" s="1777"/>
      <c r="BR91" s="1777"/>
      <c r="BS91" s="1777"/>
      <c r="BT91" s="1777"/>
      <c r="BU91" s="1777"/>
      <c r="BV91" s="1777"/>
      <c r="BW91" s="1777"/>
      <c r="BX91" s="1777"/>
      <c r="BY91" s="1777"/>
      <c r="BZ91" s="1777"/>
      <c r="CA91" s="1777"/>
      <c r="CB91" s="1777"/>
      <c r="CC91" s="1777"/>
      <c r="CD91" s="1777"/>
      <c r="CE91" s="1777"/>
      <c r="CF91" s="1777"/>
      <c r="CG91" s="1777"/>
      <c r="CH91" s="1777"/>
      <c r="CI91" s="1777"/>
      <c r="CJ91" s="1777"/>
      <c r="CK91" s="1777"/>
      <c r="CL91" s="1777"/>
      <c r="CM91" s="1777"/>
      <c r="CN91" s="1777"/>
      <c r="CO91" s="1777"/>
      <c r="CP91" s="1777"/>
      <c r="CQ91" s="1777"/>
      <c r="CR91" s="1777"/>
      <c r="CS91" s="1777"/>
      <c r="CT91" s="1777"/>
      <c r="CU91" s="1777"/>
      <c r="CV91" s="1777"/>
      <c r="CW91" s="1777"/>
      <c r="CX91" s="1777"/>
      <c r="CY91" s="1777"/>
      <c r="CZ91" s="1777"/>
      <c r="DA91" s="1777"/>
      <c r="DB91" s="1777"/>
      <c r="DC91" s="1777"/>
      <c r="DD91" s="1777"/>
      <c r="DE91" s="1777"/>
      <c r="DF91" s="1777"/>
      <c r="DG91" s="1777"/>
      <c r="DH91" s="1777"/>
      <c r="DI91" s="1777"/>
      <c r="DJ91" s="1777"/>
      <c r="DK91" s="1777"/>
      <c r="DL91" s="1777"/>
      <c r="DM91" s="1777"/>
      <c r="DN91" s="1777"/>
      <c r="DO91" s="1777"/>
      <c r="DP91" s="1777"/>
      <c r="DQ91" s="1777"/>
      <c r="DR91" s="1777"/>
      <c r="DS91" s="1777"/>
      <c r="DT91" s="1777"/>
      <c r="DU91" s="1777"/>
      <c r="DV91" s="1777"/>
      <c r="DW91" s="1777"/>
      <c r="DX91" s="1779"/>
      <c r="DY91" s="1779"/>
      <c r="DZ91" s="1779"/>
      <c r="EA91" s="1779"/>
      <c r="EB91" s="1779"/>
      <c r="EC91" s="1779"/>
      <c r="ED91" s="1779"/>
      <c r="EE91" s="1779"/>
      <c r="EF91" s="1779"/>
      <c r="EG91" s="1779"/>
      <c r="EH91" s="1779"/>
      <c r="EI91" s="1779"/>
      <c r="EJ91" s="1779"/>
      <c r="EK91" s="1779"/>
      <c r="EL91" s="1779"/>
      <c r="EM91" s="1779"/>
      <c r="EN91" s="1779"/>
      <c r="EO91" s="1779"/>
      <c r="EP91" s="1779"/>
      <c r="EQ91" s="1779"/>
      <c r="ER91" s="1779"/>
      <c r="ES91" s="1779"/>
      <c r="ET91" s="1779"/>
      <c r="EU91" s="1779"/>
      <c r="EV91" s="1779"/>
      <c r="EW91" s="1779"/>
      <c r="EX91" s="1779"/>
      <c r="EY91" s="1779"/>
      <c r="EZ91" s="1779"/>
      <c r="FA91" s="1779"/>
      <c r="FB91" s="1779"/>
      <c r="FC91" s="1779"/>
      <c r="FD91" s="1779"/>
      <c r="FE91" s="1779"/>
      <c r="FF91" s="1779"/>
      <c r="FG91" s="1779"/>
      <c r="FH91" s="1779"/>
      <c r="FI91" s="1779"/>
      <c r="FJ91" s="1779"/>
      <c r="FK91" s="1779"/>
      <c r="FL91" s="1779"/>
      <c r="FM91" s="1779"/>
      <c r="FN91" s="1779"/>
      <c r="FO91" s="1779"/>
      <c r="FP91" s="1779"/>
      <c r="FQ91" s="1779"/>
      <c r="FR91" s="1779"/>
      <c r="FS91" s="1779"/>
      <c r="FT91" s="1779"/>
      <c r="FU91" s="1779"/>
      <c r="FV91" s="1779"/>
      <c r="FW91" s="1779"/>
      <c r="FX91" s="1779"/>
      <c r="FY91" s="1779"/>
      <c r="FZ91" s="1779"/>
      <c r="GA91" s="1779"/>
      <c r="XES91" s="1780"/>
      <c r="XET91" s="1780"/>
      <c r="XEU91" s="1780"/>
      <c r="XEV91" s="1780"/>
      <c r="XEW91" s="1780"/>
      <c r="XEX91" s="1780"/>
      <c r="XEY91" s="1780"/>
      <c r="XEZ91" s="1780"/>
      <c r="XFA91" s="1780"/>
      <c r="XFB91" s="1780"/>
      <c r="XFC91" s="1780"/>
      <c r="XFD91" s="1780"/>
    </row>
    <row r="92" s="1663" customFormat="1" ht="36" customHeight="1" spans="1:16384">
      <c r="A92" s="1693">
        <v>45918</v>
      </c>
      <c r="B92" s="1694" t="s">
        <v>1516</v>
      </c>
      <c r="C92" s="1695" t="s">
        <v>91</v>
      </c>
      <c r="D92" s="1696">
        <v>4500179772</v>
      </c>
      <c r="E92" s="1694">
        <v>11919216</v>
      </c>
      <c r="F92" s="1696" t="s">
        <v>1842</v>
      </c>
      <c r="G92" s="1697" t="s">
        <v>1518</v>
      </c>
      <c r="H92" s="1697" t="s">
        <v>1519</v>
      </c>
      <c r="I92" s="1704" t="s">
        <v>1479</v>
      </c>
      <c r="J92" s="1697">
        <v>318</v>
      </c>
      <c r="K92" s="1697">
        <v>0</v>
      </c>
      <c r="L92" s="1697">
        <v>6</v>
      </c>
      <c r="M92" s="1705">
        <f t="shared" si="28"/>
        <v>53</v>
      </c>
      <c r="N92" s="1706">
        <v>46029</v>
      </c>
      <c r="O92" s="1711">
        <v>46025</v>
      </c>
      <c r="P92" s="1708"/>
      <c r="Q92" s="1708" t="s">
        <v>1480</v>
      </c>
      <c r="R92" s="1708" t="s">
        <v>109</v>
      </c>
      <c r="S92" s="1727" t="s">
        <v>1818</v>
      </c>
      <c r="T92" s="1728"/>
      <c r="U92" s="1729" t="s">
        <v>1819</v>
      </c>
      <c r="V92" s="1721" t="s">
        <v>1522</v>
      </c>
      <c r="W92" s="1719" t="s">
        <v>1808</v>
      </c>
      <c r="X92" s="1720" t="s">
        <v>1820</v>
      </c>
      <c r="Y92" s="1739">
        <v>0.9545</v>
      </c>
      <c r="Z92" s="1740">
        <f t="shared" si="26"/>
        <v>303.531</v>
      </c>
      <c r="AA92" s="1741"/>
      <c r="AB92" s="1741">
        <v>318</v>
      </c>
      <c r="AC92" s="1741">
        <f t="shared" si="39"/>
        <v>0</v>
      </c>
      <c r="AD92" s="1741" t="s">
        <v>81</v>
      </c>
      <c r="AE92" s="1742" t="s">
        <v>63</v>
      </c>
      <c r="AF92" s="1742" t="s">
        <v>38</v>
      </c>
      <c r="AG92" s="1720">
        <f>J92/3</f>
        <v>106</v>
      </c>
      <c r="AH92" s="1720">
        <f>J92/3</f>
        <v>106</v>
      </c>
      <c r="AI92" s="1754">
        <f>J92/3</f>
        <v>106</v>
      </c>
      <c r="AJ92" s="1755">
        <f>J92</f>
        <v>318</v>
      </c>
      <c r="AK92" s="1756"/>
      <c r="AL92" s="1756">
        <f t="shared" si="32"/>
        <v>318</v>
      </c>
      <c r="AM92" s="1756">
        <f>J92/6</f>
        <v>53</v>
      </c>
      <c r="AN92" s="1756"/>
      <c r="AO92" s="1771"/>
      <c r="AP92" s="1771"/>
      <c r="AQ92" s="1772"/>
      <c r="AR92" s="1773"/>
      <c r="AS92" s="1754"/>
      <c r="AT92" s="1773"/>
      <c r="AU92" s="1774"/>
      <c r="AV92" s="1775"/>
      <c r="AW92" s="1777"/>
      <c r="AX92" s="1777"/>
      <c r="AY92" s="1777"/>
      <c r="AZ92" s="1777"/>
      <c r="BA92" s="1777"/>
      <c r="BB92" s="1777"/>
      <c r="BC92" s="1777"/>
      <c r="BD92" s="1777"/>
      <c r="BE92" s="1777"/>
      <c r="BF92" s="1777"/>
      <c r="BG92" s="1777"/>
      <c r="BH92" s="1777"/>
      <c r="BI92" s="1777"/>
      <c r="BJ92" s="1777"/>
      <c r="BK92" s="1777"/>
      <c r="BL92" s="1777"/>
      <c r="BM92" s="1777"/>
      <c r="BN92" s="1777"/>
      <c r="BO92" s="1777"/>
      <c r="BP92" s="1777"/>
      <c r="BQ92" s="1777"/>
      <c r="BR92" s="1777"/>
      <c r="BS92" s="1777"/>
      <c r="BT92" s="1777"/>
      <c r="BU92" s="1777"/>
      <c r="BV92" s="1777"/>
      <c r="BW92" s="1777"/>
      <c r="BX92" s="1777"/>
      <c r="BY92" s="1777"/>
      <c r="BZ92" s="1777"/>
      <c r="CA92" s="1777"/>
      <c r="CB92" s="1777"/>
      <c r="CC92" s="1777"/>
      <c r="CD92" s="1777"/>
      <c r="CE92" s="1777"/>
      <c r="CF92" s="1777"/>
      <c r="CG92" s="1777"/>
      <c r="CH92" s="1777"/>
      <c r="CI92" s="1777"/>
      <c r="CJ92" s="1777"/>
      <c r="CK92" s="1777"/>
      <c r="CL92" s="1777"/>
      <c r="CM92" s="1777"/>
      <c r="CN92" s="1777"/>
      <c r="CO92" s="1777"/>
      <c r="CP92" s="1777"/>
      <c r="CQ92" s="1777"/>
      <c r="CR92" s="1777"/>
      <c r="CS92" s="1777"/>
      <c r="CT92" s="1777"/>
      <c r="CU92" s="1777"/>
      <c r="CV92" s="1777"/>
      <c r="CW92" s="1777"/>
      <c r="CX92" s="1777"/>
      <c r="CY92" s="1777"/>
      <c r="CZ92" s="1777"/>
      <c r="DA92" s="1777"/>
      <c r="DB92" s="1777"/>
      <c r="DC92" s="1777"/>
      <c r="DD92" s="1777"/>
      <c r="DE92" s="1777"/>
      <c r="DF92" s="1777"/>
      <c r="DG92" s="1777"/>
      <c r="DH92" s="1777"/>
      <c r="DI92" s="1777"/>
      <c r="DJ92" s="1777"/>
      <c r="DK92" s="1777"/>
      <c r="DL92" s="1777"/>
      <c r="DM92" s="1777"/>
      <c r="DN92" s="1777"/>
      <c r="DO92" s="1777"/>
      <c r="DP92" s="1777"/>
      <c r="DQ92" s="1777"/>
      <c r="DR92" s="1777"/>
      <c r="DS92" s="1777"/>
      <c r="DT92" s="1777"/>
      <c r="DU92" s="1777"/>
      <c r="DV92" s="1777"/>
      <c r="DW92" s="1777"/>
      <c r="DX92" s="1779"/>
      <c r="DY92" s="1779"/>
      <c r="DZ92" s="1779"/>
      <c r="EA92" s="1779"/>
      <c r="EB92" s="1779"/>
      <c r="EC92" s="1779"/>
      <c r="ED92" s="1779"/>
      <c r="EE92" s="1779"/>
      <c r="EF92" s="1779"/>
      <c r="EG92" s="1779"/>
      <c r="EH92" s="1779"/>
      <c r="EI92" s="1779"/>
      <c r="EJ92" s="1779"/>
      <c r="EK92" s="1779"/>
      <c r="EL92" s="1779"/>
      <c r="EM92" s="1779"/>
      <c r="EN92" s="1779"/>
      <c r="EO92" s="1779"/>
      <c r="EP92" s="1779"/>
      <c r="EQ92" s="1779"/>
      <c r="ER92" s="1779"/>
      <c r="ES92" s="1779"/>
      <c r="ET92" s="1779"/>
      <c r="EU92" s="1779"/>
      <c r="EV92" s="1779"/>
      <c r="EW92" s="1779"/>
      <c r="EX92" s="1779"/>
      <c r="EY92" s="1779"/>
      <c r="EZ92" s="1779"/>
      <c r="FA92" s="1779"/>
      <c r="FB92" s="1779"/>
      <c r="FC92" s="1779"/>
      <c r="FD92" s="1779"/>
      <c r="FE92" s="1779"/>
      <c r="FF92" s="1779"/>
      <c r="FG92" s="1779"/>
      <c r="FH92" s="1779"/>
      <c r="FI92" s="1779"/>
      <c r="FJ92" s="1779"/>
      <c r="FK92" s="1779"/>
      <c r="FL92" s="1779"/>
      <c r="FM92" s="1779"/>
      <c r="FN92" s="1779"/>
      <c r="FO92" s="1779"/>
      <c r="FP92" s="1779"/>
      <c r="FQ92" s="1779"/>
      <c r="FR92" s="1779"/>
      <c r="FS92" s="1779"/>
      <c r="FT92" s="1779"/>
      <c r="FU92" s="1779"/>
      <c r="FV92" s="1779"/>
      <c r="FW92" s="1779"/>
      <c r="FX92" s="1779"/>
      <c r="FY92" s="1779"/>
      <c r="FZ92" s="1779"/>
      <c r="GA92" s="1779"/>
      <c r="XES92" s="1780"/>
      <c r="XET92" s="1780"/>
      <c r="XEU92" s="1780"/>
      <c r="XEV92" s="1780"/>
      <c r="XEW92" s="1780"/>
      <c r="XEX92" s="1780"/>
      <c r="XEY92" s="1780"/>
      <c r="XEZ92" s="1780"/>
      <c r="XFA92" s="1780"/>
      <c r="XFB92" s="1780"/>
      <c r="XFC92" s="1780"/>
      <c r="XFD92" s="1780"/>
    </row>
    <row r="93" s="1663" customFormat="1" ht="36" customHeight="1" spans="1:16384">
      <c r="A93" s="1693">
        <v>45989</v>
      </c>
      <c r="B93" s="1694" t="s">
        <v>1671</v>
      </c>
      <c r="C93" s="1695" t="s">
        <v>398</v>
      </c>
      <c r="D93" s="1696">
        <v>4500187446</v>
      </c>
      <c r="E93" s="1694" t="s">
        <v>1843</v>
      </c>
      <c r="F93" s="1696" t="s">
        <v>1844</v>
      </c>
      <c r="G93" s="1697" t="s">
        <v>1489</v>
      </c>
      <c r="H93" s="1697" t="s">
        <v>1490</v>
      </c>
      <c r="I93" s="1704" t="s">
        <v>1491</v>
      </c>
      <c r="J93" s="1697">
        <v>18</v>
      </c>
      <c r="K93" s="1697">
        <v>0</v>
      </c>
      <c r="L93" s="1697">
        <v>18</v>
      </c>
      <c r="M93" s="1705">
        <f t="shared" si="28"/>
        <v>1</v>
      </c>
      <c r="N93" s="1706">
        <v>46038</v>
      </c>
      <c r="O93" s="1711">
        <v>46034</v>
      </c>
      <c r="P93" s="1708"/>
      <c r="Q93" s="1708" t="s">
        <v>1480</v>
      </c>
      <c r="R93" s="1708" t="s">
        <v>1845</v>
      </c>
      <c r="S93" s="1727" t="s">
        <v>1846</v>
      </c>
      <c r="T93" s="1728"/>
      <c r="U93" s="1729" t="s">
        <v>1847</v>
      </c>
      <c r="V93" s="1721" t="s">
        <v>1848</v>
      </c>
      <c r="W93" s="1719" t="s">
        <v>1849</v>
      </c>
      <c r="X93" s="1720" t="s">
        <v>220</v>
      </c>
      <c r="Y93" s="1739">
        <v>3.7299</v>
      </c>
      <c r="Z93" s="1740">
        <f t="shared" si="26"/>
        <v>67.1382</v>
      </c>
      <c r="AA93" s="1741"/>
      <c r="AB93" s="1741">
        <v>18</v>
      </c>
      <c r="AC93" s="1741">
        <f t="shared" ref="AC93:AC102" si="40">AB93-J93</f>
        <v>0</v>
      </c>
      <c r="AD93" s="1741" t="s">
        <v>81</v>
      </c>
      <c r="AE93" s="1742" t="s">
        <v>63</v>
      </c>
      <c r="AF93" s="1742" t="s">
        <v>38</v>
      </c>
      <c r="AG93" s="1720">
        <f>J93</f>
        <v>18</v>
      </c>
      <c r="AH93" s="1720">
        <f>J93</f>
        <v>18</v>
      </c>
      <c r="AI93" s="1754">
        <f>J93</f>
        <v>18</v>
      </c>
      <c r="AJ93" s="1755"/>
      <c r="AK93" s="1756"/>
      <c r="AL93" s="1756">
        <f t="shared" si="32"/>
        <v>18</v>
      </c>
      <c r="AM93" s="1756"/>
      <c r="AN93" s="1756"/>
      <c r="AO93" s="1771"/>
      <c r="AP93" s="1771"/>
      <c r="AQ93" s="1772"/>
      <c r="AR93" s="1773"/>
      <c r="AS93" s="1754"/>
      <c r="AT93" s="1773"/>
      <c r="AU93" s="1774">
        <f>J93</f>
        <v>18</v>
      </c>
      <c r="AV93" s="1775"/>
      <c r="AW93" s="1777"/>
      <c r="AX93" s="1777"/>
      <c r="AY93" s="1777"/>
      <c r="AZ93" s="1777"/>
      <c r="BA93" s="1777"/>
      <c r="BB93" s="1777"/>
      <c r="BC93" s="1777"/>
      <c r="BD93" s="1777"/>
      <c r="BE93" s="1777"/>
      <c r="BF93" s="1777"/>
      <c r="BG93" s="1777"/>
      <c r="BH93" s="1777"/>
      <c r="BI93" s="1777"/>
      <c r="BJ93" s="1777"/>
      <c r="BK93" s="1777"/>
      <c r="BL93" s="1777"/>
      <c r="BM93" s="1777"/>
      <c r="BN93" s="1777"/>
      <c r="BO93" s="1777"/>
      <c r="BP93" s="1777"/>
      <c r="BQ93" s="1777"/>
      <c r="BR93" s="1777"/>
      <c r="BS93" s="1777"/>
      <c r="BT93" s="1777"/>
      <c r="BU93" s="1777"/>
      <c r="BV93" s="1777"/>
      <c r="BW93" s="1777"/>
      <c r="BX93" s="1777"/>
      <c r="BY93" s="1777"/>
      <c r="BZ93" s="1777"/>
      <c r="CA93" s="1777"/>
      <c r="CB93" s="1777"/>
      <c r="CC93" s="1777"/>
      <c r="CD93" s="1777"/>
      <c r="CE93" s="1777"/>
      <c r="CF93" s="1777"/>
      <c r="CG93" s="1777"/>
      <c r="CH93" s="1777"/>
      <c r="CI93" s="1777"/>
      <c r="CJ93" s="1777"/>
      <c r="CK93" s="1777"/>
      <c r="CL93" s="1777"/>
      <c r="CM93" s="1777"/>
      <c r="CN93" s="1777"/>
      <c r="CO93" s="1777"/>
      <c r="CP93" s="1777"/>
      <c r="CQ93" s="1777"/>
      <c r="CR93" s="1777"/>
      <c r="CS93" s="1777"/>
      <c r="CT93" s="1777"/>
      <c r="CU93" s="1777"/>
      <c r="CV93" s="1777"/>
      <c r="CW93" s="1777"/>
      <c r="CX93" s="1777"/>
      <c r="CY93" s="1777"/>
      <c r="CZ93" s="1777"/>
      <c r="DA93" s="1777"/>
      <c r="DB93" s="1777"/>
      <c r="DC93" s="1777"/>
      <c r="DD93" s="1777"/>
      <c r="DE93" s="1777"/>
      <c r="DF93" s="1777"/>
      <c r="DG93" s="1777"/>
      <c r="DH93" s="1777"/>
      <c r="DI93" s="1777"/>
      <c r="DJ93" s="1777"/>
      <c r="DK93" s="1777"/>
      <c r="DL93" s="1777"/>
      <c r="DM93" s="1777"/>
      <c r="DN93" s="1777"/>
      <c r="DO93" s="1777"/>
      <c r="DP93" s="1777"/>
      <c r="DQ93" s="1777"/>
      <c r="DR93" s="1777"/>
      <c r="DS93" s="1777"/>
      <c r="DT93" s="1777"/>
      <c r="DU93" s="1777"/>
      <c r="DV93" s="1777"/>
      <c r="DW93" s="1777"/>
      <c r="DX93" s="1779"/>
      <c r="DY93" s="1779"/>
      <c r="DZ93" s="1779"/>
      <c r="EA93" s="1779"/>
      <c r="EB93" s="1779"/>
      <c r="EC93" s="1779"/>
      <c r="ED93" s="1779"/>
      <c r="EE93" s="1779"/>
      <c r="EF93" s="1779"/>
      <c r="EG93" s="1779"/>
      <c r="EH93" s="1779"/>
      <c r="EI93" s="1779"/>
      <c r="EJ93" s="1779"/>
      <c r="EK93" s="1779"/>
      <c r="EL93" s="1779"/>
      <c r="EM93" s="1779"/>
      <c r="EN93" s="1779"/>
      <c r="EO93" s="1779"/>
      <c r="EP93" s="1779"/>
      <c r="EQ93" s="1779"/>
      <c r="ER93" s="1779"/>
      <c r="ES93" s="1779"/>
      <c r="ET93" s="1779"/>
      <c r="EU93" s="1779"/>
      <c r="EV93" s="1779"/>
      <c r="EW93" s="1779"/>
      <c r="EX93" s="1779"/>
      <c r="EY93" s="1779"/>
      <c r="EZ93" s="1779"/>
      <c r="FA93" s="1779"/>
      <c r="FB93" s="1779"/>
      <c r="FC93" s="1779"/>
      <c r="FD93" s="1779"/>
      <c r="FE93" s="1779"/>
      <c r="FF93" s="1779"/>
      <c r="FG93" s="1779"/>
      <c r="FH93" s="1779"/>
      <c r="FI93" s="1779"/>
      <c r="FJ93" s="1779"/>
      <c r="FK93" s="1779"/>
      <c r="FL93" s="1779"/>
      <c r="FM93" s="1779"/>
      <c r="FN93" s="1779"/>
      <c r="FO93" s="1779"/>
      <c r="FP93" s="1779"/>
      <c r="FQ93" s="1779"/>
      <c r="FR93" s="1779"/>
      <c r="FS93" s="1779"/>
      <c r="FT93" s="1779"/>
      <c r="FU93" s="1779"/>
      <c r="FV93" s="1779"/>
      <c r="FW93" s="1779"/>
      <c r="FX93" s="1779"/>
      <c r="FY93" s="1779"/>
      <c r="FZ93" s="1779"/>
      <c r="GA93" s="1779"/>
      <c r="XES93" s="1780"/>
      <c r="XET93" s="1780"/>
      <c r="XEU93" s="1780"/>
      <c r="XEV93" s="1780"/>
      <c r="XEW93" s="1780"/>
      <c r="XEX93" s="1780"/>
      <c r="XEY93" s="1780"/>
      <c r="XEZ93" s="1780"/>
      <c r="XFA93" s="1780"/>
      <c r="XFB93" s="1780"/>
      <c r="XFC93" s="1780"/>
      <c r="XFD93" s="1780"/>
    </row>
    <row r="94" s="1663" customFormat="1" ht="36" customHeight="1" spans="1:16384">
      <c r="A94" s="1693">
        <v>45989</v>
      </c>
      <c r="B94" s="1694" t="s">
        <v>1671</v>
      </c>
      <c r="C94" s="1695" t="s">
        <v>398</v>
      </c>
      <c r="D94" s="1696">
        <v>4500187446</v>
      </c>
      <c r="E94" s="1694" t="s">
        <v>1850</v>
      </c>
      <c r="F94" s="1696" t="s">
        <v>1851</v>
      </c>
      <c r="G94" s="1697" t="s">
        <v>1489</v>
      </c>
      <c r="H94" s="1697" t="s">
        <v>1490</v>
      </c>
      <c r="I94" s="1704" t="s">
        <v>1491</v>
      </c>
      <c r="J94" s="1697">
        <v>18</v>
      </c>
      <c r="K94" s="1697">
        <v>0</v>
      </c>
      <c r="L94" s="1697">
        <v>18</v>
      </c>
      <c r="M94" s="1705">
        <f t="shared" si="28"/>
        <v>1</v>
      </c>
      <c r="N94" s="1706">
        <v>46038</v>
      </c>
      <c r="O94" s="1711">
        <v>46034</v>
      </c>
      <c r="P94" s="1708"/>
      <c r="Q94" s="1708" t="s">
        <v>1480</v>
      </c>
      <c r="R94" s="1708" t="s">
        <v>1845</v>
      </c>
      <c r="S94" s="1727" t="s">
        <v>1846</v>
      </c>
      <c r="T94" s="1728"/>
      <c r="U94" s="1729" t="s">
        <v>1847</v>
      </c>
      <c r="V94" s="1721" t="s">
        <v>1848</v>
      </c>
      <c r="W94" s="1719" t="s">
        <v>1849</v>
      </c>
      <c r="X94" s="1720" t="s">
        <v>220</v>
      </c>
      <c r="Y94" s="1739">
        <v>3.7299</v>
      </c>
      <c r="Z94" s="1740">
        <f t="shared" si="26"/>
        <v>67.1382</v>
      </c>
      <c r="AA94" s="1741"/>
      <c r="AB94" s="1741">
        <v>18</v>
      </c>
      <c r="AC94" s="1741">
        <f t="shared" si="40"/>
        <v>0</v>
      </c>
      <c r="AD94" s="1741" t="s">
        <v>81</v>
      </c>
      <c r="AE94" s="1742" t="s">
        <v>63</v>
      </c>
      <c r="AF94" s="1742" t="s">
        <v>38</v>
      </c>
      <c r="AG94" s="1720">
        <f>J94</f>
        <v>18</v>
      </c>
      <c r="AH94" s="1720">
        <f>J94</f>
        <v>18</v>
      </c>
      <c r="AI94" s="1754">
        <f>J94</f>
        <v>18</v>
      </c>
      <c r="AJ94" s="1755"/>
      <c r="AK94" s="1756"/>
      <c r="AL94" s="1756">
        <f t="shared" si="32"/>
        <v>18</v>
      </c>
      <c r="AM94" s="1756"/>
      <c r="AN94" s="1756"/>
      <c r="AO94" s="1771"/>
      <c r="AP94" s="1771"/>
      <c r="AQ94" s="1772"/>
      <c r="AR94" s="1773"/>
      <c r="AS94" s="1754"/>
      <c r="AT94" s="1773"/>
      <c r="AU94" s="1774">
        <f>J94</f>
        <v>18</v>
      </c>
      <c r="AV94" s="1775"/>
      <c r="AW94" s="1777"/>
      <c r="AX94" s="1777"/>
      <c r="AY94" s="1777"/>
      <c r="AZ94" s="1777"/>
      <c r="BA94" s="1777"/>
      <c r="BB94" s="1777"/>
      <c r="BC94" s="1777"/>
      <c r="BD94" s="1777"/>
      <c r="BE94" s="1777"/>
      <c r="BF94" s="1777"/>
      <c r="BG94" s="1777"/>
      <c r="BH94" s="1777"/>
      <c r="BI94" s="1777"/>
      <c r="BJ94" s="1777"/>
      <c r="BK94" s="1777"/>
      <c r="BL94" s="1777"/>
      <c r="BM94" s="1777"/>
      <c r="BN94" s="1777"/>
      <c r="BO94" s="1777"/>
      <c r="BP94" s="1777"/>
      <c r="BQ94" s="1777"/>
      <c r="BR94" s="1777"/>
      <c r="BS94" s="1777"/>
      <c r="BT94" s="1777"/>
      <c r="BU94" s="1777"/>
      <c r="BV94" s="1777"/>
      <c r="BW94" s="1777"/>
      <c r="BX94" s="1777"/>
      <c r="BY94" s="1777"/>
      <c r="BZ94" s="1777"/>
      <c r="CA94" s="1777"/>
      <c r="CB94" s="1777"/>
      <c r="CC94" s="1777"/>
      <c r="CD94" s="1777"/>
      <c r="CE94" s="1777"/>
      <c r="CF94" s="1777"/>
      <c r="CG94" s="1777"/>
      <c r="CH94" s="1777"/>
      <c r="CI94" s="1777"/>
      <c r="CJ94" s="1777"/>
      <c r="CK94" s="1777"/>
      <c r="CL94" s="1777"/>
      <c r="CM94" s="1777"/>
      <c r="CN94" s="1777"/>
      <c r="CO94" s="1777"/>
      <c r="CP94" s="1777"/>
      <c r="CQ94" s="1777"/>
      <c r="CR94" s="1777"/>
      <c r="CS94" s="1777"/>
      <c r="CT94" s="1777"/>
      <c r="CU94" s="1777"/>
      <c r="CV94" s="1777"/>
      <c r="CW94" s="1777"/>
      <c r="CX94" s="1777"/>
      <c r="CY94" s="1777"/>
      <c r="CZ94" s="1777"/>
      <c r="DA94" s="1777"/>
      <c r="DB94" s="1777"/>
      <c r="DC94" s="1777"/>
      <c r="DD94" s="1777"/>
      <c r="DE94" s="1777"/>
      <c r="DF94" s="1777"/>
      <c r="DG94" s="1777"/>
      <c r="DH94" s="1777"/>
      <c r="DI94" s="1777"/>
      <c r="DJ94" s="1777"/>
      <c r="DK94" s="1777"/>
      <c r="DL94" s="1777"/>
      <c r="DM94" s="1777"/>
      <c r="DN94" s="1777"/>
      <c r="DO94" s="1777"/>
      <c r="DP94" s="1777"/>
      <c r="DQ94" s="1777"/>
      <c r="DR94" s="1777"/>
      <c r="DS94" s="1777"/>
      <c r="DT94" s="1777"/>
      <c r="DU94" s="1777"/>
      <c r="DV94" s="1777"/>
      <c r="DW94" s="1777"/>
      <c r="DX94" s="1779"/>
      <c r="DY94" s="1779"/>
      <c r="DZ94" s="1779"/>
      <c r="EA94" s="1779"/>
      <c r="EB94" s="1779"/>
      <c r="EC94" s="1779"/>
      <c r="ED94" s="1779"/>
      <c r="EE94" s="1779"/>
      <c r="EF94" s="1779"/>
      <c r="EG94" s="1779"/>
      <c r="EH94" s="1779"/>
      <c r="EI94" s="1779"/>
      <c r="EJ94" s="1779"/>
      <c r="EK94" s="1779"/>
      <c r="EL94" s="1779"/>
      <c r="EM94" s="1779"/>
      <c r="EN94" s="1779"/>
      <c r="EO94" s="1779"/>
      <c r="EP94" s="1779"/>
      <c r="EQ94" s="1779"/>
      <c r="ER94" s="1779"/>
      <c r="ES94" s="1779"/>
      <c r="ET94" s="1779"/>
      <c r="EU94" s="1779"/>
      <c r="EV94" s="1779"/>
      <c r="EW94" s="1779"/>
      <c r="EX94" s="1779"/>
      <c r="EY94" s="1779"/>
      <c r="EZ94" s="1779"/>
      <c r="FA94" s="1779"/>
      <c r="FB94" s="1779"/>
      <c r="FC94" s="1779"/>
      <c r="FD94" s="1779"/>
      <c r="FE94" s="1779"/>
      <c r="FF94" s="1779"/>
      <c r="FG94" s="1779"/>
      <c r="FH94" s="1779"/>
      <c r="FI94" s="1779"/>
      <c r="FJ94" s="1779"/>
      <c r="FK94" s="1779"/>
      <c r="FL94" s="1779"/>
      <c r="FM94" s="1779"/>
      <c r="FN94" s="1779"/>
      <c r="FO94" s="1779"/>
      <c r="FP94" s="1779"/>
      <c r="FQ94" s="1779"/>
      <c r="FR94" s="1779"/>
      <c r="FS94" s="1779"/>
      <c r="FT94" s="1779"/>
      <c r="FU94" s="1779"/>
      <c r="FV94" s="1779"/>
      <c r="FW94" s="1779"/>
      <c r="FX94" s="1779"/>
      <c r="FY94" s="1779"/>
      <c r="FZ94" s="1779"/>
      <c r="GA94" s="1779"/>
      <c r="XES94" s="1780"/>
      <c r="XET94" s="1780"/>
      <c r="XEU94" s="1780"/>
      <c r="XEV94" s="1780"/>
      <c r="XEW94" s="1780"/>
      <c r="XEX94" s="1780"/>
      <c r="XEY94" s="1780"/>
      <c r="XEZ94" s="1780"/>
      <c r="XFA94" s="1780"/>
      <c r="XFB94" s="1780"/>
      <c r="XFC94" s="1780"/>
      <c r="XFD94" s="1780"/>
    </row>
    <row r="95" s="1663" customFormat="1" ht="36" customHeight="1" spans="1:16384">
      <c r="A95" s="1693">
        <v>45989</v>
      </c>
      <c r="B95" s="1694" t="s">
        <v>1671</v>
      </c>
      <c r="C95" s="1695" t="s">
        <v>398</v>
      </c>
      <c r="D95" s="1696">
        <v>4500187446</v>
      </c>
      <c r="E95" s="1694" t="s">
        <v>1852</v>
      </c>
      <c r="F95" s="1696" t="s">
        <v>1853</v>
      </c>
      <c r="G95" s="1697" t="s">
        <v>1489</v>
      </c>
      <c r="H95" s="1697" t="s">
        <v>1490</v>
      </c>
      <c r="I95" s="1704" t="s">
        <v>1491</v>
      </c>
      <c r="J95" s="1697">
        <v>36</v>
      </c>
      <c r="K95" s="1697">
        <v>0</v>
      </c>
      <c r="L95" s="1697">
        <v>18</v>
      </c>
      <c r="M95" s="1705">
        <f t="shared" si="28"/>
        <v>2</v>
      </c>
      <c r="N95" s="1706">
        <v>46038</v>
      </c>
      <c r="O95" s="1711">
        <v>46034</v>
      </c>
      <c r="P95" s="1708"/>
      <c r="Q95" s="1708" t="s">
        <v>1480</v>
      </c>
      <c r="R95" s="1708" t="s">
        <v>1845</v>
      </c>
      <c r="S95" s="1727" t="s">
        <v>1846</v>
      </c>
      <c r="T95" s="1728"/>
      <c r="U95" s="1729" t="s">
        <v>1847</v>
      </c>
      <c r="V95" s="1721" t="s">
        <v>1848</v>
      </c>
      <c r="W95" s="1719" t="s">
        <v>1849</v>
      </c>
      <c r="X95" s="1720" t="s">
        <v>220</v>
      </c>
      <c r="Y95" s="1739">
        <v>3.7299</v>
      </c>
      <c r="Z95" s="1740">
        <f t="shared" si="26"/>
        <v>134.2764</v>
      </c>
      <c r="AA95" s="1741"/>
      <c r="AB95" s="1741">
        <v>36</v>
      </c>
      <c r="AC95" s="1741">
        <f t="shared" si="40"/>
        <v>0</v>
      </c>
      <c r="AD95" s="1741" t="s">
        <v>81</v>
      </c>
      <c r="AE95" s="1742" t="s">
        <v>63</v>
      </c>
      <c r="AF95" s="1742" t="s">
        <v>38</v>
      </c>
      <c r="AG95" s="1720">
        <f>J95</f>
        <v>36</v>
      </c>
      <c r="AH95" s="1720">
        <f>J95</f>
        <v>36</v>
      </c>
      <c r="AI95" s="1754">
        <f>J95</f>
        <v>36</v>
      </c>
      <c r="AJ95" s="1755"/>
      <c r="AK95" s="1756"/>
      <c r="AL95" s="1756">
        <f t="shared" si="32"/>
        <v>36</v>
      </c>
      <c r="AM95" s="1756"/>
      <c r="AN95" s="1756"/>
      <c r="AO95" s="1771"/>
      <c r="AP95" s="1771"/>
      <c r="AQ95" s="1772"/>
      <c r="AR95" s="1773"/>
      <c r="AS95" s="1754"/>
      <c r="AT95" s="1773"/>
      <c r="AU95" s="1774">
        <f>J95</f>
        <v>36</v>
      </c>
      <c r="AV95" s="1775"/>
      <c r="AW95" s="1777"/>
      <c r="AX95" s="1777"/>
      <c r="AY95" s="1777"/>
      <c r="AZ95" s="1777"/>
      <c r="BA95" s="1777"/>
      <c r="BB95" s="1777"/>
      <c r="BC95" s="1777"/>
      <c r="BD95" s="1777"/>
      <c r="BE95" s="1777"/>
      <c r="BF95" s="1777"/>
      <c r="BG95" s="1777"/>
      <c r="BH95" s="1777"/>
      <c r="BI95" s="1777"/>
      <c r="BJ95" s="1777"/>
      <c r="BK95" s="1777"/>
      <c r="BL95" s="1777"/>
      <c r="BM95" s="1777"/>
      <c r="BN95" s="1777"/>
      <c r="BO95" s="1777"/>
      <c r="BP95" s="1777"/>
      <c r="BQ95" s="1777"/>
      <c r="BR95" s="1777"/>
      <c r="BS95" s="1777"/>
      <c r="BT95" s="1777"/>
      <c r="BU95" s="1777"/>
      <c r="BV95" s="1777"/>
      <c r="BW95" s="1777"/>
      <c r="BX95" s="1777"/>
      <c r="BY95" s="1777"/>
      <c r="BZ95" s="1777"/>
      <c r="CA95" s="1777"/>
      <c r="CB95" s="1777"/>
      <c r="CC95" s="1777"/>
      <c r="CD95" s="1777"/>
      <c r="CE95" s="1777"/>
      <c r="CF95" s="1777"/>
      <c r="CG95" s="1777"/>
      <c r="CH95" s="1777"/>
      <c r="CI95" s="1777"/>
      <c r="CJ95" s="1777"/>
      <c r="CK95" s="1777"/>
      <c r="CL95" s="1777"/>
      <c r="CM95" s="1777"/>
      <c r="CN95" s="1777"/>
      <c r="CO95" s="1777"/>
      <c r="CP95" s="1777"/>
      <c r="CQ95" s="1777"/>
      <c r="CR95" s="1777"/>
      <c r="CS95" s="1777"/>
      <c r="CT95" s="1777"/>
      <c r="CU95" s="1777"/>
      <c r="CV95" s="1777"/>
      <c r="CW95" s="1777"/>
      <c r="CX95" s="1777"/>
      <c r="CY95" s="1777"/>
      <c r="CZ95" s="1777"/>
      <c r="DA95" s="1777"/>
      <c r="DB95" s="1777"/>
      <c r="DC95" s="1777"/>
      <c r="DD95" s="1777"/>
      <c r="DE95" s="1777"/>
      <c r="DF95" s="1777"/>
      <c r="DG95" s="1777"/>
      <c r="DH95" s="1777"/>
      <c r="DI95" s="1777"/>
      <c r="DJ95" s="1777"/>
      <c r="DK95" s="1777"/>
      <c r="DL95" s="1777"/>
      <c r="DM95" s="1777"/>
      <c r="DN95" s="1777"/>
      <c r="DO95" s="1777"/>
      <c r="DP95" s="1777"/>
      <c r="DQ95" s="1777"/>
      <c r="DR95" s="1777"/>
      <c r="DS95" s="1777"/>
      <c r="DT95" s="1777"/>
      <c r="DU95" s="1777"/>
      <c r="DV95" s="1777"/>
      <c r="DW95" s="1777"/>
      <c r="DX95" s="1779"/>
      <c r="DY95" s="1779"/>
      <c r="DZ95" s="1779"/>
      <c r="EA95" s="1779"/>
      <c r="EB95" s="1779"/>
      <c r="EC95" s="1779"/>
      <c r="ED95" s="1779"/>
      <c r="EE95" s="1779"/>
      <c r="EF95" s="1779"/>
      <c r="EG95" s="1779"/>
      <c r="EH95" s="1779"/>
      <c r="EI95" s="1779"/>
      <c r="EJ95" s="1779"/>
      <c r="EK95" s="1779"/>
      <c r="EL95" s="1779"/>
      <c r="EM95" s="1779"/>
      <c r="EN95" s="1779"/>
      <c r="EO95" s="1779"/>
      <c r="EP95" s="1779"/>
      <c r="EQ95" s="1779"/>
      <c r="ER95" s="1779"/>
      <c r="ES95" s="1779"/>
      <c r="ET95" s="1779"/>
      <c r="EU95" s="1779"/>
      <c r="EV95" s="1779"/>
      <c r="EW95" s="1779"/>
      <c r="EX95" s="1779"/>
      <c r="EY95" s="1779"/>
      <c r="EZ95" s="1779"/>
      <c r="FA95" s="1779"/>
      <c r="FB95" s="1779"/>
      <c r="FC95" s="1779"/>
      <c r="FD95" s="1779"/>
      <c r="FE95" s="1779"/>
      <c r="FF95" s="1779"/>
      <c r="FG95" s="1779"/>
      <c r="FH95" s="1779"/>
      <c r="FI95" s="1779"/>
      <c r="FJ95" s="1779"/>
      <c r="FK95" s="1779"/>
      <c r="FL95" s="1779"/>
      <c r="FM95" s="1779"/>
      <c r="FN95" s="1779"/>
      <c r="FO95" s="1779"/>
      <c r="FP95" s="1779"/>
      <c r="FQ95" s="1779"/>
      <c r="FR95" s="1779"/>
      <c r="FS95" s="1779"/>
      <c r="FT95" s="1779"/>
      <c r="FU95" s="1779"/>
      <c r="FV95" s="1779"/>
      <c r="FW95" s="1779"/>
      <c r="FX95" s="1779"/>
      <c r="FY95" s="1779"/>
      <c r="FZ95" s="1779"/>
      <c r="GA95" s="1779"/>
      <c r="XES95" s="1780"/>
      <c r="XET95" s="1780"/>
      <c r="XEU95" s="1780"/>
      <c r="XEV95" s="1780"/>
      <c r="XEW95" s="1780"/>
      <c r="XEX95" s="1780"/>
      <c r="XEY95" s="1780"/>
      <c r="XEZ95" s="1780"/>
      <c r="XFA95" s="1780"/>
      <c r="XFB95" s="1780"/>
      <c r="XFC95" s="1780"/>
      <c r="XFD95" s="1780"/>
    </row>
    <row r="96" s="1663" customFormat="1" ht="36" customHeight="1" spans="1:16384">
      <c r="A96" s="1693">
        <v>45974</v>
      </c>
      <c r="B96" s="1694" t="s">
        <v>1516</v>
      </c>
      <c r="C96" s="1695" t="s">
        <v>91</v>
      </c>
      <c r="D96" s="1696">
        <v>4500185493</v>
      </c>
      <c r="E96" s="1694">
        <v>11919219</v>
      </c>
      <c r="F96" s="1696" t="s">
        <v>1854</v>
      </c>
      <c r="G96" s="1697" t="s">
        <v>1518</v>
      </c>
      <c r="H96" s="1697" t="s">
        <v>1519</v>
      </c>
      <c r="I96" s="1704" t="s">
        <v>1479</v>
      </c>
      <c r="J96" s="1697">
        <v>432</v>
      </c>
      <c r="K96" s="1697">
        <v>0</v>
      </c>
      <c r="L96" s="1697">
        <v>6</v>
      </c>
      <c r="M96" s="1705">
        <f t="shared" si="28"/>
        <v>72</v>
      </c>
      <c r="N96" s="1706">
        <v>46056</v>
      </c>
      <c r="O96" s="1711">
        <v>46053</v>
      </c>
      <c r="P96" s="1708"/>
      <c r="Q96" s="1708" t="s">
        <v>1480</v>
      </c>
      <c r="R96" s="1708" t="s">
        <v>1323</v>
      </c>
      <c r="S96" s="1727" t="s">
        <v>1855</v>
      </c>
      <c r="T96" s="1728"/>
      <c r="U96" s="1729" t="s">
        <v>1856</v>
      </c>
      <c r="V96" s="1721" t="s">
        <v>1522</v>
      </c>
      <c r="W96" s="1719" t="s">
        <v>1808</v>
      </c>
      <c r="X96" s="1720" t="s">
        <v>1820</v>
      </c>
      <c r="Y96" s="1739">
        <v>0.9426</v>
      </c>
      <c r="Z96" s="1740">
        <f t="shared" si="26"/>
        <v>407.2032</v>
      </c>
      <c r="AA96" s="1741"/>
      <c r="AB96" s="1741">
        <v>432</v>
      </c>
      <c r="AC96" s="1741">
        <f t="shared" si="40"/>
        <v>0</v>
      </c>
      <c r="AD96" s="1741" t="s">
        <v>81</v>
      </c>
      <c r="AE96" s="1742" t="s">
        <v>63</v>
      </c>
      <c r="AF96" s="1742" t="s">
        <v>38</v>
      </c>
      <c r="AG96" s="1720">
        <f t="shared" ref="AG96:AG101" si="41">J96/3</f>
        <v>144</v>
      </c>
      <c r="AH96" s="1720">
        <f t="shared" ref="AH96:AH101" si="42">J96/3</f>
        <v>144</v>
      </c>
      <c r="AI96" s="1754">
        <f t="shared" ref="AI96:AI101" si="43">J96/3</f>
        <v>144</v>
      </c>
      <c r="AJ96" s="1755">
        <f t="shared" ref="AJ96:AJ101" si="44">J96</f>
        <v>432</v>
      </c>
      <c r="AK96" s="1756"/>
      <c r="AL96" s="1756">
        <f t="shared" si="32"/>
        <v>432</v>
      </c>
      <c r="AM96" s="1756">
        <f t="shared" ref="AM96:AM101" si="45">J96/6</f>
        <v>72</v>
      </c>
      <c r="AN96" s="1756"/>
      <c r="AO96" s="1771"/>
      <c r="AP96" s="1771"/>
      <c r="AQ96" s="1772"/>
      <c r="AR96" s="1773"/>
      <c r="AS96" s="1754"/>
      <c r="AT96" s="1773"/>
      <c r="AU96" s="1774"/>
      <c r="AV96" s="1775"/>
      <c r="AW96" s="1777"/>
      <c r="AX96" s="1777"/>
      <c r="AY96" s="1777"/>
      <c r="AZ96" s="1777"/>
      <c r="BA96" s="1777"/>
      <c r="BB96" s="1777"/>
      <c r="BC96" s="1777"/>
      <c r="BD96" s="1777"/>
      <c r="BE96" s="1777"/>
      <c r="BF96" s="1777"/>
      <c r="BG96" s="1777"/>
      <c r="BH96" s="1777"/>
      <c r="BI96" s="1777"/>
      <c r="BJ96" s="1777"/>
      <c r="BK96" s="1777"/>
      <c r="BL96" s="1777"/>
      <c r="BM96" s="1777"/>
      <c r="BN96" s="1777"/>
      <c r="BO96" s="1777"/>
      <c r="BP96" s="1777"/>
      <c r="BQ96" s="1777"/>
      <c r="BR96" s="1777"/>
      <c r="BS96" s="1777"/>
      <c r="BT96" s="1777"/>
      <c r="BU96" s="1777"/>
      <c r="BV96" s="1777"/>
      <c r="BW96" s="1777"/>
      <c r="BX96" s="1777"/>
      <c r="BY96" s="1777"/>
      <c r="BZ96" s="1777"/>
      <c r="CA96" s="1777"/>
      <c r="CB96" s="1777"/>
      <c r="CC96" s="1777"/>
      <c r="CD96" s="1777"/>
      <c r="CE96" s="1777"/>
      <c r="CF96" s="1777"/>
      <c r="CG96" s="1777"/>
      <c r="CH96" s="1777"/>
      <c r="CI96" s="1777"/>
      <c r="CJ96" s="1777"/>
      <c r="CK96" s="1777"/>
      <c r="CL96" s="1777"/>
      <c r="CM96" s="1777"/>
      <c r="CN96" s="1777"/>
      <c r="CO96" s="1777"/>
      <c r="CP96" s="1777"/>
      <c r="CQ96" s="1777"/>
      <c r="CR96" s="1777"/>
      <c r="CS96" s="1777"/>
      <c r="CT96" s="1777"/>
      <c r="CU96" s="1777"/>
      <c r="CV96" s="1777"/>
      <c r="CW96" s="1777"/>
      <c r="CX96" s="1777"/>
      <c r="CY96" s="1777"/>
      <c r="CZ96" s="1777"/>
      <c r="DA96" s="1777"/>
      <c r="DB96" s="1777"/>
      <c r="DC96" s="1777"/>
      <c r="DD96" s="1777"/>
      <c r="DE96" s="1777"/>
      <c r="DF96" s="1777"/>
      <c r="DG96" s="1777"/>
      <c r="DH96" s="1777"/>
      <c r="DI96" s="1777"/>
      <c r="DJ96" s="1777"/>
      <c r="DK96" s="1777"/>
      <c r="DL96" s="1777"/>
      <c r="DM96" s="1777"/>
      <c r="DN96" s="1777"/>
      <c r="DO96" s="1777"/>
      <c r="DP96" s="1777"/>
      <c r="DQ96" s="1777"/>
      <c r="DR96" s="1777"/>
      <c r="DS96" s="1777"/>
      <c r="DT96" s="1777"/>
      <c r="DU96" s="1777"/>
      <c r="DV96" s="1777"/>
      <c r="DW96" s="1777"/>
      <c r="DX96" s="1779"/>
      <c r="DY96" s="1779"/>
      <c r="DZ96" s="1779"/>
      <c r="EA96" s="1779"/>
      <c r="EB96" s="1779"/>
      <c r="EC96" s="1779"/>
      <c r="ED96" s="1779"/>
      <c r="EE96" s="1779"/>
      <c r="EF96" s="1779"/>
      <c r="EG96" s="1779"/>
      <c r="EH96" s="1779"/>
      <c r="EI96" s="1779"/>
      <c r="EJ96" s="1779"/>
      <c r="EK96" s="1779"/>
      <c r="EL96" s="1779"/>
      <c r="EM96" s="1779"/>
      <c r="EN96" s="1779"/>
      <c r="EO96" s="1779"/>
      <c r="EP96" s="1779"/>
      <c r="EQ96" s="1779"/>
      <c r="ER96" s="1779"/>
      <c r="ES96" s="1779"/>
      <c r="ET96" s="1779"/>
      <c r="EU96" s="1779"/>
      <c r="EV96" s="1779"/>
      <c r="EW96" s="1779"/>
      <c r="EX96" s="1779"/>
      <c r="EY96" s="1779"/>
      <c r="EZ96" s="1779"/>
      <c r="FA96" s="1779"/>
      <c r="FB96" s="1779"/>
      <c r="FC96" s="1779"/>
      <c r="FD96" s="1779"/>
      <c r="FE96" s="1779"/>
      <c r="FF96" s="1779"/>
      <c r="FG96" s="1779"/>
      <c r="FH96" s="1779"/>
      <c r="FI96" s="1779"/>
      <c r="FJ96" s="1779"/>
      <c r="FK96" s="1779"/>
      <c r="FL96" s="1779"/>
      <c r="FM96" s="1779"/>
      <c r="FN96" s="1779"/>
      <c r="FO96" s="1779"/>
      <c r="FP96" s="1779"/>
      <c r="FQ96" s="1779"/>
      <c r="FR96" s="1779"/>
      <c r="FS96" s="1779"/>
      <c r="FT96" s="1779"/>
      <c r="FU96" s="1779"/>
      <c r="FV96" s="1779"/>
      <c r="FW96" s="1779"/>
      <c r="FX96" s="1779"/>
      <c r="FY96" s="1779"/>
      <c r="FZ96" s="1779"/>
      <c r="GA96" s="1779"/>
      <c r="XES96" s="1780"/>
      <c r="XET96" s="1780"/>
      <c r="XEU96" s="1780"/>
      <c r="XEV96" s="1780"/>
      <c r="XEW96" s="1780"/>
      <c r="XEX96" s="1780"/>
      <c r="XEY96" s="1780"/>
      <c r="XEZ96" s="1780"/>
      <c r="XFA96" s="1780"/>
      <c r="XFB96" s="1780"/>
      <c r="XFC96" s="1780"/>
      <c r="XFD96" s="1780"/>
    </row>
    <row r="97" s="1663" customFormat="1" ht="36" customHeight="1" spans="1:16384">
      <c r="A97" s="1693">
        <v>45974</v>
      </c>
      <c r="B97" s="1694" t="s">
        <v>1516</v>
      </c>
      <c r="C97" s="1695" t="s">
        <v>91</v>
      </c>
      <c r="D97" s="1696">
        <v>4500185492</v>
      </c>
      <c r="E97" s="1694">
        <v>11919220</v>
      </c>
      <c r="F97" s="1696" t="s">
        <v>1857</v>
      </c>
      <c r="G97" s="1697" t="s">
        <v>1518</v>
      </c>
      <c r="H97" s="1697" t="s">
        <v>1519</v>
      </c>
      <c r="I97" s="1704" t="s">
        <v>1479</v>
      </c>
      <c r="J97" s="1697">
        <v>654</v>
      </c>
      <c r="K97" s="1697">
        <v>0</v>
      </c>
      <c r="L97" s="1697">
        <v>6</v>
      </c>
      <c r="M97" s="1705">
        <f t="shared" si="28"/>
        <v>109</v>
      </c>
      <c r="N97" s="1706">
        <v>46056</v>
      </c>
      <c r="O97" s="1711">
        <v>46053</v>
      </c>
      <c r="P97" s="1708"/>
      <c r="Q97" s="1708" t="s">
        <v>1480</v>
      </c>
      <c r="R97" s="1708" t="s">
        <v>1358</v>
      </c>
      <c r="S97" s="1727" t="s">
        <v>1855</v>
      </c>
      <c r="T97" s="1728"/>
      <c r="U97" s="1729" t="s">
        <v>1856</v>
      </c>
      <c r="V97" s="1721" t="s">
        <v>1522</v>
      </c>
      <c r="W97" s="1719" t="s">
        <v>1808</v>
      </c>
      <c r="X97" s="1720" t="s">
        <v>1820</v>
      </c>
      <c r="Y97" s="1739">
        <v>0.9426</v>
      </c>
      <c r="Z97" s="1740">
        <f t="shared" si="26"/>
        <v>616.4604</v>
      </c>
      <c r="AA97" s="1741"/>
      <c r="AB97" s="1741">
        <v>654</v>
      </c>
      <c r="AC97" s="1741">
        <f t="shared" si="40"/>
        <v>0</v>
      </c>
      <c r="AD97" s="1741" t="s">
        <v>81</v>
      </c>
      <c r="AE97" s="1742" t="s">
        <v>63</v>
      </c>
      <c r="AF97" s="1742" t="s">
        <v>38</v>
      </c>
      <c r="AG97" s="1720">
        <f t="shared" si="41"/>
        <v>218</v>
      </c>
      <c r="AH97" s="1720">
        <f t="shared" si="42"/>
        <v>218</v>
      </c>
      <c r="AI97" s="1754">
        <f t="shared" si="43"/>
        <v>218</v>
      </c>
      <c r="AJ97" s="1755">
        <f t="shared" si="44"/>
        <v>654</v>
      </c>
      <c r="AK97" s="1756"/>
      <c r="AL97" s="1756">
        <f t="shared" si="32"/>
        <v>654</v>
      </c>
      <c r="AM97" s="1756">
        <f t="shared" si="45"/>
        <v>109</v>
      </c>
      <c r="AN97" s="1756"/>
      <c r="AO97" s="1771"/>
      <c r="AP97" s="1771"/>
      <c r="AQ97" s="1772"/>
      <c r="AR97" s="1773"/>
      <c r="AS97" s="1754"/>
      <c r="AT97" s="1773"/>
      <c r="AU97" s="1774"/>
      <c r="AV97" s="1775"/>
      <c r="AW97" s="1777"/>
      <c r="AX97" s="1777"/>
      <c r="AY97" s="1777"/>
      <c r="AZ97" s="1777"/>
      <c r="BA97" s="1777"/>
      <c r="BB97" s="1777"/>
      <c r="BC97" s="1777"/>
      <c r="BD97" s="1777"/>
      <c r="BE97" s="1777"/>
      <c r="BF97" s="1777"/>
      <c r="BG97" s="1777"/>
      <c r="BH97" s="1777"/>
      <c r="BI97" s="1777"/>
      <c r="BJ97" s="1777"/>
      <c r="BK97" s="1777"/>
      <c r="BL97" s="1777"/>
      <c r="BM97" s="1777"/>
      <c r="BN97" s="1777"/>
      <c r="BO97" s="1777"/>
      <c r="BP97" s="1777"/>
      <c r="BQ97" s="1777"/>
      <c r="BR97" s="1777"/>
      <c r="BS97" s="1777"/>
      <c r="BT97" s="1777"/>
      <c r="BU97" s="1777"/>
      <c r="BV97" s="1777"/>
      <c r="BW97" s="1777"/>
      <c r="BX97" s="1777"/>
      <c r="BY97" s="1777"/>
      <c r="BZ97" s="1777"/>
      <c r="CA97" s="1777"/>
      <c r="CB97" s="1777"/>
      <c r="CC97" s="1777"/>
      <c r="CD97" s="1777"/>
      <c r="CE97" s="1777"/>
      <c r="CF97" s="1777"/>
      <c r="CG97" s="1777"/>
      <c r="CH97" s="1777"/>
      <c r="CI97" s="1777"/>
      <c r="CJ97" s="1777"/>
      <c r="CK97" s="1777"/>
      <c r="CL97" s="1777"/>
      <c r="CM97" s="1777"/>
      <c r="CN97" s="1777"/>
      <c r="CO97" s="1777"/>
      <c r="CP97" s="1777"/>
      <c r="CQ97" s="1777"/>
      <c r="CR97" s="1777"/>
      <c r="CS97" s="1777"/>
      <c r="CT97" s="1777"/>
      <c r="CU97" s="1777"/>
      <c r="CV97" s="1777"/>
      <c r="CW97" s="1777"/>
      <c r="CX97" s="1777"/>
      <c r="CY97" s="1777"/>
      <c r="CZ97" s="1777"/>
      <c r="DA97" s="1777"/>
      <c r="DB97" s="1777"/>
      <c r="DC97" s="1777"/>
      <c r="DD97" s="1777"/>
      <c r="DE97" s="1777"/>
      <c r="DF97" s="1777"/>
      <c r="DG97" s="1777"/>
      <c r="DH97" s="1777"/>
      <c r="DI97" s="1777"/>
      <c r="DJ97" s="1777"/>
      <c r="DK97" s="1777"/>
      <c r="DL97" s="1777"/>
      <c r="DM97" s="1777"/>
      <c r="DN97" s="1777"/>
      <c r="DO97" s="1777"/>
      <c r="DP97" s="1777"/>
      <c r="DQ97" s="1777"/>
      <c r="DR97" s="1777"/>
      <c r="DS97" s="1777"/>
      <c r="DT97" s="1777"/>
      <c r="DU97" s="1777"/>
      <c r="DV97" s="1777"/>
      <c r="DW97" s="1777"/>
      <c r="DX97" s="1779"/>
      <c r="DY97" s="1779"/>
      <c r="DZ97" s="1779"/>
      <c r="EA97" s="1779"/>
      <c r="EB97" s="1779"/>
      <c r="EC97" s="1779"/>
      <c r="ED97" s="1779"/>
      <c r="EE97" s="1779"/>
      <c r="EF97" s="1779"/>
      <c r="EG97" s="1779"/>
      <c r="EH97" s="1779"/>
      <c r="EI97" s="1779"/>
      <c r="EJ97" s="1779"/>
      <c r="EK97" s="1779"/>
      <c r="EL97" s="1779"/>
      <c r="EM97" s="1779"/>
      <c r="EN97" s="1779"/>
      <c r="EO97" s="1779"/>
      <c r="EP97" s="1779"/>
      <c r="EQ97" s="1779"/>
      <c r="ER97" s="1779"/>
      <c r="ES97" s="1779"/>
      <c r="ET97" s="1779"/>
      <c r="EU97" s="1779"/>
      <c r="EV97" s="1779"/>
      <c r="EW97" s="1779"/>
      <c r="EX97" s="1779"/>
      <c r="EY97" s="1779"/>
      <c r="EZ97" s="1779"/>
      <c r="FA97" s="1779"/>
      <c r="FB97" s="1779"/>
      <c r="FC97" s="1779"/>
      <c r="FD97" s="1779"/>
      <c r="FE97" s="1779"/>
      <c r="FF97" s="1779"/>
      <c r="FG97" s="1779"/>
      <c r="FH97" s="1779"/>
      <c r="FI97" s="1779"/>
      <c r="FJ97" s="1779"/>
      <c r="FK97" s="1779"/>
      <c r="FL97" s="1779"/>
      <c r="FM97" s="1779"/>
      <c r="FN97" s="1779"/>
      <c r="FO97" s="1779"/>
      <c r="FP97" s="1779"/>
      <c r="FQ97" s="1779"/>
      <c r="FR97" s="1779"/>
      <c r="FS97" s="1779"/>
      <c r="FT97" s="1779"/>
      <c r="FU97" s="1779"/>
      <c r="FV97" s="1779"/>
      <c r="FW97" s="1779"/>
      <c r="FX97" s="1779"/>
      <c r="FY97" s="1779"/>
      <c r="FZ97" s="1779"/>
      <c r="GA97" s="1779"/>
      <c r="XES97" s="1780"/>
      <c r="XET97" s="1780"/>
      <c r="XEU97" s="1780"/>
      <c r="XEV97" s="1780"/>
      <c r="XEW97" s="1780"/>
      <c r="XEX97" s="1780"/>
      <c r="XEY97" s="1780"/>
      <c r="XEZ97" s="1780"/>
      <c r="XFA97" s="1780"/>
      <c r="XFB97" s="1780"/>
      <c r="XFC97" s="1780"/>
      <c r="XFD97" s="1780"/>
    </row>
    <row r="98" s="1663" customFormat="1" ht="36" customHeight="1" spans="1:16384">
      <c r="A98" s="1693">
        <v>45974</v>
      </c>
      <c r="B98" s="1694" t="s">
        <v>1516</v>
      </c>
      <c r="C98" s="1695" t="s">
        <v>91</v>
      </c>
      <c r="D98" s="1696">
        <v>4500185519</v>
      </c>
      <c r="E98" s="1694">
        <v>11919218</v>
      </c>
      <c r="F98" s="1696" t="s">
        <v>1858</v>
      </c>
      <c r="G98" s="1697" t="s">
        <v>1518</v>
      </c>
      <c r="H98" s="1697" t="s">
        <v>1519</v>
      </c>
      <c r="I98" s="1704" t="s">
        <v>1479</v>
      </c>
      <c r="J98" s="1697">
        <v>1212</v>
      </c>
      <c r="K98" s="1697">
        <v>0</v>
      </c>
      <c r="L98" s="1697">
        <v>6</v>
      </c>
      <c r="M98" s="1705">
        <f t="shared" si="28"/>
        <v>202</v>
      </c>
      <c r="N98" s="1706">
        <v>46079</v>
      </c>
      <c r="O98" s="1711">
        <v>46076</v>
      </c>
      <c r="P98" s="1708"/>
      <c r="Q98" s="1708" t="s">
        <v>1480</v>
      </c>
      <c r="R98" s="1708"/>
      <c r="S98" s="1727" t="s">
        <v>392</v>
      </c>
      <c r="T98" s="1728"/>
      <c r="U98" s="1729" t="s">
        <v>1859</v>
      </c>
      <c r="V98" s="1721" t="s">
        <v>1522</v>
      </c>
      <c r="W98" s="1719" t="s">
        <v>1808</v>
      </c>
      <c r="X98" s="1720" t="s">
        <v>1820</v>
      </c>
      <c r="Y98" s="1739">
        <v>0.9394</v>
      </c>
      <c r="Z98" s="1740">
        <f t="shared" si="26"/>
        <v>1138.5528</v>
      </c>
      <c r="AA98" s="1741"/>
      <c r="AB98" s="1741">
        <v>1212</v>
      </c>
      <c r="AC98" s="1741">
        <f t="shared" si="40"/>
        <v>0</v>
      </c>
      <c r="AD98" s="1741" t="s">
        <v>81</v>
      </c>
      <c r="AE98" s="1742" t="s">
        <v>63</v>
      </c>
      <c r="AF98" s="1742" t="s">
        <v>38</v>
      </c>
      <c r="AG98" s="1720">
        <f t="shared" si="41"/>
        <v>404</v>
      </c>
      <c r="AH98" s="1720">
        <f t="shared" si="42"/>
        <v>404</v>
      </c>
      <c r="AI98" s="1754">
        <f t="shared" si="43"/>
        <v>404</v>
      </c>
      <c r="AJ98" s="1755">
        <f t="shared" si="44"/>
        <v>1212</v>
      </c>
      <c r="AK98" s="1756"/>
      <c r="AL98" s="1756">
        <f t="shared" si="32"/>
        <v>1212</v>
      </c>
      <c r="AM98" s="1756">
        <f t="shared" si="45"/>
        <v>202</v>
      </c>
      <c r="AN98" s="1756"/>
      <c r="AO98" s="1771"/>
      <c r="AP98" s="1771"/>
      <c r="AQ98" s="1772"/>
      <c r="AR98" s="1773"/>
      <c r="AS98" s="1754"/>
      <c r="AT98" s="1773"/>
      <c r="AU98" s="1774"/>
      <c r="AV98" s="1775"/>
      <c r="AW98" s="1777"/>
      <c r="AX98" s="1777"/>
      <c r="AY98" s="1777"/>
      <c r="AZ98" s="1777"/>
      <c r="BA98" s="1777"/>
      <c r="BB98" s="1777"/>
      <c r="BC98" s="1777"/>
      <c r="BD98" s="1777"/>
      <c r="BE98" s="1777"/>
      <c r="BF98" s="1777"/>
      <c r="BG98" s="1777"/>
      <c r="BH98" s="1777"/>
      <c r="BI98" s="1777"/>
      <c r="BJ98" s="1777"/>
      <c r="BK98" s="1777"/>
      <c r="BL98" s="1777"/>
      <c r="BM98" s="1777"/>
      <c r="BN98" s="1777"/>
      <c r="BO98" s="1777"/>
      <c r="BP98" s="1777"/>
      <c r="BQ98" s="1777"/>
      <c r="BR98" s="1777"/>
      <c r="BS98" s="1777"/>
      <c r="BT98" s="1777"/>
      <c r="BU98" s="1777"/>
      <c r="BV98" s="1777"/>
      <c r="BW98" s="1777"/>
      <c r="BX98" s="1777"/>
      <c r="BY98" s="1777"/>
      <c r="BZ98" s="1777"/>
      <c r="CA98" s="1777"/>
      <c r="CB98" s="1777"/>
      <c r="CC98" s="1777"/>
      <c r="CD98" s="1777"/>
      <c r="CE98" s="1777"/>
      <c r="CF98" s="1777"/>
      <c r="CG98" s="1777"/>
      <c r="CH98" s="1777"/>
      <c r="CI98" s="1777"/>
      <c r="CJ98" s="1777"/>
      <c r="CK98" s="1777"/>
      <c r="CL98" s="1777"/>
      <c r="CM98" s="1777"/>
      <c r="CN98" s="1777"/>
      <c r="CO98" s="1777"/>
      <c r="CP98" s="1777"/>
      <c r="CQ98" s="1777"/>
      <c r="CR98" s="1777"/>
      <c r="CS98" s="1777"/>
      <c r="CT98" s="1777"/>
      <c r="CU98" s="1777"/>
      <c r="CV98" s="1777"/>
      <c r="CW98" s="1777"/>
      <c r="CX98" s="1777"/>
      <c r="CY98" s="1777"/>
      <c r="CZ98" s="1777"/>
      <c r="DA98" s="1777"/>
      <c r="DB98" s="1777"/>
      <c r="DC98" s="1777"/>
      <c r="DD98" s="1777"/>
      <c r="DE98" s="1777"/>
      <c r="DF98" s="1777"/>
      <c r="DG98" s="1777"/>
      <c r="DH98" s="1777"/>
      <c r="DI98" s="1777"/>
      <c r="DJ98" s="1777"/>
      <c r="DK98" s="1777"/>
      <c r="DL98" s="1777"/>
      <c r="DM98" s="1777"/>
      <c r="DN98" s="1777"/>
      <c r="DO98" s="1777"/>
      <c r="DP98" s="1777"/>
      <c r="DQ98" s="1777"/>
      <c r="DR98" s="1777"/>
      <c r="DS98" s="1777"/>
      <c r="DT98" s="1777"/>
      <c r="DU98" s="1777"/>
      <c r="DV98" s="1777"/>
      <c r="DW98" s="1777"/>
      <c r="DX98" s="1779"/>
      <c r="DY98" s="1779"/>
      <c r="DZ98" s="1779"/>
      <c r="EA98" s="1779"/>
      <c r="EB98" s="1779"/>
      <c r="EC98" s="1779"/>
      <c r="ED98" s="1779"/>
      <c r="EE98" s="1779"/>
      <c r="EF98" s="1779"/>
      <c r="EG98" s="1779"/>
      <c r="EH98" s="1779"/>
      <c r="EI98" s="1779"/>
      <c r="EJ98" s="1779"/>
      <c r="EK98" s="1779"/>
      <c r="EL98" s="1779"/>
      <c r="EM98" s="1779"/>
      <c r="EN98" s="1779"/>
      <c r="EO98" s="1779"/>
      <c r="EP98" s="1779"/>
      <c r="EQ98" s="1779"/>
      <c r="ER98" s="1779"/>
      <c r="ES98" s="1779"/>
      <c r="ET98" s="1779"/>
      <c r="EU98" s="1779"/>
      <c r="EV98" s="1779"/>
      <c r="EW98" s="1779"/>
      <c r="EX98" s="1779"/>
      <c r="EY98" s="1779"/>
      <c r="EZ98" s="1779"/>
      <c r="FA98" s="1779"/>
      <c r="FB98" s="1779"/>
      <c r="FC98" s="1779"/>
      <c r="FD98" s="1779"/>
      <c r="FE98" s="1779"/>
      <c r="FF98" s="1779"/>
      <c r="FG98" s="1779"/>
      <c r="FH98" s="1779"/>
      <c r="FI98" s="1779"/>
      <c r="FJ98" s="1779"/>
      <c r="FK98" s="1779"/>
      <c r="FL98" s="1779"/>
      <c r="FM98" s="1779"/>
      <c r="FN98" s="1779"/>
      <c r="FO98" s="1779"/>
      <c r="FP98" s="1779"/>
      <c r="FQ98" s="1779"/>
      <c r="FR98" s="1779"/>
      <c r="FS98" s="1779"/>
      <c r="FT98" s="1779"/>
      <c r="FU98" s="1779"/>
      <c r="FV98" s="1779"/>
      <c r="FW98" s="1779"/>
      <c r="FX98" s="1779"/>
      <c r="FY98" s="1779"/>
      <c r="FZ98" s="1779"/>
      <c r="GA98" s="1779"/>
      <c r="XES98" s="1780"/>
      <c r="XET98" s="1780"/>
      <c r="XEU98" s="1780"/>
      <c r="XEV98" s="1780"/>
      <c r="XEW98" s="1780"/>
      <c r="XEX98" s="1780"/>
      <c r="XEY98" s="1780"/>
      <c r="XEZ98" s="1780"/>
      <c r="XFA98" s="1780"/>
      <c r="XFB98" s="1780"/>
      <c r="XFC98" s="1780"/>
      <c r="XFD98" s="1780"/>
    </row>
    <row r="99" s="1662" customFormat="1" ht="36" customHeight="1" spans="1:16384">
      <c r="A99" s="1790">
        <v>45974</v>
      </c>
      <c r="B99" s="1791" t="s">
        <v>1516</v>
      </c>
      <c r="C99" s="1792" t="s">
        <v>91</v>
      </c>
      <c r="D99" s="1793">
        <v>4500185561</v>
      </c>
      <c r="E99" s="1791">
        <v>11919221</v>
      </c>
      <c r="F99" s="1793" t="s">
        <v>1860</v>
      </c>
      <c r="G99" s="1794" t="s">
        <v>1518</v>
      </c>
      <c r="H99" s="1794" t="s">
        <v>1519</v>
      </c>
      <c r="I99" s="1795" t="s">
        <v>1479</v>
      </c>
      <c r="J99" s="1794">
        <v>966</v>
      </c>
      <c r="K99" s="1794">
        <v>0</v>
      </c>
      <c r="L99" s="1794">
        <v>6</v>
      </c>
      <c r="M99" s="1826">
        <f t="shared" si="28"/>
        <v>161</v>
      </c>
      <c r="N99" s="1827">
        <v>46093</v>
      </c>
      <c r="O99" s="1828">
        <v>46090</v>
      </c>
      <c r="P99" s="1829"/>
      <c r="Q99" s="1829"/>
      <c r="R99" s="1829"/>
      <c r="S99" s="1851" t="s">
        <v>392</v>
      </c>
      <c r="T99" s="1852"/>
      <c r="U99" s="1853" t="s">
        <v>1859</v>
      </c>
      <c r="V99" s="1854" t="s">
        <v>1522</v>
      </c>
      <c r="W99" s="1855" t="s">
        <v>1808</v>
      </c>
      <c r="X99" s="1856" t="s">
        <v>1820</v>
      </c>
      <c r="Y99" s="1879">
        <v>0.9545</v>
      </c>
      <c r="Z99" s="1880">
        <f t="shared" si="26"/>
        <v>922.047</v>
      </c>
      <c r="AA99" s="1881"/>
      <c r="AB99" s="1881"/>
      <c r="AC99" s="1882">
        <f t="shared" si="40"/>
        <v>-966</v>
      </c>
      <c r="AD99" s="1881" t="s">
        <v>81</v>
      </c>
      <c r="AE99" s="1883" t="s">
        <v>63</v>
      </c>
      <c r="AF99" s="1883" t="s">
        <v>38</v>
      </c>
      <c r="AG99" s="1856">
        <f t="shared" si="41"/>
        <v>322</v>
      </c>
      <c r="AH99" s="1856">
        <f t="shared" si="42"/>
        <v>322</v>
      </c>
      <c r="AI99" s="1906">
        <f t="shared" si="43"/>
        <v>322</v>
      </c>
      <c r="AJ99" s="1907">
        <f t="shared" si="44"/>
        <v>966</v>
      </c>
      <c r="AK99" s="1908"/>
      <c r="AL99" s="1908">
        <f t="shared" ref="AL99:AL108" si="46">J99</f>
        <v>966</v>
      </c>
      <c r="AM99" s="1908">
        <f t="shared" si="45"/>
        <v>161</v>
      </c>
      <c r="AN99" s="1908"/>
      <c r="AO99" s="1920"/>
      <c r="AP99" s="1920"/>
      <c r="AQ99" s="1921"/>
      <c r="AR99" s="1922"/>
      <c r="AS99" s="1906"/>
      <c r="AT99" s="1922"/>
      <c r="AU99" s="1923"/>
      <c r="AV99" s="1924"/>
      <c r="AW99" s="1776"/>
      <c r="AX99" s="1776"/>
      <c r="AY99" s="1776"/>
      <c r="AZ99" s="1776"/>
      <c r="BA99" s="1776"/>
      <c r="BB99" s="1776"/>
      <c r="BC99" s="1776"/>
      <c r="BD99" s="1776"/>
      <c r="BE99" s="1776"/>
      <c r="BF99" s="1776"/>
      <c r="BG99" s="1776"/>
      <c r="BH99" s="1776"/>
      <c r="BI99" s="1776"/>
      <c r="BJ99" s="1776"/>
      <c r="BK99" s="1776"/>
      <c r="BL99" s="1776"/>
      <c r="BM99" s="1776"/>
      <c r="BN99" s="1776"/>
      <c r="BO99" s="1776"/>
      <c r="BP99" s="1776"/>
      <c r="BQ99" s="1776"/>
      <c r="BR99" s="1776"/>
      <c r="BS99" s="1776"/>
      <c r="BT99" s="1776"/>
      <c r="BU99" s="1776"/>
      <c r="BV99" s="1776"/>
      <c r="BW99" s="1776"/>
      <c r="BX99" s="1776"/>
      <c r="BY99" s="1776"/>
      <c r="BZ99" s="1776"/>
      <c r="CA99" s="1776"/>
      <c r="CB99" s="1776"/>
      <c r="CC99" s="1776"/>
      <c r="CD99" s="1776"/>
      <c r="CE99" s="1776"/>
      <c r="CF99" s="1776"/>
      <c r="CG99" s="1776"/>
      <c r="CH99" s="1776"/>
      <c r="CI99" s="1776"/>
      <c r="CJ99" s="1776"/>
      <c r="CK99" s="1776"/>
      <c r="CL99" s="1776"/>
      <c r="CM99" s="1776"/>
      <c r="CN99" s="1776"/>
      <c r="CO99" s="1776"/>
      <c r="CP99" s="1776"/>
      <c r="CQ99" s="1776"/>
      <c r="CR99" s="1776"/>
      <c r="CS99" s="1776"/>
      <c r="CT99" s="1776"/>
      <c r="CU99" s="1776"/>
      <c r="CV99" s="1776"/>
      <c r="CW99" s="1776"/>
      <c r="CX99" s="1776"/>
      <c r="CY99" s="1776"/>
      <c r="CZ99" s="1776"/>
      <c r="DA99" s="1776"/>
      <c r="DB99" s="1776"/>
      <c r="DC99" s="1776"/>
      <c r="DD99" s="1776"/>
      <c r="DE99" s="1776"/>
      <c r="DF99" s="1776"/>
      <c r="DG99" s="1776"/>
      <c r="DH99" s="1776"/>
      <c r="DI99" s="1776"/>
      <c r="DJ99" s="1776"/>
      <c r="DK99" s="1776"/>
      <c r="DL99" s="1776"/>
      <c r="DM99" s="1776"/>
      <c r="DN99" s="1776"/>
      <c r="DO99" s="1776"/>
      <c r="DP99" s="1776"/>
      <c r="DQ99" s="1776"/>
      <c r="DR99" s="1776"/>
      <c r="DS99" s="1776"/>
      <c r="DT99" s="1776"/>
      <c r="DU99" s="1776"/>
      <c r="DV99" s="1776"/>
      <c r="DW99" s="1776"/>
      <c r="DX99" s="1778"/>
      <c r="DY99" s="1778"/>
      <c r="DZ99" s="1778"/>
      <c r="EA99" s="1778"/>
      <c r="EB99" s="1778"/>
      <c r="EC99" s="1778"/>
      <c r="ED99" s="1778"/>
      <c r="EE99" s="1778"/>
      <c r="EF99" s="1778"/>
      <c r="EG99" s="1778"/>
      <c r="EH99" s="1778"/>
      <c r="EI99" s="1778"/>
      <c r="EJ99" s="1778"/>
      <c r="EK99" s="1778"/>
      <c r="EL99" s="1778"/>
      <c r="EM99" s="1778"/>
      <c r="EN99" s="1778"/>
      <c r="EO99" s="1778"/>
      <c r="EP99" s="1778"/>
      <c r="EQ99" s="1778"/>
      <c r="ER99" s="1778"/>
      <c r="ES99" s="1778"/>
      <c r="ET99" s="1778"/>
      <c r="EU99" s="1778"/>
      <c r="EV99" s="1778"/>
      <c r="EW99" s="1778"/>
      <c r="EX99" s="1778"/>
      <c r="EY99" s="1778"/>
      <c r="EZ99" s="1778"/>
      <c r="FA99" s="1778"/>
      <c r="FB99" s="1778"/>
      <c r="FC99" s="1778"/>
      <c r="FD99" s="1778"/>
      <c r="FE99" s="1778"/>
      <c r="FF99" s="1778"/>
      <c r="FG99" s="1778"/>
      <c r="FH99" s="1778"/>
      <c r="FI99" s="1778"/>
      <c r="FJ99" s="1778"/>
      <c r="FK99" s="1778"/>
      <c r="FL99" s="1778"/>
      <c r="FM99" s="1778"/>
      <c r="FN99" s="1778"/>
      <c r="FO99" s="1778"/>
      <c r="FP99" s="1778"/>
      <c r="FQ99" s="1778"/>
      <c r="FR99" s="1778"/>
      <c r="FS99" s="1778"/>
      <c r="FT99" s="1778"/>
      <c r="FU99" s="1778"/>
      <c r="FV99" s="1778"/>
      <c r="FW99" s="1778"/>
      <c r="FX99" s="1778"/>
      <c r="FY99" s="1778"/>
      <c r="FZ99" s="1778"/>
      <c r="GA99" s="1778"/>
      <c r="XES99" s="1667"/>
      <c r="XET99" s="1667"/>
      <c r="XEU99" s="1667"/>
      <c r="XEV99" s="1667"/>
      <c r="XEW99" s="1667"/>
      <c r="XEX99" s="1667"/>
      <c r="XEY99" s="1667"/>
      <c r="XEZ99" s="1667"/>
      <c r="XFA99" s="1667"/>
      <c r="XFB99" s="1667"/>
      <c r="XFC99" s="1667"/>
      <c r="XFD99" s="1667"/>
    </row>
    <row r="100" s="1662" customFormat="1" ht="36" customHeight="1" spans="1:16384">
      <c r="A100" s="1790">
        <v>45974</v>
      </c>
      <c r="B100" s="1791" t="s">
        <v>1516</v>
      </c>
      <c r="C100" s="1792" t="s">
        <v>91</v>
      </c>
      <c r="D100" s="1793">
        <v>4500185560</v>
      </c>
      <c r="E100" s="1791">
        <v>11919222</v>
      </c>
      <c r="F100" s="1793" t="s">
        <v>1861</v>
      </c>
      <c r="G100" s="1794" t="s">
        <v>1518</v>
      </c>
      <c r="H100" s="1794" t="s">
        <v>1519</v>
      </c>
      <c r="I100" s="1795" t="s">
        <v>1479</v>
      </c>
      <c r="J100" s="1794">
        <v>342</v>
      </c>
      <c r="K100" s="1794">
        <v>0</v>
      </c>
      <c r="L100" s="1794">
        <v>6</v>
      </c>
      <c r="M100" s="1826">
        <f t="shared" si="28"/>
        <v>57</v>
      </c>
      <c r="N100" s="1827">
        <v>46093</v>
      </c>
      <c r="O100" s="1828">
        <v>46090</v>
      </c>
      <c r="P100" s="1829"/>
      <c r="Q100" s="1829"/>
      <c r="R100" s="1829"/>
      <c r="S100" s="1851" t="s">
        <v>392</v>
      </c>
      <c r="T100" s="1852"/>
      <c r="U100" s="1853" t="s">
        <v>1859</v>
      </c>
      <c r="V100" s="1854" t="s">
        <v>1522</v>
      </c>
      <c r="W100" s="1855" t="s">
        <v>1808</v>
      </c>
      <c r="X100" s="1856" t="s">
        <v>1820</v>
      </c>
      <c r="Y100" s="1879">
        <v>0.9545</v>
      </c>
      <c r="Z100" s="1880">
        <f t="shared" si="26"/>
        <v>326.439</v>
      </c>
      <c r="AA100" s="1881"/>
      <c r="AB100" s="1881"/>
      <c r="AC100" s="1882">
        <f t="shared" si="40"/>
        <v>-342</v>
      </c>
      <c r="AD100" s="1881" t="s">
        <v>81</v>
      </c>
      <c r="AE100" s="1883" t="s">
        <v>63</v>
      </c>
      <c r="AF100" s="1883" t="s">
        <v>38</v>
      </c>
      <c r="AG100" s="1856">
        <f t="shared" si="41"/>
        <v>114</v>
      </c>
      <c r="AH100" s="1856">
        <f t="shared" si="42"/>
        <v>114</v>
      </c>
      <c r="AI100" s="1906">
        <f t="shared" si="43"/>
        <v>114</v>
      </c>
      <c r="AJ100" s="1907">
        <f t="shared" si="44"/>
        <v>342</v>
      </c>
      <c r="AK100" s="1908"/>
      <c r="AL100" s="1908">
        <f t="shared" si="46"/>
        <v>342</v>
      </c>
      <c r="AM100" s="1908">
        <f t="shared" si="45"/>
        <v>57</v>
      </c>
      <c r="AN100" s="1908"/>
      <c r="AO100" s="1920"/>
      <c r="AP100" s="1920"/>
      <c r="AQ100" s="1921"/>
      <c r="AR100" s="1922"/>
      <c r="AS100" s="1906"/>
      <c r="AT100" s="1922"/>
      <c r="AU100" s="1923"/>
      <c r="AV100" s="1924"/>
      <c r="AW100" s="1776"/>
      <c r="AX100" s="1776"/>
      <c r="AY100" s="1776"/>
      <c r="AZ100" s="1776"/>
      <c r="BA100" s="1776"/>
      <c r="BB100" s="1776"/>
      <c r="BC100" s="1776"/>
      <c r="BD100" s="1776"/>
      <c r="BE100" s="1776"/>
      <c r="BF100" s="1776"/>
      <c r="BG100" s="1776"/>
      <c r="BH100" s="1776"/>
      <c r="BI100" s="1776"/>
      <c r="BJ100" s="1776"/>
      <c r="BK100" s="1776"/>
      <c r="BL100" s="1776"/>
      <c r="BM100" s="1776"/>
      <c r="BN100" s="1776"/>
      <c r="BO100" s="1776"/>
      <c r="BP100" s="1776"/>
      <c r="BQ100" s="1776"/>
      <c r="BR100" s="1776"/>
      <c r="BS100" s="1776"/>
      <c r="BT100" s="1776"/>
      <c r="BU100" s="1776"/>
      <c r="BV100" s="1776"/>
      <c r="BW100" s="1776"/>
      <c r="BX100" s="1776"/>
      <c r="BY100" s="1776"/>
      <c r="BZ100" s="1776"/>
      <c r="CA100" s="1776"/>
      <c r="CB100" s="1776"/>
      <c r="CC100" s="1776"/>
      <c r="CD100" s="1776"/>
      <c r="CE100" s="1776"/>
      <c r="CF100" s="1776"/>
      <c r="CG100" s="1776"/>
      <c r="CH100" s="1776"/>
      <c r="CI100" s="1776"/>
      <c r="CJ100" s="1776"/>
      <c r="CK100" s="1776"/>
      <c r="CL100" s="1776"/>
      <c r="CM100" s="1776"/>
      <c r="CN100" s="1776"/>
      <c r="CO100" s="1776"/>
      <c r="CP100" s="1776"/>
      <c r="CQ100" s="1776"/>
      <c r="CR100" s="1776"/>
      <c r="CS100" s="1776"/>
      <c r="CT100" s="1776"/>
      <c r="CU100" s="1776"/>
      <c r="CV100" s="1776"/>
      <c r="CW100" s="1776"/>
      <c r="CX100" s="1776"/>
      <c r="CY100" s="1776"/>
      <c r="CZ100" s="1776"/>
      <c r="DA100" s="1776"/>
      <c r="DB100" s="1776"/>
      <c r="DC100" s="1776"/>
      <c r="DD100" s="1776"/>
      <c r="DE100" s="1776"/>
      <c r="DF100" s="1776"/>
      <c r="DG100" s="1776"/>
      <c r="DH100" s="1776"/>
      <c r="DI100" s="1776"/>
      <c r="DJ100" s="1776"/>
      <c r="DK100" s="1776"/>
      <c r="DL100" s="1776"/>
      <c r="DM100" s="1776"/>
      <c r="DN100" s="1776"/>
      <c r="DO100" s="1776"/>
      <c r="DP100" s="1776"/>
      <c r="DQ100" s="1776"/>
      <c r="DR100" s="1776"/>
      <c r="DS100" s="1776"/>
      <c r="DT100" s="1776"/>
      <c r="DU100" s="1776"/>
      <c r="DV100" s="1776"/>
      <c r="DW100" s="1776"/>
      <c r="DX100" s="1778"/>
      <c r="DY100" s="1778"/>
      <c r="DZ100" s="1778"/>
      <c r="EA100" s="1778"/>
      <c r="EB100" s="1778"/>
      <c r="EC100" s="1778"/>
      <c r="ED100" s="1778"/>
      <c r="EE100" s="1778"/>
      <c r="EF100" s="1778"/>
      <c r="EG100" s="1778"/>
      <c r="EH100" s="1778"/>
      <c r="EI100" s="1778"/>
      <c r="EJ100" s="1778"/>
      <c r="EK100" s="1778"/>
      <c r="EL100" s="1778"/>
      <c r="EM100" s="1778"/>
      <c r="EN100" s="1778"/>
      <c r="EO100" s="1778"/>
      <c r="EP100" s="1778"/>
      <c r="EQ100" s="1778"/>
      <c r="ER100" s="1778"/>
      <c r="ES100" s="1778"/>
      <c r="ET100" s="1778"/>
      <c r="EU100" s="1778"/>
      <c r="EV100" s="1778"/>
      <c r="EW100" s="1778"/>
      <c r="EX100" s="1778"/>
      <c r="EY100" s="1778"/>
      <c r="EZ100" s="1778"/>
      <c r="FA100" s="1778"/>
      <c r="FB100" s="1778"/>
      <c r="FC100" s="1778"/>
      <c r="FD100" s="1778"/>
      <c r="FE100" s="1778"/>
      <c r="FF100" s="1778"/>
      <c r="FG100" s="1778"/>
      <c r="FH100" s="1778"/>
      <c r="FI100" s="1778"/>
      <c r="FJ100" s="1778"/>
      <c r="FK100" s="1778"/>
      <c r="FL100" s="1778"/>
      <c r="FM100" s="1778"/>
      <c r="FN100" s="1778"/>
      <c r="FO100" s="1778"/>
      <c r="FP100" s="1778"/>
      <c r="FQ100" s="1778"/>
      <c r="FR100" s="1778"/>
      <c r="FS100" s="1778"/>
      <c r="FT100" s="1778"/>
      <c r="FU100" s="1778"/>
      <c r="FV100" s="1778"/>
      <c r="FW100" s="1778"/>
      <c r="FX100" s="1778"/>
      <c r="FY100" s="1778"/>
      <c r="FZ100" s="1778"/>
      <c r="GA100" s="1778"/>
      <c r="XES100" s="1667"/>
      <c r="XET100" s="1667"/>
      <c r="XEU100" s="1667"/>
      <c r="XEV100" s="1667"/>
      <c r="XEW100" s="1667"/>
      <c r="XEX100" s="1667"/>
      <c r="XEY100" s="1667"/>
      <c r="XEZ100" s="1667"/>
      <c r="XFA100" s="1667"/>
      <c r="XFB100" s="1667"/>
      <c r="XFC100" s="1667"/>
      <c r="XFD100" s="1667"/>
    </row>
    <row r="101" s="1662" customFormat="1" ht="36" customHeight="1" spans="1:16384">
      <c r="A101" s="1790">
        <v>45974</v>
      </c>
      <c r="B101" s="1791" t="s">
        <v>1516</v>
      </c>
      <c r="C101" s="1792" t="s">
        <v>91</v>
      </c>
      <c r="D101" s="1793">
        <v>4500185559</v>
      </c>
      <c r="E101" s="1791">
        <v>11919223</v>
      </c>
      <c r="F101" s="1793" t="s">
        <v>1862</v>
      </c>
      <c r="G101" s="1794" t="s">
        <v>1518</v>
      </c>
      <c r="H101" s="1794" t="s">
        <v>1519</v>
      </c>
      <c r="I101" s="1795" t="s">
        <v>1479</v>
      </c>
      <c r="J101" s="1794">
        <v>528</v>
      </c>
      <c r="K101" s="1794">
        <v>0</v>
      </c>
      <c r="L101" s="1794">
        <v>6</v>
      </c>
      <c r="M101" s="1826">
        <f t="shared" si="28"/>
        <v>88</v>
      </c>
      <c r="N101" s="1827">
        <v>46093</v>
      </c>
      <c r="O101" s="1828">
        <v>46090</v>
      </c>
      <c r="P101" s="1829"/>
      <c r="Q101" s="1829"/>
      <c r="R101" s="1829"/>
      <c r="S101" s="1851" t="s">
        <v>392</v>
      </c>
      <c r="T101" s="1852"/>
      <c r="U101" s="1853" t="s">
        <v>1859</v>
      </c>
      <c r="V101" s="1854" t="s">
        <v>1522</v>
      </c>
      <c r="W101" s="1855" t="s">
        <v>1808</v>
      </c>
      <c r="X101" s="1856" t="s">
        <v>1820</v>
      </c>
      <c r="Y101" s="1879">
        <v>0.9545</v>
      </c>
      <c r="Z101" s="1880">
        <f t="shared" si="26"/>
        <v>503.976</v>
      </c>
      <c r="AA101" s="1881"/>
      <c r="AB101" s="1881"/>
      <c r="AC101" s="1882">
        <f t="shared" si="40"/>
        <v>-528</v>
      </c>
      <c r="AD101" s="1881" t="s">
        <v>81</v>
      </c>
      <c r="AE101" s="1883" t="s">
        <v>63</v>
      </c>
      <c r="AF101" s="1883" t="s">
        <v>38</v>
      </c>
      <c r="AG101" s="1856">
        <f t="shared" si="41"/>
        <v>176</v>
      </c>
      <c r="AH101" s="1856">
        <f t="shared" si="42"/>
        <v>176</v>
      </c>
      <c r="AI101" s="1906">
        <f t="shared" si="43"/>
        <v>176</v>
      </c>
      <c r="AJ101" s="1907">
        <f t="shared" si="44"/>
        <v>528</v>
      </c>
      <c r="AK101" s="1908"/>
      <c r="AL101" s="1908">
        <f t="shared" si="46"/>
        <v>528</v>
      </c>
      <c r="AM101" s="1908">
        <f t="shared" si="45"/>
        <v>88</v>
      </c>
      <c r="AN101" s="1908"/>
      <c r="AO101" s="1920"/>
      <c r="AP101" s="1920"/>
      <c r="AQ101" s="1921"/>
      <c r="AR101" s="1922"/>
      <c r="AS101" s="1906"/>
      <c r="AT101" s="1922"/>
      <c r="AU101" s="1923"/>
      <c r="AV101" s="1924"/>
      <c r="AW101" s="1776"/>
      <c r="AX101" s="1776"/>
      <c r="AY101" s="1776"/>
      <c r="AZ101" s="1776"/>
      <c r="BA101" s="1776"/>
      <c r="BB101" s="1776"/>
      <c r="BC101" s="1776"/>
      <c r="BD101" s="1776"/>
      <c r="BE101" s="1776"/>
      <c r="BF101" s="1776"/>
      <c r="BG101" s="1776"/>
      <c r="BH101" s="1776"/>
      <c r="BI101" s="1776"/>
      <c r="BJ101" s="1776"/>
      <c r="BK101" s="1776"/>
      <c r="BL101" s="1776"/>
      <c r="BM101" s="1776"/>
      <c r="BN101" s="1776"/>
      <c r="BO101" s="1776"/>
      <c r="BP101" s="1776"/>
      <c r="BQ101" s="1776"/>
      <c r="BR101" s="1776"/>
      <c r="BS101" s="1776"/>
      <c r="BT101" s="1776"/>
      <c r="BU101" s="1776"/>
      <c r="BV101" s="1776"/>
      <c r="BW101" s="1776"/>
      <c r="BX101" s="1776"/>
      <c r="BY101" s="1776"/>
      <c r="BZ101" s="1776"/>
      <c r="CA101" s="1776"/>
      <c r="CB101" s="1776"/>
      <c r="CC101" s="1776"/>
      <c r="CD101" s="1776"/>
      <c r="CE101" s="1776"/>
      <c r="CF101" s="1776"/>
      <c r="CG101" s="1776"/>
      <c r="CH101" s="1776"/>
      <c r="CI101" s="1776"/>
      <c r="CJ101" s="1776"/>
      <c r="CK101" s="1776"/>
      <c r="CL101" s="1776"/>
      <c r="CM101" s="1776"/>
      <c r="CN101" s="1776"/>
      <c r="CO101" s="1776"/>
      <c r="CP101" s="1776"/>
      <c r="CQ101" s="1776"/>
      <c r="CR101" s="1776"/>
      <c r="CS101" s="1776"/>
      <c r="CT101" s="1776"/>
      <c r="CU101" s="1776"/>
      <c r="CV101" s="1776"/>
      <c r="CW101" s="1776"/>
      <c r="CX101" s="1776"/>
      <c r="CY101" s="1776"/>
      <c r="CZ101" s="1776"/>
      <c r="DA101" s="1776"/>
      <c r="DB101" s="1776"/>
      <c r="DC101" s="1776"/>
      <c r="DD101" s="1776"/>
      <c r="DE101" s="1776"/>
      <c r="DF101" s="1776"/>
      <c r="DG101" s="1776"/>
      <c r="DH101" s="1776"/>
      <c r="DI101" s="1776"/>
      <c r="DJ101" s="1776"/>
      <c r="DK101" s="1776"/>
      <c r="DL101" s="1776"/>
      <c r="DM101" s="1776"/>
      <c r="DN101" s="1776"/>
      <c r="DO101" s="1776"/>
      <c r="DP101" s="1776"/>
      <c r="DQ101" s="1776"/>
      <c r="DR101" s="1776"/>
      <c r="DS101" s="1776"/>
      <c r="DT101" s="1776"/>
      <c r="DU101" s="1776"/>
      <c r="DV101" s="1776"/>
      <c r="DW101" s="1776"/>
      <c r="DX101" s="1778"/>
      <c r="DY101" s="1778"/>
      <c r="DZ101" s="1778"/>
      <c r="EA101" s="1778"/>
      <c r="EB101" s="1778"/>
      <c r="EC101" s="1778"/>
      <c r="ED101" s="1778"/>
      <c r="EE101" s="1778"/>
      <c r="EF101" s="1778"/>
      <c r="EG101" s="1778"/>
      <c r="EH101" s="1778"/>
      <c r="EI101" s="1778"/>
      <c r="EJ101" s="1778"/>
      <c r="EK101" s="1778"/>
      <c r="EL101" s="1778"/>
      <c r="EM101" s="1778"/>
      <c r="EN101" s="1778"/>
      <c r="EO101" s="1778"/>
      <c r="EP101" s="1778"/>
      <c r="EQ101" s="1778"/>
      <c r="ER101" s="1778"/>
      <c r="ES101" s="1778"/>
      <c r="ET101" s="1778"/>
      <c r="EU101" s="1778"/>
      <c r="EV101" s="1778"/>
      <c r="EW101" s="1778"/>
      <c r="EX101" s="1778"/>
      <c r="EY101" s="1778"/>
      <c r="EZ101" s="1778"/>
      <c r="FA101" s="1778"/>
      <c r="FB101" s="1778"/>
      <c r="FC101" s="1778"/>
      <c r="FD101" s="1778"/>
      <c r="FE101" s="1778"/>
      <c r="FF101" s="1778"/>
      <c r="FG101" s="1778"/>
      <c r="FH101" s="1778"/>
      <c r="FI101" s="1778"/>
      <c r="FJ101" s="1778"/>
      <c r="FK101" s="1778"/>
      <c r="FL101" s="1778"/>
      <c r="FM101" s="1778"/>
      <c r="FN101" s="1778"/>
      <c r="FO101" s="1778"/>
      <c r="FP101" s="1778"/>
      <c r="FQ101" s="1778"/>
      <c r="FR101" s="1778"/>
      <c r="FS101" s="1778"/>
      <c r="FT101" s="1778"/>
      <c r="FU101" s="1778"/>
      <c r="FV101" s="1778"/>
      <c r="FW101" s="1778"/>
      <c r="FX101" s="1778"/>
      <c r="FY101" s="1778"/>
      <c r="FZ101" s="1778"/>
      <c r="GA101" s="1778"/>
      <c r="XES101" s="1667"/>
      <c r="XET101" s="1667"/>
      <c r="XEU101" s="1667"/>
      <c r="XEV101" s="1667"/>
      <c r="XEW101" s="1667"/>
      <c r="XEX101" s="1667"/>
      <c r="XEY101" s="1667"/>
      <c r="XEZ101" s="1667"/>
      <c r="XFA101" s="1667"/>
      <c r="XFB101" s="1667"/>
      <c r="XFC101" s="1667"/>
      <c r="XFD101" s="1667"/>
    </row>
    <row r="102" s="1665" customFormat="1" ht="36" customHeight="1" spans="1:16384">
      <c r="A102" s="1790">
        <v>46037</v>
      </c>
      <c r="B102" s="1791" t="s">
        <v>1701</v>
      </c>
      <c r="C102" s="1792" t="s">
        <v>91</v>
      </c>
      <c r="D102" s="1793">
        <v>4500191480</v>
      </c>
      <c r="E102" s="1791" t="s">
        <v>1863</v>
      </c>
      <c r="F102" s="1793" t="s">
        <v>1864</v>
      </c>
      <c r="G102" s="1697" t="s">
        <v>1724</v>
      </c>
      <c r="H102" s="1794" t="s">
        <v>1490</v>
      </c>
      <c r="I102" s="1795" t="s">
        <v>1491</v>
      </c>
      <c r="J102" s="1794">
        <v>342</v>
      </c>
      <c r="K102" s="1794">
        <v>0</v>
      </c>
      <c r="L102" s="1794">
        <v>18</v>
      </c>
      <c r="M102" s="1826">
        <f t="shared" si="28"/>
        <v>19</v>
      </c>
      <c r="N102" s="1827">
        <v>46101</v>
      </c>
      <c r="O102" s="1828">
        <v>46097</v>
      </c>
      <c r="P102" s="1829"/>
      <c r="Q102" s="1829"/>
      <c r="R102" s="1829"/>
      <c r="S102" s="1851" t="s">
        <v>1865</v>
      </c>
      <c r="T102" s="1852"/>
      <c r="U102" s="1853" t="s">
        <v>1866</v>
      </c>
      <c r="V102" s="1854" t="s">
        <v>1867</v>
      </c>
      <c r="W102" s="1855" t="s">
        <v>1868</v>
      </c>
      <c r="X102" s="1856" t="s">
        <v>1592</v>
      </c>
      <c r="Y102" s="1879">
        <v>2.2046</v>
      </c>
      <c r="Z102" s="1880">
        <f t="shared" si="26"/>
        <v>753.9732</v>
      </c>
      <c r="AA102" s="1881"/>
      <c r="AB102" s="1881"/>
      <c r="AC102" s="1882">
        <f t="shared" ref="AC102:AC108" si="47">AB102-J102</f>
        <v>-342</v>
      </c>
      <c r="AD102" s="1881"/>
      <c r="AE102" s="1883" t="s">
        <v>63</v>
      </c>
      <c r="AF102" s="1883" t="s">
        <v>38</v>
      </c>
      <c r="AG102" s="1856">
        <f t="shared" ref="AG102:AG107" si="48">J102</f>
        <v>342</v>
      </c>
      <c r="AH102" s="1856">
        <f t="shared" ref="AH102:AH107" si="49">J102</f>
        <v>342</v>
      </c>
      <c r="AI102" s="1906">
        <f t="shared" ref="AI102:AI107" si="50">J102</f>
        <v>342</v>
      </c>
      <c r="AJ102" s="1909"/>
      <c r="AK102" s="1910"/>
      <c r="AL102" s="1908">
        <f t="shared" si="46"/>
        <v>342</v>
      </c>
      <c r="AM102" s="1910"/>
      <c r="AN102" s="1910"/>
      <c r="AO102" s="1925"/>
      <c r="AP102" s="1925"/>
      <c r="AQ102" s="1926"/>
      <c r="AR102" s="1927"/>
      <c r="AS102" s="1928"/>
      <c r="AT102" s="1922">
        <f t="shared" ref="AT102:AT107" si="51">J102</f>
        <v>342</v>
      </c>
      <c r="AU102" s="1929"/>
      <c r="AV102" s="1930"/>
      <c r="AW102" s="1937"/>
      <c r="AX102" s="1937"/>
      <c r="AY102" s="1937"/>
      <c r="AZ102" s="1937"/>
      <c r="BA102" s="1937"/>
      <c r="BB102" s="1937"/>
      <c r="BC102" s="1937"/>
      <c r="BD102" s="1937"/>
      <c r="BE102" s="1937"/>
      <c r="BF102" s="1937"/>
      <c r="BG102" s="1937"/>
      <c r="BH102" s="1937"/>
      <c r="BI102" s="1937"/>
      <c r="BJ102" s="1937"/>
      <c r="BK102" s="1937"/>
      <c r="BL102" s="1937"/>
      <c r="BM102" s="1937"/>
      <c r="BN102" s="1937"/>
      <c r="BO102" s="1937"/>
      <c r="BP102" s="1937"/>
      <c r="BQ102" s="1937"/>
      <c r="BR102" s="1937"/>
      <c r="BS102" s="1937"/>
      <c r="BT102" s="1937"/>
      <c r="BU102" s="1937"/>
      <c r="BV102" s="1937"/>
      <c r="BW102" s="1937"/>
      <c r="BX102" s="1937"/>
      <c r="BY102" s="1937"/>
      <c r="BZ102" s="1937"/>
      <c r="CA102" s="1937"/>
      <c r="CB102" s="1937"/>
      <c r="CC102" s="1937"/>
      <c r="CD102" s="1937"/>
      <c r="CE102" s="1937"/>
      <c r="CF102" s="1937"/>
      <c r="CG102" s="1937"/>
      <c r="CH102" s="1937"/>
      <c r="CI102" s="1937"/>
      <c r="CJ102" s="1937"/>
      <c r="CK102" s="1937"/>
      <c r="CL102" s="1937"/>
      <c r="CM102" s="1937"/>
      <c r="CN102" s="1937"/>
      <c r="CO102" s="1937"/>
      <c r="CP102" s="1937"/>
      <c r="CQ102" s="1937"/>
      <c r="CR102" s="1937"/>
      <c r="CS102" s="1937"/>
      <c r="CT102" s="1937"/>
      <c r="CU102" s="1937"/>
      <c r="CV102" s="1937"/>
      <c r="CW102" s="1937"/>
      <c r="CX102" s="1937"/>
      <c r="CY102" s="1937"/>
      <c r="CZ102" s="1937"/>
      <c r="DA102" s="1937"/>
      <c r="DB102" s="1937"/>
      <c r="DC102" s="1937"/>
      <c r="DD102" s="1937"/>
      <c r="DE102" s="1937"/>
      <c r="DF102" s="1937"/>
      <c r="DG102" s="1937"/>
      <c r="DH102" s="1937"/>
      <c r="DI102" s="1937"/>
      <c r="DJ102" s="1937"/>
      <c r="DK102" s="1937"/>
      <c r="DL102" s="1937"/>
      <c r="DM102" s="1937"/>
      <c r="DN102" s="1937"/>
      <c r="DO102" s="1937"/>
      <c r="DP102" s="1937"/>
      <c r="DQ102" s="1937"/>
      <c r="DR102" s="1937"/>
      <c r="DS102" s="1937"/>
      <c r="DT102" s="1937"/>
      <c r="DU102" s="1937"/>
      <c r="DV102" s="1937"/>
      <c r="DW102" s="1937"/>
      <c r="DX102" s="1942"/>
      <c r="DY102" s="1942"/>
      <c r="DZ102" s="1942"/>
      <c r="EA102" s="1942"/>
      <c r="EB102" s="1942"/>
      <c r="EC102" s="1942"/>
      <c r="ED102" s="1942"/>
      <c r="EE102" s="1942"/>
      <c r="EF102" s="1942"/>
      <c r="EG102" s="1942"/>
      <c r="EH102" s="1942"/>
      <c r="EI102" s="1942"/>
      <c r="EJ102" s="1942"/>
      <c r="EK102" s="1942"/>
      <c r="EL102" s="1942"/>
      <c r="EM102" s="1942"/>
      <c r="EN102" s="1942"/>
      <c r="EO102" s="1942"/>
      <c r="EP102" s="1942"/>
      <c r="EQ102" s="1942"/>
      <c r="ER102" s="1942"/>
      <c r="ES102" s="1942"/>
      <c r="ET102" s="1942"/>
      <c r="EU102" s="1942"/>
      <c r="EV102" s="1942"/>
      <c r="EW102" s="1942"/>
      <c r="EX102" s="1942"/>
      <c r="EY102" s="1942"/>
      <c r="EZ102" s="1942"/>
      <c r="FA102" s="1942"/>
      <c r="FB102" s="1942"/>
      <c r="FC102" s="1942"/>
      <c r="FD102" s="1942"/>
      <c r="FE102" s="1942"/>
      <c r="FF102" s="1942"/>
      <c r="FG102" s="1942"/>
      <c r="FH102" s="1942"/>
      <c r="FI102" s="1942"/>
      <c r="FJ102" s="1942"/>
      <c r="FK102" s="1942"/>
      <c r="FL102" s="1942"/>
      <c r="FM102" s="1942"/>
      <c r="FN102" s="1942"/>
      <c r="FO102" s="1942"/>
      <c r="FP102" s="1942"/>
      <c r="FQ102" s="1942"/>
      <c r="FR102" s="1942"/>
      <c r="FS102" s="1942"/>
      <c r="FT102" s="1942"/>
      <c r="FU102" s="1942"/>
      <c r="FV102" s="1942"/>
      <c r="FW102" s="1942"/>
      <c r="FX102" s="1942"/>
      <c r="FY102" s="1942"/>
      <c r="FZ102" s="1942"/>
      <c r="GA102" s="1942"/>
      <c r="XES102" s="1945"/>
      <c r="XET102" s="1945"/>
      <c r="XEU102" s="1945"/>
      <c r="XEV102" s="1945"/>
      <c r="XEW102" s="1945"/>
      <c r="XEX102" s="1945"/>
      <c r="XEY102" s="1945"/>
      <c r="XEZ102" s="1945"/>
      <c r="XFA102" s="1945"/>
      <c r="XFB102" s="1945"/>
      <c r="XFC102" s="1945"/>
      <c r="XFD102" s="1945"/>
    </row>
    <row r="103" s="1665" customFormat="1" ht="36" customHeight="1" spans="1:16384">
      <c r="A103" s="1790">
        <v>46037</v>
      </c>
      <c r="B103" s="1791" t="s">
        <v>1701</v>
      </c>
      <c r="C103" s="1792" t="s">
        <v>91</v>
      </c>
      <c r="D103" s="1793">
        <v>4500191499</v>
      </c>
      <c r="E103" s="1791" t="s">
        <v>1869</v>
      </c>
      <c r="F103" s="1793" t="s">
        <v>1870</v>
      </c>
      <c r="G103" s="1697" t="s">
        <v>1724</v>
      </c>
      <c r="H103" s="1795" t="s">
        <v>1490</v>
      </c>
      <c r="I103" s="1795" t="s">
        <v>1491</v>
      </c>
      <c r="J103" s="1794">
        <v>216</v>
      </c>
      <c r="K103" s="1794">
        <v>0</v>
      </c>
      <c r="L103" s="1794">
        <v>18</v>
      </c>
      <c r="M103" s="1826">
        <f t="shared" si="28"/>
        <v>12</v>
      </c>
      <c r="N103" s="1827">
        <v>46101</v>
      </c>
      <c r="O103" s="1828">
        <v>46097</v>
      </c>
      <c r="P103" s="1829"/>
      <c r="Q103" s="1829"/>
      <c r="R103" s="1851"/>
      <c r="S103" s="1851" t="s">
        <v>1865</v>
      </c>
      <c r="T103" s="1853"/>
      <c r="U103" s="1853" t="s">
        <v>1866</v>
      </c>
      <c r="V103" s="1854" t="s">
        <v>1867</v>
      </c>
      <c r="W103" s="1856" t="s">
        <v>1868</v>
      </c>
      <c r="X103" s="1857" t="s">
        <v>1592</v>
      </c>
      <c r="Y103" s="1879">
        <v>2.1862</v>
      </c>
      <c r="Z103" s="1880">
        <f t="shared" si="26"/>
        <v>472.2192</v>
      </c>
      <c r="AA103" s="1881"/>
      <c r="AB103" s="1881"/>
      <c r="AC103" s="1882">
        <f t="shared" si="47"/>
        <v>-216</v>
      </c>
      <c r="AD103" s="1881"/>
      <c r="AE103" s="1883" t="s">
        <v>63</v>
      </c>
      <c r="AF103" s="1883" t="s">
        <v>38</v>
      </c>
      <c r="AG103" s="1856">
        <f t="shared" si="48"/>
        <v>216</v>
      </c>
      <c r="AH103" s="1856">
        <f t="shared" si="49"/>
        <v>216</v>
      </c>
      <c r="AI103" s="1906">
        <f t="shared" si="50"/>
        <v>216</v>
      </c>
      <c r="AJ103" s="1909"/>
      <c r="AK103" s="1910"/>
      <c r="AL103" s="1908">
        <f t="shared" si="46"/>
        <v>216</v>
      </c>
      <c r="AM103" s="1910"/>
      <c r="AN103" s="1910"/>
      <c r="AO103" s="1925"/>
      <c r="AP103" s="1925"/>
      <c r="AQ103" s="1926"/>
      <c r="AR103" s="1927"/>
      <c r="AS103" s="1928"/>
      <c r="AT103" s="1922">
        <f t="shared" si="51"/>
        <v>216</v>
      </c>
      <c r="AU103" s="1929"/>
      <c r="AV103" s="1930"/>
      <c r="AW103" s="1937"/>
      <c r="AX103" s="1937"/>
      <c r="AY103" s="1937"/>
      <c r="AZ103" s="1937"/>
      <c r="BA103" s="1937"/>
      <c r="BB103" s="1937"/>
      <c r="BC103" s="1937"/>
      <c r="BD103" s="1937"/>
      <c r="BE103" s="1937"/>
      <c r="BF103" s="1937"/>
      <c r="BG103" s="1937"/>
      <c r="BH103" s="1937"/>
      <c r="BI103" s="1937"/>
      <c r="BJ103" s="1937"/>
      <c r="BK103" s="1937"/>
      <c r="BL103" s="1937"/>
      <c r="BM103" s="1937"/>
      <c r="BN103" s="1937"/>
      <c r="BO103" s="1937"/>
      <c r="BP103" s="1937"/>
      <c r="BQ103" s="1937"/>
      <c r="BR103" s="1937"/>
      <c r="BS103" s="1937"/>
      <c r="BT103" s="1937"/>
      <c r="BU103" s="1937"/>
      <c r="BV103" s="1937"/>
      <c r="BW103" s="1937"/>
      <c r="BX103" s="1937"/>
      <c r="BY103" s="1937"/>
      <c r="BZ103" s="1937"/>
      <c r="CA103" s="1937"/>
      <c r="CB103" s="1937"/>
      <c r="CC103" s="1937"/>
      <c r="CD103" s="1937"/>
      <c r="CE103" s="1937"/>
      <c r="CF103" s="1937"/>
      <c r="CG103" s="1937"/>
      <c r="CH103" s="1937"/>
      <c r="CI103" s="1937"/>
      <c r="CJ103" s="1937"/>
      <c r="CK103" s="1937"/>
      <c r="CL103" s="1937"/>
      <c r="CM103" s="1937"/>
      <c r="CN103" s="1937"/>
      <c r="CO103" s="1937"/>
      <c r="CP103" s="1937"/>
      <c r="CQ103" s="1937"/>
      <c r="CR103" s="1937"/>
      <c r="CS103" s="1937"/>
      <c r="CT103" s="1937"/>
      <c r="CU103" s="1937"/>
      <c r="CV103" s="1937"/>
      <c r="CW103" s="1937"/>
      <c r="CX103" s="1937"/>
      <c r="CY103" s="1937"/>
      <c r="CZ103" s="1937"/>
      <c r="DA103" s="1937"/>
      <c r="DB103" s="1937"/>
      <c r="DC103" s="1937"/>
      <c r="DD103" s="1937"/>
      <c r="DE103" s="1937"/>
      <c r="DF103" s="1937"/>
      <c r="DG103" s="1937"/>
      <c r="DH103" s="1937"/>
      <c r="DI103" s="1937"/>
      <c r="DJ103" s="1937"/>
      <c r="DK103" s="1937"/>
      <c r="DL103" s="1937"/>
      <c r="DM103" s="1937"/>
      <c r="DN103" s="1937"/>
      <c r="DO103" s="1937"/>
      <c r="DP103" s="1937"/>
      <c r="DQ103" s="1937"/>
      <c r="DR103" s="1937"/>
      <c r="DS103" s="1937"/>
      <c r="DT103" s="1937"/>
      <c r="DU103" s="1937"/>
      <c r="DV103" s="1937"/>
      <c r="DW103" s="1942"/>
      <c r="DX103" s="1942"/>
      <c r="DY103" s="1942"/>
      <c r="DZ103" s="1942"/>
      <c r="EA103" s="1942"/>
      <c r="EB103" s="1942"/>
      <c r="EC103" s="1942"/>
      <c r="ED103" s="1942"/>
      <c r="EE103" s="1942"/>
      <c r="EF103" s="1942"/>
      <c r="EG103" s="1942"/>
      <c r="EH103" s="1942"/>
      <c r="EI103" s="1942"/>
      <c r="EJ103" s="1942"/>
      <c r="EK103" s="1942"/>
      <c r="EL103" s="1942"/>
      <c r="EM103" s="1942"/>
      <c r="EN103" s="1942"/>
      <c r="EO103" s="1942"/>
      <c r="EP103" s="1942"/>
      <c r="EQ103" s="1942"/>
      <c r="ER103" s="1942"/>
      <c r="ES103" s="1942"/>
      <c r="ET103" s="1942"/>
      <c r="EU103" s="1942"/>
      <c r="EV103" s="1942"/>
      <c r="EW103" s="1942"/>
      <c r="EX103" s="1942"/>
      <c r="EY103" s="1942"/>
      <c r="EZ103" s="1942"/>
      <c r="FA103" s="1942"/>
      <c r="FB103" s="1942"/>
      <c r="FC103" s="1942"/>
      <c r="FD103" s="1942"/>
      <c r="FE103" s="1942"/>
      <c r="FF103" s="1942"/>
      <c r="FG103" s="1942"/>
      <c r="FH103" s="1942"/>
      <c r="FI103" s="1942"/>
      <c r="FJ103" s="1942"/>
      <c r="FK103" s="1942"/>
      <c r="FL103" s="1942"/>
      <c r="FM103" s="1942"/>
      <c r="FN103" s="1942"/>
      <c r="FO103" s="1942"/>
      <c r="FP103" s="1942"/>
      <c r="FQ103" s="1942"/>
      <c r="FR103" s="1942"/>
      <c r="FS103" s="1942"/>
      <c r="FT103" s="1942"/>
      <c r="FU103" s="1942"/>
      <c r="FV103" s="1942"/>
      <c r="FW103" s="1942"/>
      <c r="FX103" s="1942"/>
      <c r="FY103" s="1942"/>
      <c r="FZ103" s="1942"/>
      <c r="XER103" s="1945"/>
      <c r="XES103" s="1945"/>
      <c r="XET103" s="1945"/>
      <c r="XEU103" s="1945"/>
      <c r="XEV103" s="1945"/>
      <c r="XEW103" s="1945"/>
      <c r="XEX103" s="1945"/>
      <c r="XEY103" s="1945"/>
      <c r="XEZ103" s="1945"/>
      <c r="XFA103" s="1945"/>
      <c r="XFB103" s="1945"/>
      <c r="XFC103" s="1945"/>
      <c r="XFD103" s="1946"/>
    </row>
    <row r="104" s="1665" customFormat="1" ht="36" customHeight="1" spans="1:16384">
      <c r="A104" s="1790">
        <v>46037</v>
      </c>
      <c r="B104" s="1791" t="s">
        <v>1701</v>
      </c>
      <c r="C104" s="1792" t="s">
        <v>91</v>
      </c>
      <c r="D104" s="1793">
        <v>4500191560</v>
      </c>
      <c r="E104" s="1791" t="s">
        <v>1871</v>
      </c>
      <c r="F104" s="1793" t="s">
        <v>1872</v>
      </c>
      <c r="G104" s="1697" t="s">
        <v>1724</v>
      </c>
      <c r="H104" s="1795" t="s">
        <v>1490</v>
      </c>
      <c r="I104" s="1795" t="s">
        <v>1491</v>
      </c>
      <c r="J104" s="1794">
        <v>360</v>
      </c>
      <c r="K104" s="1794">
        <v>0</v>
      </c>
      <c r="L104" s="1794">
        <v>18</v>
      </c>
      <c r="M104" s="1826">
        <f t="shared" si="28"/>
        <v>20</v>
      </c>
      <c r="N104" s="1827">
        <v>46101</v>
      </c>
      <c r="O104" s="1828">
        <v>46097</v>
      </c>
      <c r="P104" s="1829"/>
      <c r="Q104" s="1829"/>
      <c r="R104" s="1851"/>
      <c r="S104" s="1851" t="s">
        <v>1865</v>
      </c>
      <c r="T104" s="1853"/>
      <c r="U104" s="1853" t="s">
        <v>1866</v>
      </c>
      <c r="V104" s="1854" t="s">
        <v>1867</v>
      </c>
      <c r="W104" s="1856" t="s">
        <v>1868</v>
      </c>
      <c r="X104" s="1857" t="s">
        <v>1592</v>
      </c>
      <c r="Y104" s="1879">
        <v>2.1862</v>
      </c>
      <c r="Z104" s="1880">
        <f t="shared" si="26"/>
        <v>787.032</v>
      </c>
      <c r="AA104" s="1881"/>
      <c r="AB104" s="1881"/>
      <c r="AC104" s="1882">
        <f t="shared" si="47"/>
        <v>-360</v>
      </c>
      <c r="AD104" s="1881"/>
      <c r="AE104" s="1883" t="s">
        <v>63</v>
      </c>
      <c r="AF104" s="1883" t="s">
        <v>38</v>
      </c>
      <c r="AG104" s="1856">
        <f t="shared" si="48"/>
        <v>360</v>
      </c>
      <c r="AH104" s="1856">
        <f t="shared" si="49"/>
        <v>360</v>
      </c>
      <c r="AI104" s="1906">
        <f t="shared" si="50"/>
        <v>360</v>
      </c>
      <c r="AJ104" s="1909"/>
      <c r="AK104" s="1910"/>
      <c r="AL104" s="1908">
        <f t="shared" si="46"/>
        <v>360</v>
      </c>
      <c r="AM104" s="1910"/>
      <c r="AN104" s="1910"/>
      <c r="AO104" s="1925"/>
      <c r="AP104" s="1925"/>
      <c r="AQ104" s="1926"/>
      <c r="AR104" s="1927"/>
      <c r="AS104" s="1928"/>
      <c r="AT104" s="1922">
        <f t="shared" si="51"/>
        <v>360</v>
      </c>
      <c r="AU104" s="1929"/>
      <c r="AV104" s="1930"/>
      <c r="AW104" s="1937"/>
      <c r="AX104" s="1937"/>
      <c r="AY104" s="1937"/>
      <c r="AZ104" s="1937"/>
      <c r="BA104" s="1937"/>
      <c r="BB104" s="1937"/>
      <c r="BC104" s="1937"/>
      <c r="BD104" s="1937"/>
      <c r="BE104" s="1937"/>
      <c r="BF104" s="1937"/>
      <c r="BG104" s="1937"/>
      <c r="BH104" s="1937"/>
      <c r="BI104" s="1937"/>
      <c r="BJ104" s="1937"/>
      <c r="BK104" s="1937"/>
      <c r="BL104" s="1937"/>
      <c r="BM104" s="1937"/>
      <c r="BN104" s="1937"/>
      <c r="BO104" s="1937"/>
      <c r="BP104" s="1937"/>
      <c r="BQ104" s="1937"/>
      <c r="BR104" s="1937"/>
      <c r="BS104" s="1937"/>
      <c r="BT104" s="1937"/>
      <c r="BU104" s="1937"/>
      <c r="BV104" s="1937"/>
      <c r="BW104" s="1937"/>
      <c r="BX104" s="1937"/>
      <c r="BY104" s="1937"/>
      <c r="BZ104" s="1937"/>
      <c r="CA104" s="1937"/>
      <c r="CB104" s="1937"/>
      <c r="CC104" s="1937"/>
      <c r="CD104" s="1937"/>
      <c r="CE104" s="1937"/>
      <c r="CF104" s="1937"/>
      <c r="CG104" s="1937"/>
      <c r="CH104" s="1937"/>
      <c r="CI104" s="1937"/>
      <c r="CJ104" s="1937"/>
      <c r="CK104" s="1937"/>
      <c r="CL104" s="1937"/>
      <c r="CM104" s="1937"/>
      <c r="CN104" s="1937"/>
      <c r="CO104" s="1937"/>
      <c r="CP104" s="1937"/>
      <c r="CQ104" s="1937"/>
      <c r="CR104" s="1937"/>
      <c r="CS104" s="1937"/>
      <c r="CT104" s="1937"/>
      <c r="CU104" s="1937"/>
      <c r="CV104" s="1937"/>
      <c r="CW104" s="1937"/>
      <c r="CX104" s="1937"/>
      <c r="CY104" s="1937"/>
      <c r="CZ104" s="1937"/>
      <c r="DA104" s="1937"/>
      <c r="DB104" s="1937"/>
      <c r="DC104" s="1937"/>
      <c r="DD104" s="1937"/>
      <c r="DE104" s="1937"/>
      <c r="DF104" s="1937"/>
      <c r="DG104" s="1937"/>
      <c r="DH104" s="1937"/>
      <c r="DI104" s="1937"/>
      <c r="DJ104" s="1937"/>
      <c r="DK104" s="1937"/>
      <c r="DL104" s="1937"/>
      <c r="DM104" s="1937"/>
      <c r="DN104" s="1937"/>
      <c r="DO104" s="1937"/>
      <c r="DP104" s="1937"/>
      <c r="DQ104" s="1937"/>
      <c r="DR104" s="1937"/>
      <c r="DS104" s="1937"/>
      <c r="DT104" s="1937"/>
      <c r="DU104" s="1937"/>
      <c r="DV104" s="1937"/>
      <c r="DW104" s="1942"/>
      <c r="DX104" s="1942"/>
      <c r="DY104" s="1942"/>
      <c r="DZ104" s="1942"/>
      <c r="EA104" s="1942"/>
      <c r="EB104" s="1942"/>
      <c r="EC104" s="1942"/>
      <c r="ED104" s="1942"/>
      <c r="EE104" s="1942"/>
      <c r="EF104" s="1942"/>
      <c r="EG104" s="1942"/>
      <c r="EH104" s="1942"/>
      <c r="EI104" s="1942"/>
      <c r="EJ104" s="1942"/>
      <c r="EK104" s="1942"/>
      <c r="EL104" s="1942"/>
      <c r="EM104" s="1942"/>
      <c r="EN104" s="1942"/>
      <c r="EO104" s="1942"/>
      <c r="EP104" s="1942"/>
      <c r="EQ104" s="1942"/>
      <c r="ER104" s="1942"/>
      <c r="ES104" s="1942"/>
      <c r="ET104" s="1942"/>
      <c r="EU104" s="1942"/>
      <c r="EV104" s="1942"/>
      <c r="EW104" s="1942"/>
      <c r="EX104" s="1942"/>
      <c r="EY104" s="1942"/>
      <c r="EZ104" s="1942"/>
      <c r="FA104" s="1942"/>
      <c r="FB104" s="1942"/>
      <c r="FC104" s="1942"/>
      <c r="FD104" s="1942"/>
      <c r="FE104" s="1942"/>
      <c r="FF104" s="1942"/>
      <c r="FG104" s="1942"/>
      <c r="FH104" s="1942"/>
      <c r="FI104" s="1942"/>
      <c r="FJ104" s="1942"/>
      <c r="FK104" s="1942"/>
      <c r="FL104" s="1942"/>
      <c r="FM104" s="1942"/>
      <c r="FN104" s="1942"/>
      <c r="FO104" s="1942"/>
      <c r="FP104" s="1942"/>
      <c r="FQ104" s="1942"/>
      <c r="FR104" s="1942"/>
      <c r="FS104" s="1942"/>
      <c r="FT104" s="1942"/>
      <c r="FU104" s="1942"/>
      <c r="FV104" s="1942"/>
      <c r="FW104" s="1942"/>
      <c r="FX104" s="1942"/>
      <c r="FY104" s="1942"/>
      <c r="FZ104" s="1942"/>
      <c r="XER104" s="1945"/>
      <c r="XES104" s="1945"/>
      <c r="XET104" s="1945"/>
      <c r="XEU104" s="1945"/>
      <c r="XEV104" s="1945"/>
      <c r="XEW104" s="1945"/>
      <c r="XEX104" s="1945"/>
      <c r="XEY104" s="1945"/>
      <c r="XEZ104" s="1945"/>
      <c r="XFA104" s="1945"/>
      <c r="XFB104" s="1945"/>
      <c r="XFC104" s="1945"/>
      <c r="XFD104" s="1946"/>
    </row>
    <row r="105" s="1665" customFormat="1" ht="36" customHeight="1" spans="1:16384">
      <c r="A105" s="1790">
        <v>46037</v>
      </c>
      <c r="B105" s="1791" t="s">
        <v>1701</v>
      </c>
      <c r="C105" s="1792" t="s">
        <v>91</v>
      </c>
      <c r="D105" s="1793">
        <v>4500191547</v>
      </c>
      <c r="E105" s="1791" t="s">
        <v>1873</v>
      </c>
      <c r="F105" s="1793" t="s">
        <v>1874</v>
      </c>
      <c r="G105" s="1697" t="s">
        <v>1724</v>
      </c>
      <c r="H105" s="1795" t="s">
        <v>1490</v>
      </c>
      <c r="I105" s="1795" t="s">
        <v>1491</v>
      </c>
      <c r="J105" s="1794">
        <v>108</v>
      </c>
      <c r="K105" s="1794">
        <v>0</v>
      </c>
      <c r="L105" s="1794">
        <v>18</v>
      </c>
      <c r="M105" s="1826">
        <f t="shared" si="28"/>
        <v>6</v>
      </c>
      <c r="N105" s="1827">
        <v>46101</v>
      </c>
      <c r="O105" s="1828">
        <v>46097</v>
      </c>
      <c r="P105" s="1829"/>
      <c r="Q105" s="1829"/>
      <c r="R105" s="1851"/>
      <c r="S105" s="1851" t="s">
        <v>1865</v>
      </c>
      <c r="T105" s="1853"/>
      <c r="U105" s="1853" t="s">
        <v>1866</v>
      </c>
      <c r="V105" s="1854" t="s">
        <v>1867</v>
      </c>
      <c r="W105" s="1856" t="s">
        <v>1875</v>
      </c>
      <c r="X105" s="1857" t="s">
        <v>1592</v>
      </c>
      <c r="Y105" s="1879">
        <v>2.1862</v>
      </c>
      <c r="Z105" s="1880">
        <f t="shared" si="26"/>
        <v>236.1096</v>
      </c>
      <c r="AA105" s="1881"/>
      <c r="AB105" s="1881"/>
      <c r="AC105" s="1882">
        <f t="shared" si="47"/>
        <v>-108</v>
      </c>
      <c r="AD105" s="1881"/>
      <c r="AE105" s="1883" t="s">
        <v>63</v>
      </c>
      <c r="AF105" s="1883" t="s">
        <v>38</v>
      </c>
      <c r="AG105" s="1856">
        <f t="shared" si="48"/>
        <v>108</v>
      </c>
      <c r="AH105" s="1856">
        <f t="shared" si="49"/>
        <v>108</v>
      </c>
      <c r="AI105" s="1906">
        <f t="shared" si="50"/>
        <v>108</v>
      </c>
      <c r="AJ105" s="1909"/>
      <c r="AK105" s="1910"/>
      <c r="AL105" s="1908">
        <f t="shared" si="46"/>
        <v>108</v>
      </c>
      <c r="AM105" s="1910"/>
      <c r="AN105" s="1910"/>
      <c r="AO105" s="1925"/>
      <c r="AP105" s="1925"/>
      <c r="AQ105" s="1926"/>
      <c r="AR105" s="1927"/>
      <c r="AS105" s="1928"/>
      <c r="AT105" s="1922">
        <f t="shared" si="51"/>
        <v>108</v>
      </c>
      <c r="AU105" s="1929"/>
      <c r="AV105" s="1930"/>
      <c r="AW105" s="1937"/>
      <c r="AX105" s="1937"/>
      <c r="AY105" s="1937"/>
      <c r="AZ105" s="1937"/>
      <c r="BA105" s="1937"/>
      <c r="BB105" s="1937"/>
      <c r="BC105" s="1937"/>
      <c r="BD105" s="1937"/>
      <c r="BE105" s="1937"/>
      <c r="BF105" s="1937"/>
      <c r="BG105" s="1937"/>
      <c r="BH105" s="1937"/>
      <c r="BI105" s="1937"/>
      <c r="BJ105" s="1937"/>
      <c r="BK105" s="1937"/>
      <c r="BL105" s="1937"/>
      <c r="BM105" s="1937"/>
      <c r="BN105" s="1937"/>
      <c r="BO105" s="1937"/>
      <c r="BP105" s="1937"/>
      <c r="BQ105" s="1937"/>
      <c r="BR105" s="1937"/>
      <c r="BS105" s="1937"/>
      <c r="BT105" s="1937"/>
      <c r="BU105" s="1937"/>
      <c r="BV105" s="1937"/>
      <c r="BW105" s="1937"/>
      <c r="BX105" s="1937"/>
      <c r="BY105" s="1937"/>
      <c r="BZ105" s="1937"/>
      <c r="CA105" s="1937"/>
      <c r="CB105" s="1937"/>
      <c r="CC105" s="1937"/>
      <c r="CD105" s="1937"/>
      <c r="CE105" s="1937"/>
      <c r="CF105" s="1937"/>
      <c r="CG105" s="1937"/>
      <c r="CH105" s="1937"/>
      <c r="CI105" s="1937"/>
      <c r="CJ105" s="1937"/>
      <c r="CK105" s="1937"/>
      <c r="CL105" s="1937"/>
      <c r="CM105" s="1937"/>
      <c r="CN105" s="1937"/>
      <c r="CO105" s="1937"/>
      <c r="CP105" s="1937"/>
      <c r="CQ105" s="1937"/>
      <c r="CR105" s="1937"/>
      <c r="CS105" s="1937"/>
      <c r="CT105" s="1937"/>
      <c r="CU105" s="1937"/>
      <c r="CV105" s="1937"/>
      <c r="CW105" s="1937"/>
      <c r="CX105" s="1937"/>
      <c r="CY105" s="1937"/>
      <c r="CZ105" s="1937"/>
      <c r="DA105" s="1937"/>
      <c r="DB105" s="1937"/>
      <c r="DC105" s="1937"/>
      <c r="DD105" s="1937"/>
      <c r="DE105" s="1937"/>
      <c r="DF105" s="1937"/>
      <c r="DG105" s="1937"/>
      <c r="DH105" s="1937"/>
      <c r="DI105" s="1937"/>
      <c r="DJ105" s="1937"/>
      <c r="DK105" s="1937"/>
      <c r="DL105" s="1937"/>
      <c r="DM105" s="1937"/>
      <c r="DN105" s="1937"/>
      <c r="DO105" s="1937"/>
      <c r="DP105" s="1937"/>
      <c r="DQ105" s="1937"/>
      <c r="DR105" s="1937"/>
      <c r="DS105" s="1937"/>
      <c r="DT105" s="1937"/>
      <c r="DU105" s="1937"/>
      <c r="DV105" s="1937"/>
      <c r="DW105" s="1942"/>
      <c r="DX105" s="1942"/>
      <c r="DY105" s="1942"/>
      <c r="DZ105" s="1942"/>
      <c r="EA105" s="1942"/>
      <c r="EB105" s="1942"/>
      <c r="EC105" s="1942"/>
      <c r="ED105" s="1942"/>
      <c r="EE105" s="1942"/>
      <c r="EF105" s="1942"/>
      <c r="EG105" s="1942"/>
      <c r="EH105" s="1942"/>
      <c r="EI105" s="1942"/>
      <c r="EJ105" s="1942"/>
      <c r="EK105" s="1942"/>
      <c r="EL105" s="1942"/>
      <c r="EM105" s="1942"/>
      <c r="EN105" s="1942"/>
      <c r="EO105" s="1942"/>
      <c r="EP105" s="1942"/>
      <c r="EQ105" s="1942"/>
      <c r="ER105" s="1942"/>
      <c r="ES105" s="1942"/>
      <c r="ET105" s="1942"/>
      <c r="EU105" s="1942"/>
      <c r="EV105" s="1942"/>
      <c r="EW105" s="1942"/>
      <c r="EX105" s="1942"/>
      <c r="EY105" s="1942"/>
      <c r="EZ105" s="1942"/>
      <c r="FA105" s="1942"/>
      <c r="FB105" s="1942"/>
      <c r="FC105" s="1942"/>
      <c r="FD105" s="1942"/>
      <c r="FE105" s="1942"/>
      <c r="FF105" s="1942"/>
      <c r="FG105" s="1942"/>
      <c r="FH105" s="1942"/>
      <c r="FI105" s="1942"/>
      <c r="FJ105" s="1942"/>
      <c r="FK105" s="1942"/>
      <c r="FL105" s="1942"/>
      <c r="FM105" s="1942"/>
      <c r="FN105" s="1942"/>
      <c r="FO105" s="1942"/>
      <c r="FP105" s="1942"/>
      <c r="FQ105" s="1942"/>
      <c r="FR105" s="1942"/>
      <c r="FS105" s="1942"/>
      <c r="FT105" s="1942"/>
      <c r="FU105" s="1942"/>
      <c r="FV105" s="1942"/>
      <c r="FW105" s="1942"/>
      <c r="FX105" s="1942"/>
      <c r="FY105" s="1942"/>
      <c r="FZ105" s="1942"/>
      <c r="XER105" s="1945"/>
      <c r="XES105" s="1945"/>
      <c r="XET105" s="1945"/>
      <c r="XEU105" s="1945"/>
      <c r="XEV105" s="1945"/>
      <c r="XEW105" s="1945"/>
      <c r="XEX105" s="1945"/>
      <c r="XEY105" s="1945"/>
      <c r="XEZ105" s="1945"/>
      <c r="XFA105" s="1945"/>
      <c r="XFB105" s="1945"/>
      <c r="XFC105" s="1945"/>
      <c r="XFD105" s="1947"/>
    </row>
    <row r="106" s="1665" customFormat="1" ht="36" customHeight="1" spans="1:16384">
      <c r="A106" s="1790">
        <v>46037</v>
      </c>
      <c r="B106" s="1791" t="s">
        <v>1701</v>
      </c>
      <c r="C106" s="1792" t="s">
        <v>91</v>
      </c>
      <c r="D106" s="1793">
        <v>4500191531</v>
      </c>
      <c r="E106" s="1791" t="s">
        <v>1876</v>
      </c>
      <c r="F106" s="1793" t="s">
        <v>1877</v>
      </c>
      <c r="G106" s="1697" t="s">
        <v>1724</v>
      </c>
      <c r="H106" s="1795" t="s">
        <v>1490</v>
      </c>
      <c r="I106" s="1795" t="s">
        <v>1491</v>
      </c>
      <c r="J106" s="1794">
        <v>504</v>
      </c>
      <c r="K106" s="1794">
        <v>0</v>
      </c>
      <c r="L106" s="1794">
        <v>18</v>
      </c>
      <c r="M106" s="1826">
        <f t="shared" si="28"/>
        <v>28</v>
      </c>
      <c r="N106" s="1827">
        <v>46101</v>
      </c>
      <c r="O106" s="1828">
        <v>46097</v>
      </c>
      <c r="P106" s="1829"/>
      <c r="Q106" s="1829"/>
      <c r="R106" s="1851"/>
      <c r="S106" s="1851" t="s">
        <v>1865</v>
      </c>
      <c r="T106" s="1853"/>
      <c r="U106" s="1853" t="s">
        <v>1866</v>
      </c>
      <c r="V106" s="1854" t="s">
        <v>1867</v>
      </c>
      <c r="W106" s="1856" t="s">
        <v>1868</v>
      </c>
      <c r="X106" s="1857" t="s">
        <v>1592</v>
      </c>
      <c r="Y106" s="1879">
        <v>2.2046</v>
      </c>
      <c r="Z106" s="1880">
        <f t="shared" si="26"/>
        <v>1111.1184</v>
      </c>
      <c r="AA106" s="1881"/>
      <c r="AB106" s="1881"/>
      <c r="AC106" s="1882">
        <f t="shared" si="47"/>
        <v>-504</v>
      </c>
      <c r="AD106" s="1881"/>
      <c r="AE106" s="1883" t="s">
        <v>63</v>
      </c>
      <c r="AF106" s="1883" t="s">
        <v>38</v>
      </c>
      <c r="AG106" s="1856">
        <f t="shared" si="48"/>
        <v>504</v>
      </c>
      <c r="AH106" s="1856">
        <f t="shared" si="49"/>
        <v>504</v>
      </c>
      <c r="AI106" s="1906">
        <f t="shared" si="50"/>
        <v>504</v>
      </c>
      <c r="AJ106" s="1909"/>
      <c r="AK106" s="1910"/>
      <c r="AL106" s="1908">
        <f t="shared" si="46"/>
        <v>504</v>
      </c>
      <c r="AM106" s="1910"/>
      <c r="AN106" s="1910"/>
      <c r="AO106" s="1925"/>
      <c r="AP106" s="1925"/>
      <c r="AQ106" s="1926"/>
      <c r="AR106" s="1927"/>
      <c r="AS106" s="1928"/>
      <c r="AT106" s="1922">
        <f t="shared" si="51"/>
        <v>504</v>
      </c>
      <c r="AU106" s="1929"/>
      <c r="AV106" s="1930"/>
      <c r="AW106" s="1937"/>
      <c r="AX106" s="1937"/>
      <c r="AY106" s="1937"/>
      <c r="AZ106" s="1937"/>
      <c r="BA106" s="1937"/>
      <c r="BB106" s="1937"/>
      <c r="BC106" s="1937"/>
      <c r="BD106" s="1937"/>
      <c r="BE106" s="1937"/>
      <c r="BF106" s="1937"/>
      <c r="BG106" s="1937"/>
      <c r="BH106" s="1937"/>
      <c r="BI106" s="1937"/>
      <c r="BJ106" s="1937"/>
      <c r="BK106" s="1937"/>
      <c r="BL106" s="1937"/>
      <c r="BM106" s="1937"/>
      <c r="BN106" s="1937"/>
      <c r="BO106" s="1937"/>
      <c r="BP106" s="1937"/>
      <c r="BQ106" s="1937"/>
      <c r="BR106" s="1937"/>
      <c r="BS106" s="1937"/>
      <c r="BT106" s="1937"/>
      <c r="BU106" s="1937"/>
      <c r="BV106" s="1937"/>
      <c r="BW106" s="1937"/>
      <c r="BX106" s="1937"/>
      <c r="BY106" s="1937"/>
      <c r="BZ106" s="1937"/>
      <c r="CA106" s="1937"/>
      <c r="CB106" s="1937"/>
      <c r="CC106" s="1937"/>
      <c r="CD106" s="1937"/>
      <c r="CE106" s="1937"/>
      <c r="CF106" s="1937"/>
      <c r="CG106" s="1937"/>
      <c r="CH106" s="1937"/>
      <c r="CI106" s="1937"/>
      <c r="CJ106" s="1937"/>
      <c r="CK106" s="1937"/>
      <c r="CL106" s="1937"/>
      <c r="CM106" s="1937"/>
      <c r="CN106" s="1937"/>
      <c r="CO106" s="1937"/>
      <c r="CP106" s="1937"/>
      <c r="CQ106" s="1937"/>
      <c r="CR106" s="1937"/>
      <c r="CS106" s="1937"/>
      <c r="CT106" s="1937"/>
      <c r="CU106" s="1937"/>
      <c r="CV106" s="1937"/>
      <c r="CW106" s="1937"/>
      <c r="CX106" s="1937"/>
      <c r="CY106" s="1937"/>
      <c r="CZ106" s="1937"/>
      <c r="DA106" s="1937"/>
      <c r="DB106" s="1937"/>
      <c r="DC106" s="1937"/>
      <c r="DD106" s="1937"/>
      <c r="DE106" s="1937"/>
      <c r="DF106" s="1937"/>
      <c r="DG106" s="1937"/>
      <c r="DH106" s="1937"/>
      <c r="DI106" s="1937"/>
      <c r="DJ106" s="1937"/>
      <c r="DK106" s="1937"/>
      <c r="DL106" s="1937"/>
      <c r="DM106" s="1937"/>
      <c r="DN106" s="1937"/>
      <c r="DO106" s="1937"/>
      <c r="DP106" s="1937"/>
      <c r="DQ106" s="1937"/>
      <c r="DR106" s="1937"/>
      <c r="DS106" s="1937"/>
      <c r="DT106" s="1937"/>
      <c r="DU106" s="1937"/>
      <c r="DV106" s="1937"/>
      <c r="DW106" s="1942"/>
      <c r="DX106" s="1942"/>
      <c r="DY106" s="1942"/>
      <c r="DZ106" s="1942"/>
      <c r="EA106" s="1942"/>
      <c r="EB106" s="1942"/>
      <c r="EC106" s="1942"/>
      <c r="ED106" s="1942"/>
      <c r="EE106" s="1942"/>
      <c r="EF106" s="1942"/>
      <c r="EG106" s="1942"/>
      <c r="EH106" s="1942"/>
      <c r="EI106" s="1942"/>
      <c r="EJ106" s="1942"/>
      <c r="EK106" s="1942"/>
      <c r="EL106" s="1942"/>
      <c r="EM106" s="1942"/>
      <c r="EN106" s="1942"/>
      <c r="EO106" s="1942"/>
      <c r="EP106" s="1942"/>
      <c r="EQ106" s="1942"/>
      <c r="ER106" s="1942"/>
      <c r="ES106" s="1942"/>
      <c r="ET106" s="1942"/>
      <c r="EU106" s="1942"/>
      <c r="EV106" s="1942"/>
      <c r="EW106" s="1942"/>
      <c r="EX106" s="1942"/>
      <c r="EY106" s="1942"/>
      <c r="EZ106" s="1942"/>
      <c r="FA106" s="1942"/>
      <c r="FB106" s="1942"/>
      <c r="FC106" s="1942"/>
      <c r="FD106" s="1942"/>
      <c r="FE106" s="1942"/>
      <c r="FF106" s="1942"/>
      <c r="FG106" s="1942"/>
      <c r="FH106" s="1942"/>
      <c r="FI106" s="1942"/>
      <c r="FJ106" s="1942"/>
      <c r="FK106" s="1942"/>
      <c r="FL106" s="1942"/>
      <c r="FM106" s="1942"/>
      <c r="FN106" s="1942"/>
      <c r="FO106" s="1942"/>
      <c r="FP106" s="1942"/>
      <c r="FQ106" s="1942"/>
      <c r="FR106" s="1942"/>
      <c r="FS106" s="1942"/>
      <c r="FT106" s="1942"/>
      <c r="FU106" s="1942"/>
      <c r="FV106" s="1942"/>
      <c r="FW106" s="1942"/>
      <c r="FX106" s="1942"/>
      <c r="FY106" s="1942"/>
      <c r="FZ106" s="1942"/>
      <c r="XER106" s="1945"/>
      <c r="XES106" s="1945"/>
      <c r="XET106" s="1945"/>
      <c r="XEU106" s="1945"/>
      <c r="XEV106" s="1945"/>
      <c r="XEW106" s="1945"/>
      <c r="XEX106" s="1945"/>
      <c r="XEY106" s="1945"/>
      <c r="XEZ106" s="1945"/>
      <c r="XFA106" s="1945"/>
      <c r="XFB106" s="1945"/>
      <c r="XFC106" s="1945"/>
      <c r="XFD106" s="1947"/>
    </row>
    <row r="107" s="1665" customFormat="1" ht="36" customHeight="1" spans="1:16384">
      <c r="A107" s="1790">
        <v>46037</v>
      </c>
      <c r="B107" s="1791" t="s">
        <v>1701</v>
      </c>
      <c r="C107" s="1792" t="s">
        <v>91</v>
      </c>
      <c r="D107" s="1793">
        <v>4500191511</v>
      </c>
      <c r="E107" s="1791" t="s">
        <v>1878</v>
      </c>
      <c r="F107" s="1793" t="s">
        <v>1879</v>
      </c>
      <c r="G107" s="1697" t="s">
        <v>1724</v>
      </c>
      <c r="H107" s="1795" t="s">
        <v>1490</v>
      </c>
      <c r="I107" s="1795" t="s">
        <v>1491</v>
      </c>
      <c r="J107" s="1794">
        <v>270</v>
      </c>
      <c r="K107" s="1794">
        <v>0</v>
      </c>
      <c r="L107" s="1794">
        <v>18</v>
      </c>
      <c r="M107" s="1826">
        <f t="shared" si="28"/>
        <v>15</v>
      </c>
      <c r="N107" s="1827">
        <v>46101</v>
      </c>
      <c r="O107" s="1828">
        <v>46097</v>
      </c>
      <c r="P107" s="1829"/>
      <c r="Q107" s="1829"/>
      <c r="R107" s="1851"/>
      <c r="S107" s="1851" t="s">
        <v>1865</v>
      </c>
      <c r="T107" s="1853"/>
      <c r="U107" s="1853" t="s">
        <v>1866</v>
      </c>
      <c r="V107" s="1854" t="s">
        <v>1867</v>
      </c>
      <c r="W107" s="1856" t="s">
        <v>1868</v>
      </c>
      <c r="X107" s="1857" t="s">
        <v>1592</v>
      </c>
      <c r="Y107" s="1879">
        <v>2.1862</v>
      </c>
      <c r="Z107" s="1880">
        <f t="shared" si="26"/>
        <v>590.274</v>
      </c>
      <c r="AA107" s="1881"/>
      <c r="AB107" s="1881"/>
      <c r="AC107" s="1882">
        <f t="shared" si="47"/>
        <v>-270</v>
      </c>
      <c r="AD107" s="1881"/>
      <c r="AE107" s="1883" t="s">
        <v>63</v>
      </c>
      <c r="AF107" s="1883" t="s">
        <v>38</v>
      </c>
      <c r="AG107" s="1856">
        <f t="shared" si="48"/>
        <v>270</v>
      </c>
      <c r="AH107" s="1856">
        <f t="shared" si="49"/>
        <v>270</v>
      </c>
      <c r="AI107" s="1906">
        <f t="shared" si="50"/>
        <v>270</v>
      </c>
      <c r="AJ107" s="1909"/>
      <c r="AK107" s="1910"/>
      <c r="AL107" s="1908">
        <f t="shared" si="46"/>
        <v>270</v>
      </c>
      <c r="AM107" s="1910"/>
      <c r="AN107" s="1910"/>
      <c r="AO107" s="1925"/>
      <c r="AP107" s="1925"/>
      <c r="AQ107" s="1926"/>
      <c r="AR107" s="1927"/>
      <c r="AS107" s="1928"/>
      <c r="AT107" s="1922">
        <f t="shared" si="51"/>
        <v>270</v>
      </c>
      <c r="AU107" s="1929"/>
      <c r="AV107" s="1930"/>
      <c r="AW107" s="1937"/>
      <c r="AX107" s="1937"/>
      <c r="AY107" s="1937"/>
      <c r="AZ107" s="1937"/>
      <c r="BA107" s="1937"/>
      <c r="BB107" s="1937"/>
      <c r="BC107" s="1937"/>
      <c r="BD107" s="1937"/>
      <c r="BE107" s="1937"/>
      <c r="BF107" s="1937"/>
      <c r="BG107" s="1937"/>
      <c r="BH107" s="1937"/>
      <c r="BI107" s="1937"/>
      <c r="BJ107" s="1937"/>
      <c r="BK107" s="1937"/>
      <c r="BL107" s="1937"/>
      <c r="BM107" s="1937"/>
      <c r="BN107" s="1937"/>
      <c r="BO107" s="1937"/>
      <c r="BP107" s="1937"/>
      <c r="BQ107" s="1937"/>
      <c r="BR107" s="1937"/>
      <c r="BS107" s="1937"/>
      <c r="BT107" s="1937"/>
      <c r="BU107" s="1937"/>
      <c r="BV107" s="1937"/>
      <c r="BW107" s="1937"/>
      <c r="BX107" s="1937"/>
      <c r="BY107" s="1937"/>
      <c r="BZ107" s="1937"/>
      <c r="CA107" s="1937"/>
      <c r="CB107" s="1937"/>
      <c r="CC107" s="1937"/>
      <c r="CD107" s="1937"/>
      <c r="CE107" s="1937"/>
      <c r="CF107" s="1937"/>
      <c r="CG107" s="1937"/>
      <c r="CH107" s="1937"/>
      <c r="CI107" s="1937"/>
      <c r="CJ107" s="1937"/>
      <c r="CK107" s="1937"/>
      <c r="CL107" s="1937"/>
      <c r="CM107" s="1937"/>
      <c r="CN107" s="1937"/>
      <c r="CO107" s="1937"/>
      <c r="CP107" s="1937"/>
      <c r="CQ107" s="1937"/>
      <c r="CR107" s="1937"/>
      <c r="CS107" s="1937"/>
      <c r="CT107" s="1937"/>
      <c r="CU107" s="1937"/>
      <c r="CV107" s="1937"/>
      <c r="CW107" s="1937"/>
      <c r="CX107" s="1937"/>
      <c r="CY107" s="1937"/>
      <c r="CZ107" s="1937"/>
      <c r="DA107" s="1937"/>
      <c r="DB107" s="1937"/>
      <c r="DC107" s="1937"/>
      <c r="DD107" s="1937"/>
      <c r="DE107" s="1937"/>
      <c r="DF107" s="1937"/>
      <c r="DG107" s="1937"/>
      <c r="DH107" s="1937"/>
      <c r="DI107" s="1937"/>
      <c r="DJ107" s="1937"/>
      <c r="DK107" s="1937"/>
      <c r="DL107" s="1937"/>
      <c r="DM107" s="1937"/>
      <c r="DN107" s="1937"/>
      <c r="DO107" s="1937"/>
      <c r="DP107" s="1937"/>
      <c r="DQ107" s="1937"/>
      <c r="DR107" s="1937"/>
      <c r="DS107" s="1937"/>
      <c r="DT107" s="1937"/>
      <c r="DU107" s="1937"/>
      <c r="DV107" s="1937"/>
      <c r="DW107" s="1942"/>
      <c r="DX107" s="1942"/>
      <c r="DY107" s="1942"/>
      <c r="DZ107" s="1942"/>
      <c r="EA107" s="1942"/>
      <c r="EB107" s="1942"/>
      <c r="EC107" s="1942"/>
      <c r="ED107" s="1942"/>
      <c r="EE107" s="1942"/>
      <c r="EF107" s="1942"/>
      <c r="EG107" s="1942"/>
      <c r="EH107" s="1942"/>
      <c r="EI107" s="1942"/>
      <c r="EJ107" s="1942"/>
      <c r="EK107" s="1942"/>
      <c r="EL107" s="1942"/>
      <c r="EM107" s="1942"/>
      <c r="EN107" s="1942"/>
      <c r="EO107" s="1942"/>
      <c r="EP107" s="1942"/>
      <c r="EQ107" s="1942"/>
      <c r="ER107" s="1942"/>
      <c r="ES107" s="1942"/>
      <c r="ET107" s="1942"/>
      <c r="EU107" s="1942"/>
      <c r="EV107" s="1942"/>
      <c r="EW107" s="1942"/>
      <c r="EX107" s="1942"/>
      <c r="EY107" s="1942"/>
      <c r="EZ107" s="1942"/>
      <c r="FA107" s="1942"/>
      <c r="FB107" s="1942"/>
      <c r="FC107" s="1942"/>
      <c r="FD107" s="1942"/>
      <c r="FE107" s="1942"/>
      <c r="FF107" s="1942"/>
      <c r="FG107" s="1942"/>
      <c r="FH107" s="1942"/>
      <c r="FI107" s="1942"/>
      <c r="FJ107" s="1942"/>
      <c r="FK107" s="1942"/>
      <c r="FL107" s="1942"/>
      <c r="FM107" s="1942"/>
      <c r="FN107" s="1942"/>
      <c r="FO107" s="1942"/>
      <c r="FP107" s="1942"/>
      <c r="FQ107" s="1942"/>
      <c r="FR107" s="1942"/>
      <c r="FS107" s="1942"/>
      <c r="FT107" s="1942"/>
      <c r="FU107" s="1942"/>
      <c r="FV107" s="1942"/>
      <c r="FW107" s="1942"/>
      <c r="FX107" s="1942"/>
      <c r="FY107" s="1942"/>
      <c r="FZ107" s="1942"/>
      <c r="XER107" s="1945"/>
      <c r="XES107" s="1945"/>
      <c r="XET107" s="1945"/>
      <c r="XEU107" s="1945"/>
      <c r="XEV107" s="1945"/>
      <c r="XEW107" s="1945"/>
      <c r="XEX107" s="1945"/>
      <c r="XEY107" s="1945"/>
      <c r="XEZ107" s="1945"/>
      <c r="XFA107" s="1945"/>
      <c r="XFB107" s="1945"/>
      <c r="XFC107" s="1945"/>
      <c r="XFD107" s="1947"/>
    </row>
    <row r="108" s="1665" customFormat="1" ht="36" customHeight="1" spans="1:16384">
      <c r="A108" s="1790">
        <v>46041</v>
      </c>
      <c r="B108" s="1791" t="s">
        <v>1880</v>
      </c>
      <c r="C108" s="1792" t="s">
        <v>398</v>
      </c>
      <c r="D108" s="1793">
        <v>4500191753</v>
      </c>
      <c r="E108" s="1791"/>
      <c r="F108" s="1793" t="s">
        <v>1881</v>
      </c>
      <c r="G108" s="1697" t="s">
        <v>1645</v>
      </c>
      <c r="H108" s="1794" t="s">
        <v>1568</v>
      </c>
      <c r="I108" s="1795" t="s">
        <v>1479</v>
      </c>
      <c r="J108" s="1794">
        <v>480</v>
      </c>
      <c r="K108" s="1794">
        <v>0</v>
      </c>
      <c r="L108" s="1794">
        <v>24</v>
      </c>
      <c r="M108" s="1826">
        <f t="shared" si="28"/>
        <v>20</v>
      </c>
      <c r="N108" s="1830">
        <v>46111</v>
      </c>
      <c r="O108" s="1831">
        <v>46107</v>
      </c>
      <c r="P108" s="1832" t="s">
        <v>1882</v>
      </c>
      <c r="Q108" s="1829"/>
      <c r="R108" s="1829"/>
      <c r="S108" s="1851" t="s">
        <v>1427</v>
      </c>
      <c r="T108" s="1852"/>
      <c r="U108" s="1853" t="s">
        <v>58</v>
      </c>
      <c r="V108" s="1854" t="s">
        <v>1883</v>
      </c>
      <c r="W108" s="1855" t="s">
        <v>1884</v>
      </c>
      <c r="X108" s="1856" t="s">
        <v>971</v>
      </c>
      <c r="Y108" s="1879">
        <v>1.5793</v>
      </c>
      <c r="Z108" s="1880">
        <f t="shared" si="26"/>
        <v>758.064</v>
      </c>
      <c r="AA108" s="1881"/>
      <c r="AB108" s="1881"/>
      <c r="AC108" s="1882">
        <f t="shared" si="47"/>
        <v>-480</v>
      </c>
      <c r="AD108" s="1881"/>
      <c r="AE108" s="1883" t="s">
        <v>63</v>
      </c>
      <c r="AF108" s="1883" t="s">
        <v>38</v>
      </c>
      <c r="AG108" s="1856">
        <f>J108/3</f>
        <v>160</v>
      </c>
      <c r="AH108" s="1856">
        <f>J108/3</f>
        <v>160</v>
      </c>
      <c r="AI108" s="1906">
        <f>J108/3</f>
        <v>160</v>
      </c>
      <c r="AJ108" s="1907"/>
      <c r="AK108" s="1908">
        <f>J108</f>
        <v>480</v>
      </c>
      <c r="AL108" s="1908">
        <f t="shared" si="46"/>
        <v>480</v>
      </c>
      <c r="AM108" s="1908">
        <f>J108/6</f>
        <v>80</v>
      </c>
      <c r="AN108" s="1908"/>
      <c r="AO108" s="1920"/>
      <c r="AP108" s="1920"/>
      <c r="AQ108" s="1921"/>
      <c r="AR108" s="1922"/>
      <c r="AS108" s="1906"/>
      <c r="AT108" s="1922"/>
      <c r="AU108" s="1923"/>
      <c r="AV108" s="1924"/>
      <c r="AW108" s="1937"/>
      <c r="AX108" s="1937"/>
      <c r="AY108" s="1937"/>
      <c r="AZ108" s="1937"/>
      <c r="BA108" s="1937"/>
      <c r="BB108" s="1937"/>
      <c r="BC108" s="1937"/>
      <c r="BD108" s="1937"/>
      <c r="BE108" s="1937"/>
      <c r="BF108" s="1937"/>
      <c r="BG108" s="1937"/>
      <c r="BH108" s="1937"/>
      <c r="BI108" s="1937"/>
      <c r="BJ108" s="1937"/>
      <c r="BK108" s="1937"/>
      <c r="BL108" s="1937"/>
      <c r="BM108" s="1937"/>
      <c r="BN108" s="1937"/>
      <c r="BO108" s="1937"/>
      <c r="BP108" s="1937"/>
      <c r="BQ108" s="1937"/>
      <c r="BR108" s="1937"/>
      <c r="BS108" s="1937"/>
      <c r="BT108" s="1937"/>
      <c r="BU108" s="1937"/>
      <c r="BV108" s="1937"/>
      <c r="BW108" s="1937"/>
      <c r="BX108" s="1937"/>
      <c r="BY108" s="1937"/>
      <c r="BZ108" s="1937"/>
      <c r="CA108" s="1937"/>
      <c r="CB108" s="1937"/>
      <c r="CC108" s="1937"/>
      <c r="CD108" s="1937"/>
      <c r="CE108" s="1937"/>
      <c r="CF108" s="1937"/>
      <c r="CG108" s="1937"/>
      <c r="CH108" s="1937"/>
      <c r="CI108" s="1937"/>
      <c r="CJ108" s="1937"/>
      <c r="CK108" s="1937"/>
      <c r="CL108" s="1937"/>
      <c r="CM108" s="1937"/>
      <c r="CN108" s="1937"/>
      <c r="CO108" s="1937"/>
      <c r="CP108" s="1937"/>
      <c r="CQ108" s="1937"/>
      <c r="CR108" s="1937"/>
      <c r="CS108" s="1937"/>
      <c r="CT108" s="1937"/>
      <c r="CU108" s="1937"/>
      <c r="CV108" s="1937"/>
      <c r="CW108" s="1937"/>
      <c r="CX108" s="1937"/>
      <c r="CY108" s="1937"/>
      <c r="CZ108" s="1937"/>
      <c r="DA108" s="1937"/>
      <c r="DB108" s="1937"/>
      <c r="DC108" s="1937"/>
      <c r="DD108" s="1937"/>
      <c r="DE108" s="1937"/>
      <c r="DF108" s="1937"/>
      <c r="DG108" s="1937"/>
      <c r="DH108" s="1937"/>
      <c r="DI108" s="1937"/>
      <c r="DJ108" s="1937"/>
      <c r="DK108" s="1937"/>
      <c r="DL108" s="1937"/>
      <c r="DM108" s="1937"/>
      <c r="DN108" s="1937"/>
      <c r="DO108" s="1937"/>
      <c r="DP108" s="1937"/>
      <c r="DQ108" s="1937"/>
      <c r="DR108" s="1937"/>
      <c r="DS108" s="1937"/>
      <c r="DT108" s="1937"/>
      <c r="DU108" s="1937"/>
      <c r="DV108" s="1937"/>
      <c r="DW108" s="1937"/>
      <c r="DX108" s="1942"/>
      <c r="DY108" s="1942"/>
      <c r="DZ108" s="1942"/>
      <c r="EA108" s="1942"/>
      <c r="EB108" s="1942"/>
      <c r="EC108" s="1942"/>
      <c r="ED108" s="1942"/>
      <c r="EE108" s="1942"/>
      <c r="EF108" s="1942"/>
      <c r="EG108" s="1942"/>
      <c r="EH108" s="1942"/>
      <c r="EI108" s="1942"/>
      <c r="EJ108" s="1942"/>
      <c r="EK108" s="1942"/>
      <c r="EL108" s="1942"/>
      <c r="EM108" s="1942"/>
      <c r="EN108" s="1942"/>
      <c r="EO108" s="1942"/>
      <c r="EP108" s="1942"/>
      <c r="EQ108" s="1942"/>
      <c r="ER108" s="1942"/>
      <c r="ES108" s="1942"/>
      <c r="ET108" s="1942"/>
      <c r="EU108" s="1942"/>
      <c r="EV108" s="1942"/>
      <c r="EW108" s="1942"/>
      <c r="EX108" s="1942"/>
      <c r="EY108" s="1942"/>
      <c r="EZ108" s="1942"/>
      <c r="FA108" s="1942"/>
      <c r="FB108" s="1942"/>
      <c r="FC108" s="1942"/>
      <c r="FD108" s="1942"/>
      <c r="FE108" s="1942"/>
      <c r="FF108" s="1942"/>
      <c r="FG108" s="1942"/>
      <c r="FH108" s="1942"/>
      <c r="FI108" s="1942"/>
      <c r="FJ108" s="1942"/>
      <c r="FK108" s="1942"/>
      <c r="FL108" s="1942"/>
      <c r="FM108" s="1942"/>
      <c r="FN108" s="1942"/>
      <c r="FO108" s="1942"/>
      <c r="FP108" s="1942"/>
      <c r="FQ108" s="1942"/>
      <c r="FR108" s="1942"/>
      <c r="FS108" s="1942"/>
      <c r="FT108" s="1942"/>
      <c r="FU108" s="1942"/>
      <c r="FV108" s="1942"/>
      <c r="FW108" s="1942"/>
      <c r="FX108" s="1942"/>
      <c r="FY108" s="1942"/>
      <c r="FZ108" s="1942"/>
      <c r="GA108" s="1942"/>
      <c r="XES108" s="1945"/>
      <c r="XET108" s="1945"/>
      <c r="XEU108" s="1945"/>
      <c r="XEV108" s="1945"/>
      <c r="XEW108" s="1945"/>
      <c r="XEX108" s="1945"/>
      <c r="XEY108" s="1945"/>
      <c r="XEZ108" s="1945"/>
      <c r="XFA108" s="1945"/>
      <c r="XFB108" s="1945"/>
      <c r="XFC108" s="1945"/>
      <c r="XFD108" s="1945"/>
    </row>
    <row r="109" s="1662" customFormat="1" ht="36" customHeight="1" spans="1:16384">
      <c r="A109" s="1796"/>
      <c r="B109" s="1795"/>
      <c r="C109" s="1792"/>
      <c r="D109" s="1794"/>
      <c r="E109" s="1795"/>
      <c r="F109" s="1794"/>
      <c r="G109" s="1794"/>
      <c r="H109" s="1794"/>
      <c r="I109" s="1795"/>
      <c r="J109" s="1794"/>
      <c r="K109" s="1794"/>
      <c r="L109" s="1794"/>
      <c r="M109" s="1833"/>
      <c r="N109" s="1827"/>
      <c r="O109" s="1834"/>
      <c r="P109" s="1829"/>
      <c r="Q109" s="1829"/>
      <c r="R109" s="1829"/>
      <c r="S109" s="1820"/>
      <c r="T109" s="1858"/>
      <c r="U109" s="1858"/>
      <c r="V109" s="1829"/>
      <c r="W109" s="1859"/>
      <c r="X109" s="1856"/>
      <c r="Y109" s="1884"/>
      <c r="Z109" s="1885"/>
      <c r="AA109" s="1881"/>
      <c r="AB109" s="1881"/>
      <c r="AC109" s="1881"/>
      <c r="AD109" s="1881"/>
      <c r="AE109" s="1883"/>
      <c r="AF109" s="1883"/>
      <c r="AG109" s="1856"/>
      <c r="AH109" s="1856"/>
      <c r="AI109" s="1906"/>
      <c r="AJ109" s="1907"/>
      <c r="AK109" s="1908"/>
      <c r="AL109" s="1908"/>
      <c r="AM109" s="1908"/>
      <c r="AN109" s="1908"/>
      <c r="AO109" s="1920"/>
      <c r="AP109" s="1920"/>
      <c r="AQ109" s="1921"/>
      <c r="AR109" s="1922"/>
      <c r="AS109" s="1906"/>
      <c r="AT109" s="1922"/>
      <c r="AU109" s="1923"/>
      <c r="AV109" s="1924"/>
      <c r="AW109" s="1776"/>
      <c r="AX109" s="1776"/>
      <c r="AY109" s="1776"/>
      <c r="AZ109" s="1776"/>
      <c r="BA109" s="1776"/>
      <c r="BB109" s="1776"/>
      <c r="BC109" s="1776"/>
      <c r="BD109" s="1776"/>
      <c r="BE109" s="1776"/>
      <c r="BF109" s="1776"/>
      <c r="BG109" s="1776"/>
      <c r="BH109" s="1776"/>
      <c r="BI109" s="1776"/>
      <c r="BJ109" s="1776"/>
      <c r="BK109" s="1776"/>
      <c r="BL109" s="1776"/>
      <c r="BM109" s="1776"/>
      <c r="BN109" s="1776"/>
      <c r="BO109" s="1776"/>
      <c r="BP109" s="1776"/>
      <c r="BQ109" s="1776"/>
      <c r="BR109" s="1776"/>
      <c r="BS109" s="1776"/>
      <c r="BT109" s="1776"/>
      <c r="BU109" s="1776"/>
      <c r="BV109" s="1776"/>
      <c r="BW109" s="1776"/>
      <c r="BX109" s="1776"/>
      <c r="BY109" s="1776"/>
      <c r="BZ109" s="1776"/>
      <c r="CA109" s="1776"/>
      <c r="CB109" s="1776"/>
      <c r="CC109" s="1776"/>
      <c r="CD109" s="1776"/>
      <c r="CE109" s="1776"/>
      <c r="CF109" s="1776"/>
      <c r="CG109" s="1776"/>
      <c r="CH109" s="1776"/>
      <c r="CI109" s="1776"/>
      <c r="CJ109" s="1776"/>
      <c r="CK109" s="1776"/>
      <c r="CL109" s="1776"/>
      <c r="CM109" s="1776"/>
      <c r="CN109" s="1776"/>
      <c r="CO109" s="1776"/>
      <c r="CP109" s="1776"/>
      <c r="CQ109" s="1776"/>
      <c r="CR109" s="1776"/>
      <c r="CS109" s="1776"/>
      <c r="CT109" s="1776"/>
      <c r="CU109" s="1776"/>
      <c r="CV109" s="1776"/>
      <c r="CW109" s="1776"/>
      <c r="CX109" s="1776"/>
      <c r="CY109" s="1776"/>
      <c r="CZ109" s="1776"/>
      <c r="DA109" s="1776"/>
      <c r="DB109" s="1776"/>
      <c r="DC109" s="1776"/>
      <c r="DD109" s="1776"/>
      <c r="DE109" s="1776"/>
      <c r="DF109" s="1776"/>
      <c r="DG109" s="1776"/>
      <c r="DH109" s="1776"/>
      <c r="DI109" s="1776"/>
      <c r="DJ109" s="1776"/>
      <c r="DK109" s="1776"/>
      <c r="DL109" s="1776"/>
      <c r="DM109" s="1776"/>
      <c r="DN109" s="1776"/>
      <c r="DO109" s="1776"/>
      <c r="DP109" s="1776"/>
      <c r="DQ109" s="1776"/>
      <c r="DR109" s="1776"/>
      <c r="DS109" s="1776"/>
      <c r="DT109" s="1776"/>
      <c r="DU109" s="1776"/>
      <c r="DV109" s="1776"/>
      <c r="DW109" s="1776"/>
      <c r="DX109" s="1778"/>
      <c r="DY109" s="1778"/>
      <c r="DZ109" s="1778"/>
      <c r="EA109" s="1778"/>
      <c r="EB109" s="1778"/>
      <c r="EC109" s="1778"/>
      <c r="ED109" s="1778"/>
      <c r="EE109" s="1778"/>
      <c r="EF109" s="1778"/>
      <c r="EG109" s="1778"/>
      <c r="EH109" s="1778"/>
      <c r="EI109" s="1778"/>
      <c r="EJ109" s="1778"/>
      <c r="EK109" s="1778"/>
      <c r="EL109" s="1778"/>
      <c r="EM109" s="1778"/>
      <c r="EN109" s="1778"/>
      <c r="EO109" s="1778"/>
      <c r="EP109" s="1778"/>
      <c r="EQ109" s="1778"/>
      <c r="ER109" s="1778"/>
      <c r="ES109" s="1778"/>
      <c r="ET109" s="1778"/>
      <c r="EU109" s="1778"/>
      <c r="EV109" s="1778"/>
      <c r="EW109" s="1778"/>
      <c r="EX109" s="1778"/>
      <c r="EY109" s="1778"/>
      <c r="EZ109" s="1778"/>
      <c r="FA109" s="1778"/>
      <c r="FB109" s="1778"/>
      <c r="FC109" s="1778"/>
      <c r="FD109" s="1778"/>
      <c r="FE109" s="1778"/>
      <c r="FF109" s="1778"/>
      <c r="FG109" s="1778"/>
      <c r="FH109" s="1778"/>
      <c r="FI109" s="1778"/>
      <c r="FJ109" s="1778"/>
      <c r="FK109" s="1778"/>
      <c r="FL109" s="1778"/>
      <c r="FM109" s="1778"/>
      <c r="FN109" s="1778"/>
      <c r="FO109" s="1778"/>
      <c r="FP109" s="1778"/>
      <c r="FQ109" s="1778"/>
      <c r="FR109" s="1778"/>
      <c r="FS109" s="1778"/>
      <c r="FT109" s="1778"/>
      <c r="FU109" s="1778"/>
      <c r="FV109" s="1778"/>
      <c r="FW109" s="1778"/>
      <c r="FX109" s="1778"/>
      <c r="FY109" s="1778"/>
      <c r="FZ109" s="1778"/>
      <c r="GA109" s="1778"/>
      <c r="XES109" s="1667"/>
      <c r="XET109" s="1667"/>
      <c r="XEU109" s="1667"/>
      <c r="XEV109" s="1667"/>
      <c r="XEW109" s="1667"/>
      <c r="XEX109" s="1667"/>
      <c r="XEY109" s="1667"/>
      <c r="XEZ109" s="1667"/>
      <c r="XFA109" s="1667"/>
      <c r="XFB109" s="1667"/>
      <c r="XFC109" s="1667"/>
      <c r="XFD109" s="1667"/>
    </row>
    <row r="110" s="1662" customFormat="1" ht="36" customHeight="1" spans="1:16384">
      <c r="A110" s="1796"/>
      <c r="B110" s="1795"/>
      <c r="C110" s="1792"/>
      <c r="D110" s="1794"/>
      <c r="E110" s="1795"/>
      <c r="F110" s="1794"/>
      <c r="G110" s="1794"/>
      <c r="H110" s="1794"/>
      <c r="I110" s="1795"/>
      <c r="J110" s="1794"/>
      <c r="K110" s="1794"/>
      <c r="L110" s="1794"/>
      <c r="M110" s="1833"/>
      <c r="N110" s="1827"/>
      <c r="O110" s="1834"/>
      <c r="P110" s="1829"/>
      <c r="Q110" s="1829"/>
      <c r="R110" s="1829"/>
      <c r="S110" s="1820"/>
      <c r="T110" s="1858"/>
      <c r="U110" s="1858"/>
      <c r="V110" s="1829"/>
      <c r="W110" s="1860"/>
      <c r="X110" s="1856"/>
      <c r="Y110" s="1884"/>
      <c r="Z110" s="1885"/>
      <c r="AA110" s="1881"/>
      <c r="AB110" s="1881"/>
      <c r="AC110" s="1881"/>
      <c r="AD110" s="1881"/>
      <c r="AE110" s="1883"/>
      <c r="AF110" s="1883"/>
      <c r="AG110" s="1856"/>
      <c r="AH110" s="1856"/>
      <c r="AI110" s="1906"/>
      <c r="AJ110" s="1907"/>
      <c r="AK110" s="1908"/>
      <c r="AL110" s="1908"/>
      <c r="AM110" s="1908"/>
      <c r="AN110" s="1908"/>
      <c r="AO110" s="1920"/>
      <c r="AP110" s="1920"/>
      <c r="AQ110" s="1921"/>
      <c r="AR110" s="1922"/>
      <c r="AS110" s="1906"/>
      <c r="AT110" s="1922"/>
      <c r="AU110" s="1923"/>
      <c r="AV110" s="1924"/>
      <c r="AW110" s="1776"/>
      <c r="AX110" s="1776"/>
      <c r="AY110" s="1776"/>
      <c r="AZ110" s="1776"/>
      <c r="BA110" s="1776"/>
      <c r="BB110" s="1776"/>
      <c r="BC110" s="1776"/>
      <c r="BD110" s="1776"/>
      <c r="BE110" s="1776"/>
      <c r="BF110" s="1776"/>
      <c r="BG110" s="1776"/>
      <c r="BH110" s="1776"/>
      <c r="BI110" s="1776"/>
      <c r="BJ110" s="1776"/>
      <c r="BK110" s="1776"/>
      <c r="BL110" s="1776"/>
      <c r="BM110" s="1776"/>
      <c r="BN110" s="1776"/>
      <c r="BO110" s="1776"/>
      <c r="BP110" s="1776"/>
      <c r="BQ110" s="1776"/>
      <c r="BR110" s="1776"/>
      <c r="BS110" s="1776"/>
      <c r="BT110" s="1776"/>
      <c r="BU110" s="1776"/>
      <c r="BV110" s="1776"/>
      <c r="BW110" s="1776"/>
      <c r="BX110" s="1776"/>
      <c r="BY110" s="1776"/>
      <c r="BZ110" s="1776"/>
      <c r="CA110" s="1776"/>
      <c r="CB110" s="1776"/>
      <c r="CC110" s="1776"/>
      <c r="CD110" s="1776"/>
      <c r="CE110" s="1776"/>
      <c r="CF110" s="1776"/>
      <c r="CG110" s="1776"/>
      <c r="CH110" s="1776"/>
      <c r="CI110" s="1776"/>
      <c r="CJ110" s="1776"/>
      <c r="CK110" s="1776"/>
      <c r="CL110" s="1776"/>
      <c r="CM110" s="1776"/>
      <c r="CN110" s="1776"/>
      <c r="CO110" s="1776"/>
      <c r="CP110" s="1776"/>
      <c r="CQ110" s="1776"/>
      <c r="CR110" s="1776"/>
      <c r="CS110" s="1776"/>
      <c r="CT110" s="1776"/>
      <c r="CU110" s="1776"/>
      <c r="CV110" s="1776"/>
      <c r="CW110" s="1776"/>
      <c r="CX110" s="1776"/>
      <c r="CY110" s="1776"/>
      <c r="CZ110" s="1776"/>
      <c r="DA110" s="1776"/>
      <c r="DB110" s="1776"/>
      <c r="DC110" s="1776"/>
      <c r="DD110" s="1776"/>
      <c r="DE110" s="1776"/>
      <c r="DF110" s="1776"/>
      <c r="DG110" s="1776"/>
      <c r="DH110" s="1776"/>
      <c r="DI110" s="1776"/>
      <c r="DJ110" s="1776"/>
      <c r="DK110" s="1776"/>
      <c r="DL110" s="1776"/>
      <c r="DM110" s="1776"/>
      <c r="DN110" s="1776"/>
      <c r="DO110" s="1776"/>
      <c r="DP110" s="1776"/>
      <c r="DQ110" s="1776"/>
      <c r="DR110" s="1776"/>
      <c r="DS110" s="1776"/>
      <c r="DT110" s="1776"/>
      <c r="DU110" s="1776"/>
      <c r="DV110" s="1776"/>
      <c r="DW110" s="1776"/>
      <c r="DX110" s="1778"/>
      <c r="DY110" s="1778"/>
      <c r="DZ110" s="1778"/>
      <c r="EA110" s="1778"/>
      <c r="EB110" s="1778"/>
      <c r="EC110" s="1778"/>
      <c r="ED110" s="1778"/>
      <c r="EE110" s="1778"/>
      <c r="EF110" s="1778"/>
      <c r="EG110" s="1778"/>
      <c r="EH110" s="1778"/>
      <c r="EI110" s="1778"/>
      <c r="EJ110" s="1778"/>
      <c r="EK110" s="1778"/>
      <c r="EL110" s="1778"/>
      <c r="EM110" s="1778"/>
      <c r="EN110" s="1778"/>
      <c r="EO110" s="1778"/>
      <c r="EP110" s="1778"/>
      <c r="EQ110" s="1778"/>
      <c r="ER110" s="1778"/>
      <c r="ES110" s="1778"/>
      <c r="ET110" s="1778"/>
      <c r="EU110" s="1778"/>
      <c r="EV110" s="1778"/>
      <c r="EW110" s="1778"/>
      <c r="EX110" s="1778"/>
      <c r="EY110" s="1778"/>
      <c r="EZ110" s="1778"/>
      <c r="FA110" s="1778"/>
      <c r="FB110" s="1778"/>
      <c r="FC110" s="1778"/>
      <c r="FD110" s="1778"/>
      <c r="FE110" s="1778"/>
      <c r="FF110" s="1778"/>
      <c r="FG110" s="1778"/>
      <c r="FH110" s="1778"/>
      <c r="FI110" s="1778"/>
      <c r="FJ110" s="1778"/>
      <c r="FK110" s="1778"/>
      <c r="FL110" s="1778"/>
      <c r="FM110" s="1778"/>
      <c r="FN110" s="1778"/>
      <c r="FO110" s="1778"/>
      <c r="FP110" s="1778"/>
      <c r="FQ110" s="1778"/>
      <c r="FR110" s="1778"/>
      <c r="FS110" s="1778"/>
      <c r="FT110" s="1778"/>
      <c r="FU110" s="1778"/>
      <c r="FV110" s="1778"/>
      <c r="FW110" s="1778"/>
      <c r="FX110" s="1778"/>
      <c r="FY110" s="1778"/>
      <c r="FZ110" s="1778"/>
      <c r="GA110" s="1778"/>
      <c r="XES110" s="1667"/>
      <c r="XET110" s="1667"/>
      <c r="XEU110" s="1667"/>
      <c r="XEV110" s="1667"/>
      <c r="XEW110" s="1667"/>
      <c r="XEX110" s="1667"/>
      <c r="XEY110" s="1667"/>
      <c r="XEZ110" s="1667"/>
      <c r="XFA110" s="1667"/>
      <c r="XFB110" s="1667"/>
      <c r="XFC110" s="1667"/>
      <c r="XFD110" s="1667"/>
    </row>
    <row r="111" s="1662" customFormat="1" ht="36" customHeight="1" spans="1:16384">
      <c r="A111" s="1796"/>
      <c r="B111" s="1797"/>
      <c r="C111" s="1795"/>
      <c r="D111" s="1798"/>
      <c r="E111" s="1795"/>
      <c r="F111" s="1794"/>
      <c r="G111" s="1794"/>
      <c r="H111" s="1794"/>
      <c r="I111" s="1795"/>
      <c r="J111" s="1794"/>
      <c r="K111" s="1794"/>
      <c r="L111" s="1794"/>
      <c r="M111" s="1833"/>
      <c r="N111" s="1827"/>
      <c r="O111" s="1834"/>
      <c r="P111" s="1829"/>
      <c r="Q111" s="1829"/>
      <c r="R111" s="1829"/>
      <c r="S111" s="1820"/>
      <c r="T111" s="1858"/>
      <c r="U111" s="1858"/>
      <c r="V111" s="1829"/>
      <c r="W111" s="1860"/>
      <c r="X111" s="1856"/>
      <c r="Y111" s="1886"/>
      <c r="Z111" s="1887"/>
      <c r="AA111" s="1881"/>
      <c r="AB111" s="1881"/>
      <c r="AC111" s="1881"/>
      <c r="AD111" s="1881"/>
      <c r="AE111" s="1883"/>
      <c r="AF111" s="1883"/>
      <c r="AG111" s="1856"/>
      <c r="AH111" s="1856"/>
      <c r="AI111" s="1906"/>
      <c r="AJ111" s="1907"/>
      <c r="AK111" s="1908"/>
      <c r="AL111" s="1908"/>
      <c r="AM111" s="1908"/>
      <c r="AN111" s="1908"/>
      <c r="AO111" s="1920"/>
      <c r="AP111" s="1920"/>
      <c r="AQ111" s="1921"/>
      <c r="AR111" s="1922"/>
      <c r="AS111" s="1906"/>
      <c r="AT111" s="1922"/>
      <c r="AU111" s="1923"/>
      <c r="AV111" s="1924"/>
      <c r="AW111" s="1776"/>
      <c r="AX111" s="1776"/>
      <c r="AY111" s="1776"/>
      <c r="AZ111" s="1776"/>
      <c r="BA111" s="1776"/>
      <c r="BB111" s="1776"/>
      <c r="BC111" s="1776"/>
      <c r="BD111" s="1776"/>
      <c r="BE111" s="1776"/>
      <c r="BF111" s="1776"/>
      <c r="BG111" s="1776"/>
      <c r="BH111" s="1776"/>
      <c r="BI111" s="1776"/>
      <c r="BJ111" s="1776"/>
      <c r="BK111" s="1776"/>
      <c r="BL111" s="1776"/>
      <c r="BM111" s="1776"/>
      <c r="BN111" s="1776"/>
      <c r="BO111" s="1776"/>
      <c r="BP111" s="1776"/>
      <c r="BQ111" s="1776"/>
      <c r="BR111" s="1776"/>
      <c r="BS111" s="1776"/>
      <c r="BT111" s="1776"/>
      <c r="BU111" s="1776"/>
      <c r="BV111" s="1776"/>
      <c r="BW111" s="1776"/>
      <c r="BX111" s="1776"/>
      <c r="BY111" s="1776"/>
      <c r="BZ111" s="1776"/>
      <c r="CA111" s="1776"/>
      <c r="CB111" s="1776"/>
      <c r="CC111" s="1776"/>
      <c r="CD111" s="1776"/>
      <c r="CE111" s="1776"/>
      <c r="CF111" s="1776"/>
      <c r="CG111" s="1776"/>
      <c r="CH111" s="1776"/>
      <c r="CI111" s="1776"/>
      <c r="CJ111" s="1776"/>
      <c r="CK111" s="1776"/>
      <c r="CL111" s="1776"/>
      <c r="CM111" s="1776"/>
      <c r="CN111" s="1776"/>
      <c r="CO111" s="1776"/>
      <c r="CP111" s="1776"/>
      <c r="CQ111" s="1776"/>
      <c r="CR111" s="1776"/>
      <c r="CS111" s="1776"/>
      <c r="CT111" s="1776"/>
      <c r="CU111" s="1776"/>
      <c r="CV111" s="1776"/>
      <c r="CW111" s="1776"/>
      <c r="CX111" s="1776"/>
      <c r="CY111" s="1776"/>
      <c r="CZ111" s="1776"/>
      <c r="DA111" s="1776"/>
      <c r="DB111" s="1776"/>
      <c r="DC111" s="1776"/>
      <c r="DD111" s="1776"/>
      <c r="DE111" s="1776"/>
      <c r="DF111" s="1776"/>
      <c r="DG111" s="1776"/>
      <c r="DH111" s="1776"/>
      <c r="DI111" s="1776"/>
      <c r="DJ111" s="1776"/>
      <c r="DK111" s="1776"/>
      <c r="DL111" s="1776"/>
      <c r="DM111" s="1776"/>
      <c r="DN111" s="1776"/>
      <c r="DO111" s="1776"/>
      <c r="DP111" s="1776"/>
      <c r="DQ111" s="1776"/>
      <c r="DR111" s="1776"/>
      <c r="DS111" s="1776"/>
      <c r="DT111" s="1776"/>
      <c r="DU111" s="1776"/>
      <c r="DV111" s="1776"/>
      <c r="DW111" s="1776"/>
      <c r="DX111" s="1778"/>
      <c r="DY111" s="1778"/>
      <c r="DZ111" s="1778"/>
      <c r="EA111" s="1778"/>
      <c r="EB111" s="1778"/>
      <c r="EC111" s="1778"/>
      <c r="ED111" s="1778"/>
      <c r="EE111" s="1778"/>
      <c r="EF111" s="1778"/>
      <c r="EG111" s="1778"/>
      <c r="EH111" s="1778"/>
      <c r="EI111" s="1778"/>
      <c r="EJ111" s="1778"/>
      <c r="EK111" s="1778"/>
      <c r="EL111" s="1778"/>
      <c r="EM111" s="1778"/>
      <c r="EN111" s="1778"/>
      <c r="EO111" s="1778"/>
      <c r="EP111" s="1778"/>
      <c r="EQ111" s="1778"/>
      <c r="ER111" s="1778"/>
      <c r="ES111" s="1778"/>
      <c r="ET111" s="1778"/>
      <c r="EU111" s="1778"/>
      <c r="EV111" s="1778"/>
      <c r="EW111" s="1778"/>
      <c r="EX111" s="1778"/>
      <c r="EY111" s="1778"/>
      <c r="EZ111" s="1778"/>
      <c r="FA111" s="1778"/>
      <c r="FB111" s="1778"/>
      <c r="FC111" s="1778"/>
      <c r="FD111" s="1778"/>
      <c r="FE111" s="1778"/>
      <c r="FF111" s="1778"/>
      <c r="FG111" s="1778"/>
      <c r="FH111" s="1778"/>
      <c r="FI111" s="1778"/>
      <c r="FJ111" s="1778"/>
      <c r="FK111" s="1778"/>
      <c r="FL111" s="1778"/>
      <c r="FM111" s="1778"/>
      <c r="FN111" s="1778"/>
      <c r="FO111" s="1778"/>
      <c r="FP111" s="1778"/>
      <c r="FQ111" s="1778"/>
      <c r="FR111" s="1778"/>
      <c r="FS111" s="1778"/>
      <c r="FT111" s="1778"/>
      <c r="FU111" s="1778"/>
      <c r="FV111" s="1778"/>
      <c r="FW111" s="1778"/>
      <c r="FX111" s="1778"/>
      <c r="FY111" s="1778"/>
      <c r="FZ111" s="1778"/>
      <c r="GA111" s="1778"/>
      <c r="XES111" s="1667"/>
      <c r="XET111" s="1667"/>
      <c r="XEU111" s="1667"/>
      <c r="XEV111" s="1667"/>
      <c r="XEW111" s="1667"/>
      <c r="XEX111" s="1667"/>
      <c r="XEY111" s="1667"/>
      <c r="XEZ111" s="1667"/>
      <c r="XFA111" s="1667"/>
      <c r="XFB111" s="1667"/>
      <c r="XFC111" s="1667"/>
      <c r="XFD111" s="1667"/>
    </row>
    <row r="112" s="1662" customFormat="1" customHeight="1" spans="1:16384">
      <c r="A112" s="1799"/>
      <c r="B112" s="1669"/>
      <c r="C112" s="1800"/>
      <c r="D112" s="1670"/>
      <c r="E112" s="1669"/>
      <c r="F112" s="1669"/>
      <c r="G112" s="1669"/>
      <c r="H112" s="1670"/>
      <c r="I112" s="1687" t="s">
        <v>1441</v>
      </c>
      <c r="J112" s="1687">
        <f>SUM(J4:J111)</f>
        <v>96472</v>
      </c>
      <c r="K112" s="1670"/>
      <c r="L112" s="1670"/>
      <c r="M112" s="1670"/>
      <c r="N112" s="1776"/>
      <c r="O112" s="1776"/>
      <c r="P112" s="1673"/>
      <c r="Q112" s="1674"/>
      <c r="R112" s="1674"/>
      <c r="S112" s="1673"/>
      <c r="T112" s="1673"/>
      <c r="U112" s="1673"/>
      <c r="V112" s="1673"/>
      <c r="W112" s="1861"/>
      <c r="X112" s="1668"/>
      <c r="Y112" s="1888"/>
      <c r="Z112" s="1889">
        <f>SUM(Z4:Z111)*7.75</f>
        <v>1168126.9154</v>
      </c>
      <c r="AA112" s="1890"/>
      <c r="AB112" s="1891"/>
      <c r="AC112" s="1891"/>
      <c r="AD112" s="1890"/>
      <c r="AE112" s="1799"/>
      <c r="AF112" s="1799"/>
      <c r="AG112" s="1668">
        <f t="shared" ref="AG112:AN112" si="52">SUM(AG3:AG111)</f>
        <v>45306</v>
      </c>
      <c r="AH112" s="1668">
        <f t="shared" si="52"/>
        <v>47993</v>
      </c>
      <c r="AI112" s="1668">
        <f t="shared" si="52"/>
        <v>47993</v>
      </c>
      <c r="AJ112" s="1911">
        <f t="shared" si="52"/>
        <v>22818</v>
      </c>
      <c r="AK112" s="1911">
        <f t="shared" si="52"/>
        <v>24708</v>
      </c>
      <c r="AL112" s="1911">
        <f t="shared" si="52"/>
        <v>69936</v>
      </c>
      <c r="AM112" s="1911">
        <f t="shared" si="52"/>
        <v>3705</v>
      </c>
      <c r="AN112" s="1911"/>
      <c r="AO112" s="1931">
        <f>SUM(AO3:AO111)</f>
        <v>26536</v>
      </c>
      <c r="AP112" s="1931">
        <f t="shared" ref="AP112:AV112" si="53">SUM(AP4:AP111)</f>
        <v>26536</v>
      </c>
      <c r="AQ112" s="1931">
        <f t="shared" si="53"/>
        <v>0</v>
      </c>
      <c r="AR112" s="1931">
        <f t="shared" si="53"/>
        <v>0</v>
      </c>
      <c r="AS112" s="1931">
        <f t="shared" si="53"/>
        <v>0</v>
      </c>
      <c r="AT112" s="1931">
        <f t="shared" si="53"/>
        <v>2484</v>
      </c>
      <c r="AU112" s="1931">
        <f t="shared" si="53"/>
        <v>19926</v>
      </c>
      <c r="AV112" s="1931">
        <f t="shared" si="53"/>
        <v>0</v>
      </c>
      <c r="AW112" s="1670"/>
      <c r="AX112" s="1670"/>
      <c r="AY112" s="1670"/>
      <c r="AZ112" s="1670"/>
      <c r="BA112" s="1670"/>
      <c r="BB112" s="1670"/>
      <c r="BC112" s="1670"/>
      <c r="BD112" s="1670"/>
      <c r="BE112" s="1670"/>
      <c r="BF112" s="1670"/>
      <c r="BG112" s="1670"/>
      <c r="BH112" s="1670"/>
      <c r="BI112" s="1670"/>
      <c r="BJ112" s="1670"/>
      <c r="BK112" s="1670"/>
      <c r="BL112" s="1670"/>
      <c r="BM112" s="1670"/>
      <c r="BN112" s="1670"/>
      <c r="BO112" s="1670"/>
      <c r="BP112" s="1670"/>
      <c r="BQ112" s="1670"/>
      <c r="BR112" s="1670"/>
      <c r="BS112" s="1670"/>
      <c r="BT112" s="1670"/>
      <c r="BU112" s="1670"/>
      <c r="BV112" s="1670"/>
      <c r="BW112" s="1670"/>
      <c r="BX112" s="1670"/>
      <c r="BY112" s="1670"/>
      <c r="BZ112" s="1670"/>
      <c r="CA112" s="1670"/>
      <c r="CB112" s="1670"/>
      <c r="CC112" s="1670"/>
      <c r="CD112" s="1670"/>
      <c r="CE112" s="1670"/>
      <c r="CF112" s="1670"/>
      <c r="CG112" s="1670"/>
      <c r="CH112" s="1670"/>
      <c r="CI112" s="1670"/>
      <c r="CJ112" s="1670"/>
      <c r="CK112" s="1670"/>
      <c r="CL112" s="1670"/>
      <c r="CM112" s="1670"/>
      <c r="CN112" s="1670"/>
      <c r="CO112" s="1670"/>
      <c r="CP112" s="1670"/>
      <c r="CQ112" s="1670"/>
      <c r="CR112" s="1670"/>
      <c r="CS112" s="1670"/>
      <c r="CT112" s="1670"/>
      <c r="CU112" s="1670"/>
      <c r="CV112" s="1670"/>
      <c r="CW112" s="1670"/>
      <c r="CX112" s="1670"/>
      <c r="CY112" s="1670"/>
      <c r="CZ112" s="1670"/>
      <c r="DA112" s="1670"/>
      <c r="DB112" s="1670"/>
      <c r="DC112" s="1670"/>
      <c r="DD112" s="1670"/>
      <c r="DE112" s="1670"/>
      <c r="XES112" s="1667"/>
      <c r="XET112" s="1667"/>
      <c r="XEU112" s="1667"/>
      <c r="XEV112" s="1667"/>
      <c r="XEW112" s="1667"/>
      <c r="XEX112" s="1667"/>
      <c r="XEY112" s="1667"/>
      <c r="XEZ112" s="1667"/>
      <c r="XFA112" s="1667"/>
      <c r="XFB112" s="1667"/>
      <c r="XFC112" s="1667"/>
      <c r="XFD112" s="1667"/>
    </row>
    <row r="113" s="1662" customFormat="1" customHeight="1" spans="1:16384">
      <c r="A113" s="1799"/>
      <c r="B113" s="1669"/>
      <c r="C113" s="1800"/>
      <c r="D113" s="1670"/>
      <c r="E113" s="1669"/>
      <c r="F113" s="1669"/>
      <c r="G113" s="1669"/>
      <c r="H113" s="1670"/>
      <c r="I113" s="1687"/>
      <c r="J113" s="1687"/>
      <c r="K113" s="1670"/>
      <c r="L113" s="1670"/>
      <c r="M113" s="1670"/>
      <c r="N113" s="1776"/>
      <c r="O113" s="1776"/>
      <c r="P113" s="1673"/>
      <c r="Q113" s="1674"/>
      <c r="R113" s="1674"/>
      <c r="S113" s="1673"/>
      <c r="T113" s="1673"/>
      <c r="U113" s="1673"/>
      <c r="V113" s="1673"/>
      <c r="W113" s="1675"/>
      <c r="X113" s="1670"/>
      <c r="Y113" s="1676"/>
      <c r="Z113" s="1892"/>
      <c r="AA113" s="1678"/>
      <c r="AB113" s="1893"/>
      <c r="AC113" s="1893"/>
      <c r="AD113" s="1678"/>
      <c r="AE113" s="1800"/>
      <c r="AF113" s="1800"/>
      <c r="AG113" s="1670" t="e">
        <f>SUM(#REF!)</f>
        <v>#REF!</v>
      </c>
      <c r="AH113" s="1670" t="e">
        <f>SUM(#REF!)</f>
        <v>#REF!</v>
      </c>
      <c r="AI113" s="1670" t="e">
        <f>SUM(#REF!)</f>
        <v>#REF!</v>
      </c>
      <c r="AJ113" s="1912"/>
      <c r="AK113" s="1912"/>
      <c r="AL113" s="1912"/>
      <c r="AM113" s="1687"/>
      <c r="AN113" s="1687"/>
      <c r="AO113" s="1932"/>
      <c r="AP113" s="1932"/>
      <c r="AQ113" s="1932"/>
      <c r="AR113" s="1932"/>
      <c r="AS113" s="1932"/>
      <c r="AT113" s="1932"/>
      <c r="AU113" s="1932"/>
      <c r="AV113" s="1932"/>
      <c r="AW113" s="1670"/>
      <c r="AX113" s="1670"/>
      <c r="AY113" s="1670"/>
      <c r="AZ113" s="1670"/>
      <c r="BA113" s="1670"/>
      <c r="BB113" s="1670"/>
      <c r="BC113" s="1670"/>
      <c r="BD113" s="1670"/>
      <c r="BE113" s="1670"/>
      <c r="BF113" s="1670"/>
      <c r="BG113" s="1670"/>
      <c r="BH113" s="1670"/>
      <c r="BI113" s="1670"/>
      <c r="BJ113" s="1670"/>
      <c r="BK113" s="1670"/>
      <c r="BL113" s="1670"/>
      <c r="BM113" s="1670"/>
      <c r="BN113" s="1670"/>
      <c r="BO113" s="1670"/>
      <c r="BP113" s="1670"/>
      <c r="BQ113" s="1670"/>
      <c r="BR113" s="1670"/>
      <c r="BS113" s="1670"/>
      <c r="BT113" s="1670"/>
      <c r="BU113" s="1670"/>
      <c r="BV113" s="1670"/>
      <c r="BW113" s="1670"/>
      <c r="BX113" s="1670"/>
      <c r="BY113" s="1670"/>
      <c r="BZ113" s="1670"/>
      <c r="CA113" s="1670"/>
      <c r="CB113" s="1670"/>
      <c r="CC113" s="1670"/>
      <c r="CD113" s="1670"/>
      <c r="CE113" s="1670"/>
      <c r="CF113" s="1670"/>
      <c r="CG113" s="1670"/>
      <c r="CH113" s="1670"/>
      <c r="CI113" s="1670"/>
      <c r="CJ113" s="1670"/>
      <c r="CK113" s="1670"/>
      <c r="CL113" s="1670"/>
      <c r="CM113" s="1670"/>
      <c r="CN113" s="1670"/>
      <c r="CO113" s="1670"/>
      <c r="CP113" s="1670"/>
      <c r="CQ113" s="1670"/>
      <c r="CR113" s="1670"/>
      <c r="CS113" s="1670"/>
      <c r="CT113" s="1670"/>
      <c r="CU113" s="1670"/>
      <c r="CV113" s="1670"/>
      <c r="CW113" s="1670"/>
      <c r="CX113" s="1670"/>
      <c r="CY113" s="1670"/>
      <c r="CZ113" s="1670"/>
      <c r="DA113" s="1670"/>
      <c r="DB113" s="1670"/>
      <c r="DC113" s="1670"/>
      <c r="DD113" s="1670"/>
      <c r="DE113" s="1670"/>
      <c r="XES113" s="1667"/>
      <c r="XET113" s="1667"/>
      <c r="XEU113" s="1667"/>
      <c r="XEV113" s="1667"/>
      <c r="XEW113" s="1667"/>
      <c r="XEX113" s="1667"/>
      <c r="XEY113" s="1667"/>
      <c r="XEZ113" s="1667"/>
      <c r="XFA113" s="1667"/>
      <c r="XFB113" s="1667"/>
      <c r="XFC113" s="1667"/>
      <c r="XFD113" s="1667"/>
    </row>
    <row r="114" s="1662" customFormat="1" customHeight="1" spans="1:16384">
      <c r="A114" s="1799"/>
      <c r="B114" s="1669"/>
      <c r="C114" s="1800"/>
      <c r="D114" s="1670"/>
      <c r="E114" s="1669"/>
      <c r="F114" s="1669"/>
      <c r="G114" s="1669"/>
      <c r="H114" s="1670"/>
      <c r="I114" s="1687"/>
      <c r="J114" s="1687"/>
      <c r="K114" s="1670"/>
      <c r="L114" s="1670"/>
      <c r="M114" s="1670"/>
      <c r="N114" s="1776"/>
      <c r="O114" s="1776"/>
      <c r="P114" s="1673"/>
      <c r="Q114" s="1674"/>
      <c r="R114" s="1674"/>
      <c r="S114" s="1673"/>
      <c r="T114" s="1673"/>
      <c r="U114" s="1673"/>
      <c r="V114" s="1673"/>
      <c r="W114" s="1675"/>
      <c r="X114" s="1670"/>
      <c r="Y114" s="1676"/>
      <c r="Z114" s="1892"/>
      <c r="AA114" s="1678"/>
      <c r="AB114" s="1893"/>
      <c r="AC114" s="1893"/>
      <c r="AD114" s="1678"/>
      <c r="AE114" s="1800"/>
      <c r="AF114" s="1800"/>
      <c r="AG114" s="1670"/>
      <c r="AH114" s="1670"/>
      <c r="AI114" s="1670"/>
      <c r="AJ114" s="1912"/>
      <c r="AK114" s="1912"/>
      <c r="AL114" s="1912"/>
      <c r="AM114" s="1687"/>
      <c r="AN114" s="1687"/>
      <c r="AO114" s="1932"/>
      <c r="AP114" s="1932"/>
      <c r="AQ114" s="1932"/>
      <c r="AR114" s="1932"/>
      <c r="AS114" s="1932"/>
      <c r="AT114" s="1932"/>
      <c r="AU114" s="1932"/>
      <c r="AV114" s="1932"/>
      <c r="AW114" s="1670"/>
      <c r="AX114" s="1670"/>
      <c r="AY114" s="1670"/>
      <c r="AZ114" s="1670"/>
      <c r="BA114" s="1670"/>
      <c r="BB114" s="1670"/>
      <c r="BC114" s="1670"/>
      <c r="BD114" s="1670"/>
      <c r="BE114" s="1670"/>
      <c r="BF114" s="1670"/>
      <c r="BG114" s="1670"/>
      <c r="BH114" s="1670"/>
      <c r="BI114" s="1670"/>
      <c r="BJ114" s="1670"/>
      <c r="BK114" s="1670"/>
      <c r="BL114" s="1670"/>
      <c r="BM114" s="1670"/>
      <c r="BN114" s="1670"/>
      <c r="BO114" s="1670"/>
      <c r="BP114" s="1670"/>
      <c r="BQ114" s="1670"/>
      <c r="BR114" s="1670"/>
      <c r="BS114" s="1670"/>
      <c r="BT114" s="1670"/>
      <c r="BU114" s="1670"/>
      <c r="BV114" s="1670"/>
      <c r="BW114" s="1670"/>
      <c r="BX114" s="1670"/>
      <c r="BY114" s="1670"/>
      <c r="BZ114" s="1670"/>
      <c r="CA114" s="1670"/>
      <c r="CB114" s="1670"/>
      <c r="CC114" s="1670"/>
      <c r="CD114" s="1670"/>
      <c r="CE114" s="1670"/>
      <c r="CF114" s="1670"/>
      <c r="CG114" s="1670"/>
      <c r="CH114" s="1670"/>
      <c r="CI114" s="1670"/>
      <c r="CJ114" s="1670"/>
      <c r="CK114" s="1670"/>
      <c r="CL114" s="1670"/>
      <c r="CM114" s="1670"/>
      <c r="CN114" s="1670"/>
      <c r="CO114" s="1670"/>
      <c r="CP114" s="1670"/>
      <c r="CQ114" s="1670"/>
      <c r="CR114" s="1670"/>
      <c r="CS114" s="1670"/>
      <c r="CT114" s="1670"/>
      <c r="CU114" s="1670"/>
      <c r="CV114" s="1670"/>
      <c r="CW114" s="1670"/>
      <c r="CX114" s="1670"/>
      <c r="CY114" s="1670"/>
      <c r="CZ114" s="1670"/>
      <c r="DA114" s="1670"/>
      <c r="DB114" s="1670"/>
      <c r="DC114" s="1670"/>
      <c r="DD114" s="1670"/>
      <c r="DE114" s="1670"/>
      <c r="XES114" s="1667"/>
      <c r="XET114" s="1667"/>
      <c r="XEU114" s="1667"/>
      <c r="XEV114" s="1667"/>
      <c r="XEW114" s="1667"/>
      <c r="XEX114" s="1667"/>
      <c r="XEY114" s="1667"/>
      <c r="XEZ114" s="1667"/>
      <c r="XFA114" s="1667"/>
      <c r="XFB114" s="1667"/>
      <c r="XFC114" s="1667"/>
      <c r="XFD114" s="1667"/>
    </row>
    <row r="115" s="1662" customFormat="1" customHeight="1" spans="1:16384">
      <c r="A115" s="1799"/>
      <c r="B115" s="1669"/>
      <c r="C115" s="1800"/>
      <c r="D115" s="1670"/>
      <c r="E115" s="1669"/>
      <c r="F115" s="1669"/>
      <c r="G115" s="1669"/>
      <c r="H115" s="1670"/>
      <c r="I115" s="1687"/>
      <c r="J115" s="1687"/>
      <c r="K115" s="1670"/>
      <c r="L115" s="1670"/>
      <c r="M115" s="1670"/>
      <c r="N115" s="1776"/>
      <c r="O115" s="1776"/>
      <c r="P115" s="1673"/>
      <c r="Q115" s="1674"/>
      <c r="R115" s="1674"/>
      <c r="S115" s="1673"/>
      <c r="T115" s="1673"/>
      <c r="U115" s="1673"/>
      <c r="V115" s="1673"/>
      <c r="W115" s="1675"/>
      <c r="X115" s="1670"/>
      <c r="Y115" s="1676"/>
      <c r="Z115" s="1892"/>
      <c r="AA115" s="1678"/>
      <c r="AB115" s="1893"/>
      <c r="AC115" s="1893"/>
      <c r="AD115" s="1678"/>
      <c r="AE115" s="1800"/>
      <c r="AF115" s="1800"/>
      <c r="AG115" s="1670" t="e">
        <f>SUBTOTAL(9,AG4:AG113)</f>
        <v>#REF!</v>
      </c>
      <c r="AH115" s="1670" t="e">
        <f>SUBTOTAL(9,AH4:AH113)</f>
        <v>#REF!</v>
      </c>
      <c r="AI115" s="1670" t="e">
        <f>SUBTOTAL(9,AI4:AI113)</f>
        <v>#REF!</v>
      </c>
      <c r="AJ115" s="1912"/>
      <c r="AK115" s="1912"/>
      <c r="AL115" s="1912"/>
      <c r="AM115" s="1687"/>
      <c r="AN115" s="1687"/>
      <c r="AO115" s="1932"/>
      <c r="AP115" s="1932"/>
      <c r="AQ115" s="1932"/>
      <c r="AR115" s="1932"/>
      <c r="AS115" s="1932"/>
      <c r="AT115" s="1932"/>
      <c r="AU115" s="1932"/>
      <c r="AV115" s="1932"/>
      <c r="AW115" s="1670"/>
      <c r="AX115" s="1670"/>
      <c r="AY115" s="1670"/>
      <c r="AZ115" s="1670"/>
      <c r="BA115" s="1670"/>
      <c r="BB115" s="1670"/>
      <c r="BC115" s="1670"/>
      <c r="BD115" s="1670"/>
      <c r="BE115" s="1670"/>
      <c r="BF115" s="1670"/>
      <c r="BG115" s="1670"/>
      <c r="BH115" s="1670"/>
      <c r="BI115" s="1670"/>
      <c r="BJ115" s="1670"/>
      <c r="BK115" s="1670"/>
      <c r="BL115" s="1670"/>
      <c r="BM115" s="1670"/>
      <c r="BN115" s="1670"/>
      <c r="BO115" s="1670"/>
      <c r="BP115" s="1670"/>
      <c r="BQ115" s="1670"/>
      <c r="BR115" s="1670"/>
      <c r="BS115" s="1670"/>
      <c r="BT115" s="1670"/>
      <c r="BU115" s="1670"/>
      <c r="BV115" s="1670"/>
      <c r="BW115" s="1670"/>
      <c r="BX115" s="1670"/>
      <c r="BY115" s="1670"/>
      <c r="BZ115" s="1670"/>
      <c r="CA115" s="1670"/>
      <c r="CB115" s="1670"/>
      <c r="CC115" s="1670"/>
      <c r="CD115" s="1670"/>
      <c r="CE115" s="1670"/>
      <c r="CF115" s="1670"/>
      <c r="CG115" s="1670"/>
      <c r="CH115" s="1670"/>
      <c r="CI115" s="1670"/>
      <c r="CJ115" s="1670"/>
      <c r="CK115" s="1670"/>
      <c r="CL115" s="1670"/>
      <c r="CM115" s="1670"/>
      <c r="CN115" s="1670"/>
      <c r="CO115" s="1670"/>
      <c r="CP115" s="1670"/>
      <c r="CQ115" s="1670"/>
      <c r="CR115" s="1670"/>
      <c r="CS115" s="1670"/>
      <c r="CT115" s="1670"/>
      <c r="CU115" s="1670"/>
      <c r="CV115" s="1670"/>
      <c r="CW115" s="1670"/>
      <c r="CX115" s="1670"/>
      <c r="CY115" s="1670"/>
      <c r="CZ115" s="1670"/>
      <c r="DA115" s="1670"/>
      <c r="DB115" s="1670"/>
      <c r="DC115" s="1670"/>
      <c r="DD115" s="1670"/>
      <c r="DE115" s="1670"/>
      <c r="XES115" s="1667"/>
      <c r="XET115" s="1667"/>
      <c r="XEU115" s="1667"/>
      <c r="XEV115" s="1667"/>
      <c r="XEW115" s="1667"/>
      <c r="XEX115" s="1667"/>
      <c r="XEY115" s="1667"/>
      <c r="XEZ115" s="1667"/>
      <c r="XFA115" s="1667"/>
      <c r="XFB115" s="1667"/>
      <c r="XFC115" s="1667"/>
      <c r="XFD115" s="1667"/>
    </row>
    <row r="116" s="1662" customFormat="1" customHeight="1" spans="1:16384">
      <c r="A116" s="1799"/>
      <c r="B116" s="1669"/>
      <c r="C116" s="1800"/>
      <c r="D116" s="1670"/>
      <c r="E116" s="1669"/>
      <c r="F116" s="1669"/>
      <c r="G116" s="1669"/>
      <c r="H116" s="1670"/>
      <c r="I116" s="1687"/>
      <c r="J116" s="1687"/>
      <c r="K116" s="1670"/>
      <c r="L116" s="1670"/>
      <c r="M116" s="1670"/>
      <c r="N116" s="1776"/>
      <c r="O116" s="1776"/>
      <c r="P116" s="1673"/>
      <c r="Q116" s="1674"/>
      <c r="R116" s="1674"/>
      <c r="S116" s="1673"/>
      <c r="T116" s="1673"/>
      <c r="U116" s="1673"/>
      <c r="V116" s="1673"/>
      <c r="W116" s="1675"/>
      <c r="X116" s="1670"/>
      <c r="Y116" s="1676"/>
      <c r="Z116" s="1892"/>
      <c r="AA116" s="1678"/>
      <c r="AB116" s="1893"/>
      <c r="AC116" s="1893"/>
      <c r="AD116" s="1678"/>
      <c r="AE116" s="1800"/>
      <c r="AF116" s="1800"/>
      <c r="AG116" s="1670"/>
      <c r="AH116" s="1670"/>
      <c r="AI116" s="1670"/>
      <c r="AJ116" s="1912"/>
      <c r="AK116" s="1912"/>
      <c r="AL116" s="1912"/>
      <c r="AM116" s="1687"/>
      <c r="AN116" s="1687"/>
      <c r="AO116" s="1932"/>
      <c r="AP116" s="1932"/>
      <c r="AQ116" s="1932"/>
      <c r="AR116" s="1932"/>
      <c r="AS116" s="1932"/>
      <c r="AT116" s="1932"/>
      <c r="AU116" s="1932"/>
      <c r="AV116" s="1932"/>
      <c r="AW116" s="1670"/>
      <c r="AX116" s="1670"/>
      <c r="AY116" s="1670"/>
      <c r="AZ116" s="1670"/>
      <c r="BA116" s="1670"/>
      <c r="BB116" s="1670"/>
      <c r="BC116" s="1670"/>
      <c r="BD116" s="1670"/>
      <c r="BE116" s="1670"/>
      <c r="BF116" s="1670"/>
      <c r="BG116" s="1670"/>
      <c r="BH116" s="1670"/>
      <c r="BI116" s="1670"/>
      <c r="BJ116" s="1670"/>
      <c r="BK116" s="1670"/>
      <c r="BL116" s="1670"/>
      <c r="BM116" s="1670"/>
      <c r="BN116" s="1670"/>
      <c r="BO116" s="1670"/>
      <c r="BP116" s="1670"/>
      <c r="BQ116" s="1670"/>
      <c r="BR116" s="1670"/>
      <c r="BS116" s="1670"/>
      <c r="BT116" s="1670"/>
      <c r="BU116" s="1670"/>
      <c r="BV116" s="1670"/>
      <c r="BW116" s="1670"/>
      <c r="BX116" s="1670"/>
      <c r="BY116" s="1670"/>
      <c r="BZ116" s="1670"/>
      <c r="CA116" s="1670"/>
      <c r="CB116" s="1670"/>
      <c r="CC116" s="1670"/>
      <c r="CD116" s="1670"/>
      <c r="CE116" s="1670"/>
      <c r="CF116" s="1670"/>
      <c r="CG116" s="1670"/>
      <c r="CH116" s="1670"/>
      <c r="CI116" s="1670"/>
      <c r="CJ116" s="1670"/>
      <c r="CK116" s="1670"/>
      <c r="CL116" s="1670"/>
      <c r="CM116" s="1670"/>
      <c r="CN116" s="1670"/>
      <c r="CO116" s="1670"/>
      <c r="CP116" s="1670"/>
      <c r="CQ116" s="1670"/>
      <c r="CR116" s="1670"/>
      <c r="CS116" s="1670"/>
      <c r="CT116" s="1670"/>
      <c r="CU116" s="1670"/>
      <c r="CV116" s="1670"/>
      <c r="CW116" s="1670"/>
      <c r="CX116" s="1670"/>
      <c r="CY116" s="1670"/>
      <c r="CZ116" s="1670"/>
      <c r="DA116" s="1670"/>
      <c r="DB116" s="1670"/>
      <c r="DC116" s="1670"/>
      <c r="DD116" s="1670"/>
      <c r="DE116" s="1670"/>
      <c r="XES116" s="1667"/>
      <c r="XET116" s="1667"/>
      <c r="XEU116" s="1667"/>
      <c r="XEV116" s="1667"/>
      <c r="XEW116" s="1667"/>
      <c r="XEX116" s="1667"/>
      <c r="XEY116" s="1667"/>
      <c r="XEZ116" s="1667"/>
      <c r="XFA116" s="1667"/>
      <c r="XFB116" s="1667"/>
      <c r="XFC116" s="1667"/>
      <c r="XFD116" s="1667"/>
    </row>
    <row r="117" s="1662" customFormat="1" customHeight="1" spans="1:16384">
      <c r="A117" s="1799"/>
      <c r="B117" s="1669"/>
      <c r="C117" s="1800"/>
      <c r="D117" s="1670"/>
      <c r="E117" s="1669"/>
      <c r="F117" s="1669"/>
      <c r="G117" s="1669"/>
      <c r="H117" s="1670"/>
      <c r="I117" s="1687"/>
      <c r="J117" s="1687"/>
      <c r="K117" s="1670"/>
      <c r="L117" s="1670"/>
      <c r="M117" s="1670"/>
      <c r="N117" s="1776"/>
      <c r="O117" s="1776"/>
      <c r="P117" s="1673"/>
      <c r="Q117" s="1674"/>
      <c r="R117" s="1674"/>
      <c r="S117" s="1673"/>
      <c r="T117" s="1673"/>
      <c r="U117" s="1673"/>
      <c r="V117" s="1673"/>
      <c r="W117" s="1675"/>
      <c r="X117" s="1670"/>
      <c r="Y117" s="1676"/>
      <c r="Z117" s="1892"/>
      <c r="AA117" s="1678"/>
      <c r="AB117" s="1893"/>
      <c r="AC117" s="1893"/>
      <c r="AD117" s="1678"/>
      <c r="AE117" s="1800"/>
      <c r="AF117" s="1800"/>
      <c r="AG117" s="1670"/>
      <c r="AH117" s="1670"/>
      <c r="AI117" s="1670"/>
      <c r="AJ117" s="1912"/>
      <c r="AK117" s="1912"/>
      <c r="AL117" s="1681"/>
      <c r="AM117" s="1687"/>
      <c r="AN117" s="1687"/>
      <c r="AO117" s="1932"/>
      <c r="AP117" s="1932"/>
      <c r="AQ117" s="1932"/>
      <c r="AR117" s="1932"/>
      <c r="AS117" s="1932"/>
      <c r="AT117" s="1932"/>
      <c r="AU117" s="1932"/>
      <c r="AV117" s="1932"/>
      <c r="AW117" s="1670"/>
      <c r="AX117" s="1670"/>
      <c r="AY117" s="1670"/>
      <c r="AZ117" s="1670"/>
      <c r="BA117" s="1670"/>
      <c r="BB117" s="1670"/>
      <c r="BC117" s="1670"/>
      <c r="BD117" s="1670"/>
      <c r="BE117" s="1670"/>
      <c r="BF117" s="1670"/>
      <c r="BG117" s="1670"/>
      <c r="BH117" s="1670"/>
      <c r="BI117" s="1670"/>
      <c r="BJ117" s="1670"/>
      <c r="BK117" s="1670"/>
      <c r="BL117" s="1670"/>
      <c r="BM117" s="1670"/>
      <c r="BN117" s="1670"/>
      <c r="BO117" s="1670"/>
      <c r="BP117" s="1670"/>
      <c r="BQ117" s="1670"/>
      <c r="BR117" s="1670"/>
      <c r="BS117" s="1670"/>
      <c r="BT117" s="1670"/>
      <c r="BU117" s="1670"/>
      <c r="BV117" s="1670"/>
      <c r="BW117" s="1670"/>
      <c r="BX117" s="1670"/>
      <c r="BY117" s="1670"/>
      <c r="BZ117" s="1670"/>
      <c r="CA117" s="1670"/>
      <c r="CB117" s="1670"/>
      <c r="CC117" s="1670"/>
      <c r="CD117" s="1670"/>
      <c r="CE117" s="1670"/>
      <c r="CF117" s="1670"/>
      <c r="CG117" s="1670"/>
      <c r="CH117" s="1670"/>
      <c r="CI117" s="1670"/>
      <c r="CJ117" s="1670"/>
      <c r="CK117" s="1670"/>
      <c r="CL117" s="1670"/>
      <c r="CM117" s="1670"/>
      <c r="CN117" s="1670"/>
      <c r="CO117" s="1670"/>
      <c r="CP117" s="1670"/>
      <c r="CQ117" s="1670"/>
      <c r="CR117" s="1670"/>
      <c r="CS117" s="1670"/>
      <c r="CT117" s="1670"/>
      <c r="CU117" s="1670"/>
      <c r="CV117" s="1670"/>
      <c r="CW117" s="1670"/>
      <c r="CX117" s="1670"/>
      <c r="CY117" s="1670"/>
      <c r="CZ117" s="1670"/>
      <c r="DA117" s="1670"/>
      <c r="DB117" s="1670"/>
      <c r="DC117" s="1670"/>
      <c r="DD117" s="1670"/>
      <c r="DE117" s="1670"/>
      <c r="XES117" s="1667"/>
      <c r="XET117" s="1667"/>
      <c r="XEU117" s="1667"/>
      <c r="XEV117" s="1667"/>
      <c r="XEW117" s="1667"/>
      <c r="XEX117" s="1667"/>
      <c r="XEY117" s="1667"/>
      <c r="XEZ117" s="1667"/>
      <c r="XFA117" s="1667"/>
      <c r="XFB117" s="1667"/>
      <c r="XFC117" s="1667"/>
      <c r="XFD117" s="1667"/>
    </row>
    <row r="118" s="1662" customFormat="1" customHeight="1" spans="1:16384">
      <c r="A118" s="1799"/>
      <c r="B118" s="1669"/>
      <c r="C118" s="1800"/>
      <c r="D118" s="1670"/>
      <c r="E118" s="1669"/>
      <c r="F118" s="1669"/>
      <c r="G118" s="1669"/>
      <c r="H118" s="1670"/>
      <c r="I118" s="1687"/>
      <c r="J118" s="1687"/>
      <c r="K118" s="1670"/>
      <c r="L118" s="1670"/>
      <c r="M118" s="1670"/>
      <c r="N118" s="1776"/>
      <c r="O118" s="1776"/>
      <c r="P118" s="1673"/>
      <c r="Q118" s="1674"/>
      <c r="R118" s="1674"/>
      <c r="S118" s="1673"/>
      <c r="T118" s="1673"/>
      <c r="U118" s="1673"/>
      <c r="V118" s="1673"/>
      <c r="W118" s="1675"/>
      <c r="X118" s="1670"/>
      <c r="Y118" s="1676"/>
      <c r="Z118" s="1892"/>
      <c r="AA118" s="1678"/>
      <c r="AB118" s="1893"/>
      <c r="AC118" s="1893"/>
      <c r="AD118" s="1678"/>
      <c r="AE118" s="1800"/>
      <c r="AF118" s="1800"/>
      <c r="AG118" s="1670"/>
      <c r="AH118" s="1670"/>
      <c r="AI118" s="1670"/>
      <c r="AJ118" s="1912"/>
      <c r="AK118" s="1912"/>
      <c r="AL118" s="1912"/>
      <c r="AM118" s="1912"/>
      <c r="AN118" s="1912"/>
      <c r="AO118" s="1932"/>
      <c r="AP118" s="1932"/>
      <c r="AQ118" s="1932"/>
      <c r="AR118" s="1932"/>
      <c r="AS118" s="1932"/>
      <c r="AT118" s="1932"/>
      <c r="AU118" s="1932"/>
      <c r="AV118" s="1932"/>
      <c r="AW118" s="1670"/>
      <c r="AX118" s="1670"/>
      <c r="AY118" s="1670"/>
      <c r="AZ118" s="1670"/>
      <c r="BA118" s="1670"/>
      <c r="BB118" s="1670"/>
      <c r="BC118" s="1670"/>
      <c r="BD118" s="1670"/>
      <c r="BE118" s="1670"/>
      <c r="BF118" s="1670"/>
      <c r="BG118" s="1670"/>
      <c r="BH118" s="1670"/>
      <c r="BI118" s="1670"/>
      <c r="BJ118" s="1670"/>
      <c r="BK118" s="1670"/>
      <c r="BL118" s="1670"/>
      <c r="BM118" s="1670"/>
      <c r="BN118" s="1670"/>
      <c r="BO118" s="1670"/>
      <c r="BP118" s="1670"/>
      <c r="BQ118" s="1670"/>
      <c r="BR118" s="1670"/>
      <c r="BS118" s="1670"/>
      <c r="BT118" s="1670"/>
      <c r="BU118" s="1670"/>
      <c r="BV118" s="1670"/>
      <c r="BW118" s="1670"/>
      <c r="BX118" s="1670"/>
      <c r="BY118" s="1670"/>
      <c r="BZ118" s="1670"/>
      <c r="CA118" s="1670"/>
      <c r="CB118" s="1670"/>
      <c r="CC118" s="1670"/>
      <c r="CD118" s="1670"/>
      <c r="CE118" s="1670"/>
      <c r="CF118" s="1670"/>
      <c r="CG118" s="1670"/>
      <c r="CH118" s="1670"/>
      <c r="CI118" s="1670"/>
      <c r="CJ118" s="1670"/>
      <c r="CK118" s="1670"/>
      <c r="CL118" s="1670"/>
      <c r="CM118" s="1670"/>
      <c r="CN118" s="1670"/>
      <c r="CO118" s="1670"/>
      <c r="CP118" s="1670"/>
      <c r="CQ118" s="1670"/>
      <c r="CR118" s="1670"/>
      <c r="CS118" s="1670"/>
      <c r="CT118" s="1670"/>
      <c r="CU118" s="1670"/>
      <c r="CV118" s="1670"/>
      <c r="CW118" s="1670"/>
      <c r="CX118" s="1670"/>
      <c r="CY118" s="1670"/>
      <c r="CZ118" s="1670"/>
      <c r="DA118" s="1670"/>
      <c r="DB118" s="1670"/>
      <c r="DC118" s="1670"/>
      <c r="DD118" s="1670"/>
      <c r="DE118" s="1670"/>
      <c r="XES118" s="1667"/>
      <c r="XET118" s="1667"/>
      <c r="XEU118" s="1667"/>
      <c r="XEV118" s="1667"/>
      <c r="XEW118" s="1667"/>
      <c r="XEX118" s="1667"/>
      <c r="XEY118" s="1667"/>
      <c r="XEZ118" s="1667"/>
      <c r="XFA118" s="1667"/>
      <c r="XFB118" s="1667"/>
      <c r="XFC118" s="1667"/>
      <c r="XFD118" s="1667"/>
    </row>
    <row r="119" s="1662" customFormat="1" customHeight="1" spans="1:16384">
      <c r="A119" s="1799"/>
      <c r="B119" s="1669"/>
      <c r="C119" s="1800"/>
      <c r="D119" s="1670"/>
      <c r="E119" s="1669"/>
      <c r="F119" s="1669"/>
      <c r="G119" s="1669"/>
      <c r="H119" s="1670"/>
      <c r="I119" s="1687"/>
      <c r="J119" s="1670"/>
      <c r="K119" s="1670"/>
      <c r="L119" s="1670"/>
      <c r="M119" s="1670"/>
      <c r="N119" s="1776"/>
      <c r="O119" s="1776"/>
      <c r="P119" s="1673"/>
      <c r="Q119" s="1674"/>
      <c r="R119" s="1674"/>
      <c r="S119" s="1673"/>
      <c r="T119" s="1673"/>
      <c r="U119" s="1673"/>
      <c r="V119" s="1673"/>
      <c r="W119" s="1675"/>
      <c r="X119" s="1670"/>
      <c r="Y119" s="1676"/>
      <c r="Z119" s="1677"/>
      <c r="AA119" s="1678"/>
      <c r="AB119" s="1893"/>
      <c r="AC119" s="1893"/>
      <c r="AD119" s="1678"/>
      <c r="AE119" s="1800"/>
      <c r="AF119" s="1800"/>
      <c r="AG119" s="1670"/>
      <c r="AH119" s="1670"/>
      <c r="AI119" s="1670"/>
      <c r="AJ119" s="1681"/>
      <c r="AK119" s="1681"/>
      <c r="AL119" s="1681"/>
      <c r="AM119" s="1681"/>
      <c r="AN119" s="1681"/>
      <c r="AO119" s="1682"/>
      <c r="AP119" s="1682"/>
      <c r="AQ119" s="1682"/>
      <c r="AR119" s="1670"/>
      <c r="AS119" s="1670"/>
      <c r="AT119" s="1670"/>
      <c r="AU119" s="1670"/>
      <c r="AV119" s="1670"/>
      <c r="AW119" s="1670"/>
      <c r="AX119" s="1670"/>
      <c r="AY119" s="1670"/>
      <c r="AZ119" s="1670"/>
      <c r="BA119" s="1670"/>
      <c r="BB119" s="1670"/>
      <c r="BC119" s="1670"/>
      <c r="BD119" s="1670"/>
      <c r="BE119" s="1670"/>
      <c r="BF119" s="1670"/>
      <c r="BG119" s="1670"/>
      <c r="BH119" s="1670"/>
      <c r="BI119" s="1670"/>
      <c r="BJ119" s="1670"/>
      <c r="BK119" s="1670"/>
      <c r="BL119" s="1670"/>
      <c r="BM119" s="1670"/>
      <c r="BN119" s="1670"/>
      <c r="BO119" s="1670"/>
      <c r="BP119" s="1670"/>
      <c r="BQ119" s="1670"/>
      <c r="BR119" s="1670"/>
      <c r="BS119" s="1670"/>
      <c r="BT119" s="1670"/>
      <c r="BU119" s="1670"/>
      <c r="BV119" s="1670"/>
      <c r="BW119" s="1670"/>
      <c r="BX119" s="1670"/>
      <c r="BY119" s="1670"/>
      <c r="BZ119" s="1670"/>
      <c r="CA119" s="1670"/>
      <c r="CB119" s="1670"/>
      <c r="CC119" s="1670"/>
      <c r="CD119" s="1670"/>
      <c r="CE119" s="1670"/>
      <c r="CF119" s="1670"/>
      <c r="CG119" s="1670"/>
      <c r="CH119" s="1670"/>
      <c r="CI119" s="1670"/>
      <c r="CJ119" s="1670"/>
      <c r="CK119" s="1670"/>
      <c r="CL119" s="1670"/>
      <c r="CM119" s="1670"/>
      <c r="CN119" s="1670"/>
      <c r="CO119" s="1670"/>
      <c r="CP119" s="1670"/>
      <c r="CQ119" s="1670"/>
      <c r="CR119" s="1670"/>
      <c r="CS119" s="1670"/>
      <c r="CT119" s="1670"/>
      <c r="CU119" s="1670"/>
      <c r="CV119" s="1670"/>
      <c r="CW119" s="1670"/>
      <c r="CX119" s="1670"/>
      <c r="CY119" s="1670"/>
      <c r="CZ119" s="1670"/>
      <c r="DA119" s="1670"/>
      <c r="DB119" s="1670"/>
      <c r="DC119" s="1670"/>
      <c r="DD119" s="1670"/>
      <c r="DE119" s="1670"/>
      <c r="XES119" s="1667"/>
      <c r="XET119" s="1667"/>
      <c r="XEU119" s="1667"/>
      <c r="XEV119" s="1667"/>
      <c r="XEW119" s="1667"/>
      <c r="XEX119" s="1667"/>
      <c r="XEY119" s="1667"/>
      <c r="XEZ119" s="1667"/>
      <c r="XFA119" s="1667"/>
      <c r="XFB119" s="1667"/>
      <c r="XFC119" s="1667"/>
      <c r="XFD119" s="1667"/>
    </row>
    <row r="120" s="1662" customFormat="1" ht="36" hidden="1" customHeight="1" spans="1:127">
      <c r="A120" s="1801">
        <v>44532</v>
      </c>
      <c r="B120" s="1802" t="s">
        <v>51</v>
      </c>
      <c r="C120" s="1803" t="s">
        <v>52</v>
      </c>
      <c r="D120" s="1802" t="s">
        <v>1885</v>
      </c>
      <c r="E120" s="1802"/>
      <c r="F120" s="1802"/>
      <c r="G120" s="1802"/>
      <c r="H120" s="1804" t="s">
        <v>1886</v>
      </c>
      <c r="I120" s="1803" t="s">
        <v>1479</v>
      </c>
      <c r="J120" s="1802">
        <v>60</v>
      </c>
      <c r="K120" s="1802">
        <v>0</v>
      </c>
      <c r="L120" s="1802">
        <v>6</v>
      </c>
      <c r="M120" s="1835">
        <f t="shared" ref="M120:M135" si="54">J120/L120</f>
        <v>10</v>
      </c>
      <c r="N120" s="1836">
        <v>44546</v>
      </c>
      <c r="O120" s="1837" t="s">
        <v>1887</v>
      </c>
      <c r="P120" s="1838"/>
      <c r="Q120" s="1862"/>
      <c r="R120" s="1843"/>
      <c r="S120" s="1863" t="s">
        <v>57</v>
      </c>
      <c r="T120" s="1863"/>
      <c r="U120" s="1864" t="s">
        <v>58</v>
      </c>
      <c r="V120" s="1843" t="s">
        <v>1888</v>
      </c>
      <c r="W120" s="1865" t="s">
        <v>1889</v>
      </c>
      <c r="X120" s="1802"/>
      <c r="Y120" s="1894">
        <v>0</v>
      </c>
      <c r="Z120" s="1895">
        <v>0</v>
      </c>
      <c r="AA120" s="1896"/>
      <c r="AB120" s="1897"/>
      <c r="AC120" s="1897"/>
      <c r="AD120" s="1896"/>
      <c r="AE120" s="1802"/>
      <c r="AF120" s="1802"/>
      <c r="AG120" s="1802">
        <f>J120/1</f>
        <v>60</v>
      </c>
      <c r="AH120" s="1802">
        <f>J120/1</f>
        <v>60</v>
      </c>
      <c r="AI120" s="1802">
        <f>J120/1</f>
        <v>60</v>
      </c>
      <c r="AJ120" s="1913"/>
      <c r="AK120" s="1913"/>
      <c r="AL120" s="1913"/>
      <c r="AM120" s="1913"/>
      <c r="AN120" s="1913"/>
      <c r="AO120" s="1933"/>
      <c r="AP120" s="1933"/>
      <c r="AQ120" s="1933"/>
      <c r="AR120" s="1835"/>
      <c r="AS120" s="1802"/>
      <c r="AT120" s="1835"/>
      <c r="AU120" s="1835"/>
      <c r="AV120" s="1835"/>
      <c r="AW120" s="1835"/>
      <c r="AX120" s="1835"/>
      <c r="AY120" s="1835"/>
      <c r="AZ120" s="1835"/>
      <c r="BA120" s="1835"/>
      <c r="BB120" s="1835"/>
      <c r="BC120" s="1835"/>
      <c r="BD120" s="1835"/>
      <c r="BE120" s="1835"/>
      <c r="BF120" s="1835"/>
      <c r="BG120" s="1835"/>
      <c r="BH120" s="1835"/>
      <c r="BI120" s="1835"/>
      <c r="BJ120" s="1835"/>
      <c r="BK120" s="1835"/>
      <c r="BL120" s="1835"/>
      <c r="BM120" s="1835"/>
      <c r="BN120" s="1835"/>
      <c r="BO120" s="1835"/>
      <c r="BP120" s="1835"/>
      <c r="BQ120" s="1835"/>
      <c r="BR120" s="1835"/>
      <c r="BS120" s="1835"/>
      <c r="BT120" s="1835"/>
      <c r="BU120" s="1835"/>
      <c r="BV120" s="1835"/>
      <c r="BW120" s="1835"/>
      <c r="BX120" s="1835"/>
      <c r="BY120" s="1835"/>
      <c r="BZ120" s="1835"/>
      <c r="CA120" s="1835"/>
      <c r="CB120" s="1835"/>
      <c r="CC120" s="1835"/>
      <c r="CD120" s="1835"/>
      <c r="CE120" s="1835"/>
      <c r="CF120" s="1835"/>
      <c r="CG120" s="1835"/>
      <c r="CH120" s="1835"/>
      <c r="CI120" s="1835"/>
      <c r="CJ120" s="1835"/>
      <c r="CK120" s="1835"/>
      <c r="CL120" s="1835"/>
      <c r="CM120" s="1835"/>
      <c r="CN120" s="1835"/>
      <c r="CO120" s="1835"/>
      <c r="CP120" s="1835"/>
      <c r="CQ120" s="1835"/>
      <c r="CR120" s="1835"/>
      <c r="CS120" s="1835"/>
      <c r="CT120" s="1835"/>
      <c r="CU120" s="1835"/>
      <c r="CV120" s="1835"/>
      <c r="CW120" s="1835"/>
      <c r="CX120" s="1835"/>
      <c r="CY120" s="1835"/>
      <c r="CZ120" s="1835"/>
      <c r="DA120" s="1835"/>
      <c r="DB120" s="1835"/>
      <c r="DC120" s="1835"/>
      <c r="DD120" s="1835"/>
      <c r="DE120" s="1835"/>
      <c r="DF120" s="1939"/>
      <c r="DG120" s="1939"/>
      <c r="DH120" s="1939"/>
      <c r="DI120" s="1939"/>
      <c r="DJ120" s="1939"/>
      <c r="DK120" s="1939"/>
      <c r="DL120" s="1939"/>
      <c r="DM120" s="1939"/>
      <c r="DN120" s="1939"/>
      <c r="DO120" s="1939"/>
      <c r="DP120" s="1939"/>
      <c r="DQ120" s="1939"/>
      <c r="DR120" s="1939"/>
      <c r="DS120" s="1939"/>
      <c r="DT120" s="1939"/>
      <c r="DU120" s="1939"/>
      <c r="DV120" s="1939"/>
      <c r="DW120" s="1939"/>
    </row>
    <row r="121" s="1662" customFormat="1" ht="36" hidden="1" customHeight="1" spans="1:127">
      <c r="A121" s="1805">
        <v>44671</v>
      </c>
      <c r="B121" s="1806" t="s">
        <v>1890</v>
      </c>
      <c r="C121" s="1807" t="s">
        <v>91</v>
      </c>
      <c r="D121" s="1806">
        <v>4500076550</v>
      </c>
      <c r="E121" s="1806">
        <v>24614</v>
      </c>
      <c r="F121" s="1806"/>
      <c r="G121" s="1806"/>
      <c r="H121" s="1808" t="s">
        <v>1891</v>
      </c>
      <c r="I121" s="1803" t="s">
        <v>1479</v>
      </c>
      <c r="J121" s="1839">
        <v>3312</v>
      </c>
      <c r="K121" s="1802">
        <v>0</v>
      </c>
      <c r="L121" s="1802">
        <v>24</v>
      </c>
      <c r="M121" s="1835">
        <f t="shared" si="54"/>
        <v>138</v>
      </c>
      <c r="N121" s="1840">
        <v>44727</v>
      </c>
      <c r="O121" s="1837" t="s">
        <v>1892</v>
      </c>
      <c r="P121" s="1841"/>
      <c r="Q121" s="1866"/>
      <c r="R121" s="1867"/>
      <c r="S121" s="1868" t="s">
        <v>1427</v>
      </c>
      <c r="T121" s="1863" t="s">
        <v>1893</v>
      </c>
      <c r="U121" s="1868" t="s">
        <v>58</v>
      </c>
      <c r="V121" s="1869" t="s">
        <v>1888</v>
      </c>
      <c r="W121" s="1870" t="s">
        <v>1894</v>
      </c>
      <c r="X121" s="1802" t="s">
        <v>1895</v>
      </c>
      <c r="Y121" s="1898">
        <v>1.4927</v>
      </c>
      <c r="Z121" s="1895">
        <f t="shared" ref="Z121:Z135" si="55">Y121*J121</f>
        <v>4943.8224</v>
      </c>
      <c r="AA121" s="1899"/>
      <c r="AB121" s="1900"/>
      <c r="AC121" s="1900"/>
      <c r="AD121" s="1899"/>
      <c r="AE121" s="1806"/>
      <c r="AF121" s="1806"/>
      <c r="AG121" s="1802">
        <f>J121/3</f>
        <v>1104</v>
      </c>
      <c r="AH121" s="1802">
        <f>J121/3</f>
        <v>1104</v>
      </c>
      <c r="AI121" s="1802">
        <f>J121/3</f>
        <v>1104</v>
      </c>
      <c r="AJ121" s="1914"/>
      <c r="AK121" s="1914"/>
      <c r="AL121" s="1914"/>
      <c r="AM121" s="1914"/>
      <c r="AN121" s="1914"/>
      <c r="AO121" s="1934"/>
      <c r="AP121" s="1934"/>
      <c r="AQ121" s="1934"/>
      <c r="AR121" s="1819"/>
      <c r="AS121" s="1806"/>
      <c r="AT121" s="1935"/>
      <c r="AU121" s="1935"/>
      <c r="AV121" s="1935"/>
      <c r="AW121" s="1935"/>
      <c r="AX121" s="1935"/>
      <c r="AY121" s="1935"/>
      <c r="AZ121" s="1935"/>
      <c r="BA121" s="1935"/>
      <c r="BB121" s="1935"/>
      <c r="BC121" s="1935"/>
      <c r="BD121" s="1935"/>
      <c r="BE121" s="1935"/>
      <c r="BF121" s="1935"/>
      <c r="BG121" s="1935"/>
      <c r="BH121" s="1935"/>
      <c r="BI121" s="1935"/>
      <c r="BJ121" s="1935"/>
      <c r="BK121" s="1935"/>
      <c r="BL121" s="1935"/>
      <c r="BM121" s="1935"/>
      <c r="BN121" s="1935"/>
      <c r="BO121" s="1935"/>
      <c r="BP121" s="1935"/>
      <c r="BQ121" s="1935"/>
      <c r="BR121" s="1935"/>
      <c r="BS121" s="1935"/>
      <c r="BT121" s="1935"/>
      <c r="BU121" s="1935"/>
      <c r="BV121" s="1935"/>
      <c r="BW121" s="1935"/>
      <c r="BX121" s="1935"/>
      <c r="BY121" s="1935"/>
      <c r="BZ121" s="1935"/>
      <c r="CA121" s="1935"/>
      <c r="CB121" s="1935"/>
      <c r="CC121" s="1935"/>
      <c r="CD121" s="1935"/>
      <c r="CE121" s="1935"/>
      <c r="CF121" s="1935"/>
      <c r="CG121" s="1935"/>
      <c r="CH121" s="1935"/>
      <c r="CI121" s="1935"/>
      <c r="CJ121" s="1935"/>
      <c r="CK121" s="1935"/>
      <c r="CL121" s="1935"/>
      <c r="CM121" s="1935"/>
      <c r="CN121" s="1935"/>
      <c r="CO121" s="1935"/>
      <c r="CP121" s="1935"/>
      <c r="CQ121" s="1935"/>
      <c r="CR121" s="1935"/>
      <c r="CS121" s="1935"/>
      <c r="CT121" s="1935"/>
      <c r="CU121" s="1935"/>
      <c r="CV121" s="1935"/>
      <c r="CW121" s="1935"/>
      <c r="CX121" s="1935"/>
      <c r="CY121" s="1935"/>
      <c r="CZ121" s="1935"/>
      <c r="DA121" s="1935"/>
      <c r="DB121" s="1935"/>
      <c r="DC121" s="1935"/>
      <c r="DD121" s="1935"/>
      <c r="DE121" s="1935"/>
      <c r="DF121" s="1940"/>
      <c r="DG121" s="1940"/>
      <c r="DH121" s="1940"/>
      <c r="DI121" s="1940"/>
      <c r="DJ121" s="1940"/>
      <c r="DK121" s="1940"/>
      <c r="DL121" s="1940"/>
      <c r="DM121" s="1940"/>
      <c r="DN121" s="1940"/>
      <c r="DO121" s="1940"/>
      <c r="DP121" s="1940"/>
      <c r="DQ121" s="1940"/>
      <c r="DR121" s="1940"/>
      <c r="DS121" s="1940"/>
      <c r="DT121" s="1940"/>
      <c r="DU121" s="1940"/>
      <c r="DV121" s="1940"/>
      <c r="DW121" s="1940"/>
    </row>
    <row r="122" s="1662" customFormat="1" ht="36" hidden="1" customHeight="1" spans="1:183">
      <c r="A122" s="1801">
        <v>45001</v>
      </c>
      <c r="B122" s="1803" t="s">
        <v>1896</v>
      </c>
      <c r="C122" s="1809" t="s">
        <v>647</v>
      </c>
      <c r="D122" s="1802">
        <v>4500096331</v>
      </c>
      <c r="E122" s="1803">
        <v>112633</v>
      </c>
      <c r="F122" s="1802" t="s">
        <v>1897</v>
      </c>
      <c r="G122" s="1802" t="s">
        <v>1891</v>
      </c>
      <c r="H122" s="1802" t="s">
        <v>1891</v>
      </c>
      <c r="I122" s="1803" t="s">
        <v>1479</v>
      </c>
      <c r="J122" s="1802">
        <v>1008</v>
      </c>
      <c r="K122" s="1802">
        <v>0</v>
      </c>
      <c r="L122" s="1802">
        <v>24</v>
      </c>
      <c r="M122" s="1835">
        <f t="shared" si="54"/>
        <v>42</v>
      </c>
      <c r="N122" s="1842">
        <v>45082</v>
      </c>
      <c r="O122" s="1843" t="s">
        <v>1898</v>
      </c>
      <c r="P122" s="1843"/>
      <c r="Q122" s="1843" t="s">
        <v>1899</v>
      </c>
      <c r="R122" s="1843" t="s">
        <v>1900</v>
      </c>
      <c r="S122" s="1820" t="s">
        <v>1901</v>
      </c>
      <c r="T122" s="1863"/>
      <c r="U122" s="1871" t="s">
        <v>1902</v>
      </c>
      <c r="V122" s="1835" t="s">
        <v>1903</v>
      </c>
      <c r="W122" s="1872" t="s">
        <v>1904</v>
      </c>
      <c r="X122" s="1802" t="s">
        <v>1905</v>
      </c>
      <c r="Y122" s="1901">
        <v>1.5674</v>
      </c>
      <c r="Z122" s="1902">
        <f t="shared" si="55"/>
        <v>1579.9392</v>
      </c>
      <c r="AA122" s="1896"/>
      <c r="AB122" s="1896">
        <v>1008</v>
      </c>
      <c r="AC122" s="1896"/>
      <c r="AD122" s="1896" t="s">
        <v>1499</v>
      </c>
      <c r="AE122" s="1803" t="s">
        <v>63</v>
      </c>
      <c r="AF122" s="1803" t="s">
        <v>38</v>
      </c>
      <c r="AG122" s="1802">
        <f>J122/3</f>
        <v>336</v>
      </c>
      <c r="AH122" s="1802">
        <f>J122/3</f>
        <v>336</v>
      </c>
      <c r="AI122" s="1802">
        <f>J122/3</f>
        <v>336</v>
      </c>
      <c r="AJ122" s="1913"/>
      <c r="AK122" s="1913"/>
      <c r="AL122" s="1913"/>
      <c r="AM122" s="1913"/>
      <c r="AN122" s="1913"/>
      <c r="AO122" s="1933"/>
      <c r="AP122" s="1933">
        <f>J122</f>
        <v>1008</v>
      </c>
      <c r="AQ122" s="1933"/>
      <c r="AR122" s="1835"/>
      <c r="AS122" s="1802"/>
      <c r="AT122" s="1835"/>
      <c r="AU122" s="1835"/>
      <c r="AV122" s="1835"/>
      <c r="AW122" s="1938"/>
      <c r="AX122" s="1938"/>
      <c r="AY122" s="1938"/>
      <c r="AZ122" s="1938"/>
      <c r="BA122" s="1938"/>
      <c r="BB122" s="1938"/>
      <c r="BC122" s="1938"/>
      <c r="BD122" s="1938"/>
      <c r="BE122" s="1938"/>
      <c r="BF122" s="1938"/>
      <c r="BG122" s="1938"/>
      <c r="BH122" s="1938"/>
      <c r="BI122" s="1938"/>
      <c r="BJ122" s="1938"/>
      <c r="BK122" s="1938"/>
      <c r="BL122" s="1938"/>
      <c r="BM122" s="1938"/>
      <c r="BN122" s="1938"/>
      <c r="BO122" s="1938"/>
      <c r="BP122" s="1938"/>
      <c r="BQ122" s="1938"/>
      <c r="BR122" s="1938"/>
      <c r="BS122" s="1938"/>
      <c r="BT122" s="1938"/>
      <c r="BU122" s="1938"/>
      <c r="BV122" s="1938"/>
      <c r="BW122" s="1938"/>
      <c r="BX122" s="1938"/>
      <c r="BY122" s="1938"/>
      <c r="BZ122" s="1938"/>
      <c r="CA122" s="1938"/>
      <c r="CB122" s="1938"/>
      <c r="CC122" s="1938"/>
      <c r="CD122" s="1938"/>
      <c r="CE122" s="1938"/>
      <c r="CF122" s="1938"/>
      <c r="CG122" s="1938"/>
      <c r="CH122" s="1938"/>
      <c r="CI122" s="1938"/>
      <c r="CJ122" s="1938"/>
      <c r="CK122" s="1938"/>
      <c r="CL122" s="1938"/>
      <c r="CM122" s="1938"/>
      <c r="CN122" s="1938"/>
      <c r="CO122" s="1938"/>
      <c r="CP122" s="1938"/>
      <c r="CQ122" s="1938"/>
      <c r="CR122" s="1938"/>
      <c r="CS122" s="1938"/>
      <c r="CT122" s="1938"/>
      <c r="CU122" s="1938"/>
      <c r="CV122" s="1938"/>
      <c r="CW122" s="1938"/>
      <c r="CX122" s="1938"/>
      <c r="CY122" s="1938"/>
      <c r="CZ122" s="1938"/>
      <c r="DA122" s="1938"/>
      <c r="DB122" s="1938"/>
      <c r="DC122" s="1938"/>
      <c r="DD122" s="1938"/>
      <c r="DE122" s="1938"/>
      <c r="DF122" s="1938"/>
      <c r="DG122" s="1938"/>
      <c r="DH122" s="1938"/>
      <c r="DI122" s="1938"/>
      <c r="DJ122" s="1938"/>
      <c r="DK122" s="1938"/>
      <c r="DL122" s="1938"/>
      <c r="DM122" s="1938"/>
      <c r="DN122" s="1938"/>
      <c r="DO122" s="1938"/>
      <c r="DP122" s="1938"/>
      <c r="DQ122" s="1938"/>
      <c r="DR122" s="1938"/>
      <c r="DS122" s="1938"/>
      <c r="DT122" s="1938"/>
      <c r="DU122" s="1938"/>
      <c r="DV122" s="1938"/>
      <c r="DW122" s="1938"/>
      <c r="DX122" s="1943"/>
      <c r="DY122" s="1943"/>
      <c r="DZ122" s="1943"/>
      <c r="EA122" s="1943"/>
      <c r="EB122" s="1943"/>
      <c r="EC122" s="1943"/>
      <c r="ED122" s="1943"/>
      <c r="EE122" s="1943"/>
      <c r="EF122" s="1943"/>
      <c r="EG122" s="1943"/>
      <c r="EH122" s="1943"/>
      <c r="EI122" s="1943"/>
      <c r="EJ122" s="1943"/>
      <c r="EK122" s="1943"/>
      <c r="EL122" s="1943"/>
      <c r="EM122" s="1943"/>
      <c r="EN122" s="1943"/>
      <c r="EO122" s="1943"/>
      <c r="EP122" s="1943"/>
      <c r="EQ122" s="1943"/>
      <c r="ER122" s="1943"/>
      <c r="ES122" s="1943"/>
      <c r="ET122" s="1943"/>
      <c r="EU122" s="1943"/>
      <c r="EV122" s="1943"/>
      <c r="EW122" s="1943"/>
      <c r="EX122" s="1943"/>
      <c r="EY122" s="1943"/>
      <c r="EZ122" s="1943"/>
      <c r="FA122" s="1943"/>
      <c r="FB122" s="1943"/>
      <c r="FC122" s="1943"/>
      <c r="FD122" s="1943"/>
      <c r="FE122" s="1943"/>
      <c r="FF122" s="1943"/>
      <c r="FG122" s="1943"/>
      <c r="FH122" s="1943"/>
      <c r="FI122" s="1943"/>
      <c r="FJ122" s="1943"/>
      <c r="FK122" s="1943"/>
      <c r="FL122" s="1943"/>
      <c r="FM122" s="1943"/>
      <c r="FN122" s="1943"/>
      <c r="FO122" s="1943"/>
      <c r="FP122" s="1943"/>
      <c r="FQ122" s="1943"/>
      <c r="FR122" s="1943"/>
      <c r="FS122" s="1943"/>
      <c r="FT122" s="1943"/>
      <c r="FU122" s="1943"/>
      <c r="FV122" s="1943"/>
      <c r="FW122" s="1943"/>
      <c r="FX122" s="1943"/>
      <c r="FY122" s="1943"/>
      <c r="FZ122" s="1943"/>
      <c r="GA122" s="1943"/>
    </row>
    <row r="123" s="1662" customFormat="1" ht="36" hidden="1" customHeight="1" spans="1:183">
      <c r="A123" s="1801">
        <v>45054</v>
      </c>
      <c r="B123" s="1803" t="s">
        <v>209</v>
      </c>
      <c r="C123" s="1803" t="s">
        <v>91</v>
      </c>
      <c r="D123" s="1802">
        <v>4500102054</v>
      </c>
      <c r="E123" s="1803" t="s">
        <v>1906</v>
      </c>
      <c r="F123" s="1802" t="s">
        <v>1907</v>
      </c>
      <c r="G123" s="1802" t="s">
        <v>1908</v>
      </c>
      <c r="H123" s="1802" t="s">
        <v>1908</v>
      </c>
      <c r="I123" s="1803" t="s">
        <v>1491</v>
      </c>
      <c r="J123" s="1802">
        <v>900</v>
      </c>
      <c r="K123" s="1802">
        <v>0</v>
      </c>
      <c r="L123" s="1802">
        <v>18</v>
      </c>
      <c r="M123" s="1844">
        <f t="shared" si="54"/>
        <v>50</v>
      </c>
      <c r="N123" s="1842">
        <v>45098</v>
      </c>
      <c r="O123" s="1843" t="s">
        <v>1898</v>
      </c>
      <c r="P123" s="1843"/>
      <c r="Q123" s="1843"/>
      <c r="R123" s="1843" t="s">
        <v>1909</v>
      </c>
      <c r="S123" s="1843" t="s">
        <v>1910</v>
      </c>
      <c r="T123" s="1858" t="s">
        <v>1911</v>
      </c>
      <c r="U123" s="1820" t="s">
        <v>1912</v>
      </c>
      <c r="V123" s="1835" t="s">
        <v>1913</v>
      </c>
      <c r="W123" s="1872" t="s">
        <v>1914</v>
      </c>
      <c r="X123" s="1802" t="s">
        <v>975</v>
      </c>
      <c r="Y123" s="1901">
        <v>3.5711</v>
      </c>
      <c r="Z123" s="1902">
        <f t="shared" si="55"/>
        <v>3213.99</v>
      </c>
      <c r="AA123" s="1896"/>
      <c r="AB123" s="1896"/>
      <c r="AC123" s="1896"/>
      <c r="AD123" s="1896"/>
      <c r="AE123" s="1803"/>
      <c r="AF123" s="1803"/>
      <c r="AG123" s="1802">
        <f>J123</f>
        <v>900</v>
      </c>
      <c r="AH123" s="1802">
        <f>J123</f>
        <v>900</v>
      </c>
      <c r="AI123" s="1802">
        <f>J123</f>
        <v>900</v>
      </c>
      <c r="AJ123" s="1913"/>
      <c r="AK123" s="1913"/>
      <c r="AL123" s="1913"/>
      <c r="AM123" s="1913"/>
      <c r="AN123" s="1913"/>
      <c r="AO123" s="1933"/>
      <c r="AP123" s="1933"/>
      <c r="AQ123" s="1933"/>
      <c r="AR123" s="1835"/>
      <c r="AS123" s="1802"/>
      <c r="AT123" s="1835">
        <f>J123</f>
        <v>900</v>
      </c>
      <c r="AU123" s="1835"/>
      <c r="AV123" s="1835">
        <f>K123</f>
        <v>0</v>
      </c>
      <c r="AW123" s="1938"/>
      <c r="AX123" s="1938"/>
      <c r="AY123" s="1938"/>
      <c r="AZ123" s="1938"/>
      <c r="BA123" s="1938"/>
      <c r="BB123" s="1938"/>
      <c r="BC123" s="1938"/>
      <c r="BD123" s="1938"/>
      <c r="BE123" s="1938"/>
      <c r="BF123" s="1938"/>
      <c r="BG123" s="1938"/>
      <c r="BH123" s="1938"/>
      <c r="BI123" s="1938"/>
      <c r="BJ123" s="1938"/>
      <c r="BK123" s="1938"/>
      <c r="BL123" s="1938"/>
      <c r="BM123" s="1938"/>
      <c r="BN123" s="1938"/>
      <c r="BO123" s="1938"/>
      <c r="BP123" s="1938"/>
      <c r="BQ123" s="1938"/>
      <c r="BR123" s="1938"/>
      <c r="BS123" s="1938"/>
      <c r="BT123" s="1938"/>
      <c r="BU123" s="1938"/>
      <c r="BV123" s="1938"/>
      <c r="BW123" s="1938"/>
      <c r="BX123" s="1938"/>
      <c r="BY123" s="1938"/>
      <c r="BZ123" s="1938"/>
      <c r="CA123" s="1938"/>
      <c r="CB123" s="1938"/>
      <c r="CC123" s="1938"/>
      <c r="CD123" s="1938"/>
      <c r="CE123" s="1938"/>
      <c r="CF123" s="1938"/>
      <c r="CG123" s="1938"/>
      <c r="CH123" s="1938"/>
      <c r="CI123" s="1938"/>
      <c r="CJ123" s="1938"/>
      <c r="CK123" s="1938"/>
      <c r="CL123" s="1938"/>
      <c r="CM123" s="1938"/>
      <c r="CN123" s="1938"/>
      <c r="CO123" s="1938"/>
      <c r="CP123" s="1938"/>
      <c r="CQ123" s="1938"/>
      <c r="CR123" s="1938"/>
      <c r="CS123" s="1938"/>
      <c r="CT123" s="1938"/>
      <c r="CU123" s="1938"/>
      <c r="CV123" s="1938"/>
      <c r="CW123" s="1938"/>
      <c r="CX123" s="1938"/>
      <c r="CY123" s="1938"/>
      <c r="CZ123" s="1938"/>
      <c r="DA123" s="1938"/>
      <c r="DB123" s="1938"/>
      <c r="DC123" s="1938"/>
      <c r="DD123" s="1938"/>
      <c r="DE123" s="1938"/>
      <c r="DF123" s="1938"/>
      <c r="DG123" s="1938"/>
      <c r="DH123" s="1938"/>
      <c r="DI123" s="1938"/>
      <c r="DJ123" s="1938"/>
      <c r="DK123" s="1938"/>
      <c r="DL123" s="1938"/>
      <c r="DM123" s="1938"/>
      <c r="DN123" s="1938"/>
      <c r="DO123" s="1938"/>
      <c r="DP123" s="1938"/>
      <c r="DQ123" s="1938"/>
      <c r="DR123" s="1938"/>
      <c r="DS123" s="1938"/>
      <c r="DT123" s="1938"/>
      <c r="DU123" s="1938"/>
      <c r="DV123" s="1938"/>
      <c r="DW123" s="1938"/>
      <c r="DX123" s="1943"/>
      <c r="DY123" s="1943"/>
      <c r="DZ123" s="1943"/>
      <c r="EA123" s="1943"/>
      <c r="EB123" s="1943"/>
      <c r="EC123" s="1943"/>
      <c r="ED123" s="1943"/>
      <c r="EE123" s="1943"/>
      <c r="EF123" s="1943"/>
      <c r="EG123" s="1943"/>
      <c r="EH123" s="1943"/>
      <c r="EI123" s="1943"/>
      <c r="EJ123" s="1943"/>
      <c r="EK123" s="1943"/>
      <c r="EL123" s="1943"/>
      <c r="EM123" s="1943"/>
      <c r="EN123" s="1943"/>
      <c r="EO123" s="1943"/>
      <c r="EP123" s="1943"/>
      <c r="EQ123" s="1943"/>
      <c r="ER123" s="1943"/>
      <c r="ES123" s="1943"/>
      <c r="ET123" s="1943"/>
      <c r="EU123" s="1943"/>
      <c r="EV123" s="1943"/>
      <c r="EW123" s="1943"/>
      <c r="EX123" s="1943"/>
      <c r="EY123" s="1943"/>
      <c r="EZ123" s="1943"/>
      <c r="FA123" s="1943"/>
      <c r="FB123" s="1943"/>
      <c r="FC123" s="1943"/>
      <c r="FD123" s="1943"/>
      <c r="FE123" s="1943"/>
      <c r="FF123" s="1943"/>
      <c r="FG123" s="1943"/>
      <c r="FH123" s="1943"/>
      <c r="FI123" s="1943"/>
      <c r="FJ123" s="1943"/>
      <c r="FK123" s="1943"/>
      <c r="FL123" s="1943"/>
      <c r="FM123" s="1943"/>
      <c r="FN123" s="1943"/>
      <c r="FO123" s="1943"/>
      <c r="FP123" s="1943"/>
      <c r="FQ123" s="1943"/>
      <c r="FR123" s="1943"/>
      <c r="FS123" s="1943"/>
      <c r="FT123" s="1943"/>
      <c r="FU123" s="1943"/>
      <c r="FV123" s="1943"/>
      <c r="FW123" s="1943"/>
      <c r="FX123" s="1943"/>
      <c r="FY123" s="1943"/>
      <c r="FZ123" s="1943"/>
      <c r="GA123" s="1943"/>
    </row>
    <row r="124" s="1662" customFormat="1" ht="36" hidden="1" customHeight="1" spans="1:183">
      <c r="A124" s="1810">
        <v>45022</v>
      </c>
      <c r="B124" s="1811" t="s">
        <v>1915</v>
      </c>
      <c r="C124" s="1812" t="s">
        <v>91</v>
      </c>
      <c r="D124" s="1813">
        <v>4500099360</v>
      </c>
      <c r="E124" s="1814" t="s">
        <v>1916</v>
      </c>
      <c r="F124" s="1813" t="s">
        <v>1917</v>
      </c>
      <c r="G124" s="1815" t="s">
        <v>1918</v>
      </c>
      <c r="H124" s="1802" t="s">
        <v>1891</v>
      </c>
      <c r="I124" s="1803" t="s">
        <v>1479</v>
      </c>
      <c r="J124" s="1802">
        <v>1296</v>
      </c>
      <c r="K124" s="1802">
        <v>0</v>
      </c>
      <c r="L124" s="1802">
        <v>24</v>
      </c>
      <c r="M124" s="1835">
        <f t="shared" si="54"/>
        <v>54</v>
      </c>
      <c r="N124" s="1842">
        <v>45099</v>
      </c>
      <c r="O124" s="1843" t="s">
        <v>1898</v>
      </c>
      <c r="P124" s="1843"/>
      <c r="Q124" s="1843"/>
      <c r="R124" s="1843"/>
      <c r="S124" s="1820" t="s">
        <v>734</v>
      </c>
      <c r="T124" s="1863" t="s">
        <v>1893</v>
      </c>
      <c r="U124" s="1820" t="s">
        <v>58</v>
      </c>
      <c r="V124" s="1835" t="s">
        <v>1919</v>
      </c>
      <c r="W124" s="1864" t="s">
        <v>1920</v>
      </c>
      <c r="X124" s="1864" t="s">
        <v>1921</v>
      </c>
      <c r="Y124" s="1901">
        <v>1.5674</v>
      </c>
      <c r="Z124" s="1902">
        <f t="shared" si="55"/>
        <v>2031.3504</v>
      </c>
      <c r="AA124" s="1896"/>
      <c r="AB124" s="1896"/>
      <c r="AC124" s="1896"/>
      <c r="AD124" s="1896"/>
      <c r="AE124" s="1803" t="s">
        <v>63</v>
      </c>
      <c r="AF124" s="1803" t="s">
        <v>38</v>
      </c>
      <c r="AG124" s="1802">
        <f t="shared" ref="AG124:AG135" si="56">J124/3</f>
        <v>432</v>
      </c>
      <c r="AH124" s="1802">
        <f t="shared" ref="AH124:AH135" si="57">J124/3</f>
        <v>432</v>
      </c>
      <c r="AI124" s="1802">
        <f t="shared" ref="AI124:AI135" si="58">J124/3</f>
        <v>432</v>
      </c>
      <c r="AJ124" s="1913"/>
      <c r="AK124" s="1913"/>
      <c r="AL124" s="1913"/>
      <c r="AM124" s="1913"/>
      <c r="AN124" s="1913"/>
      <c r="AO124" s="1933"/>
      <c r="AP124" s="1933"/>
      <c r="AQ124" s="1933"/>
      <c r="AR124" s="1835"/>
      <c r="AS124" s="1802"/>
      <c r="AT124" s="1835"/>
      <c r="AU124" s="1835"/>
      <c r="AV124" s="1835"/>
      <c r="AW124" s="1938"/>
      <c r="AX124" s="1938"/>
      <c r="AY124" s="1938"/>
      <c r="AZ124" s="1938"/>
      <c r="BA124" s="1938"/>
      <c r="BB124" s="1938"/>
      <c r="BC124" s="1938"/>
      <c r="BD124" s="1938"/>
      <c r="BE124" s="1938"/>
      <c r="BF124" s="1938"/>
      <c r="BG124" s="1938"/>
      <c r="BH124" s="1938"/>
      <c r="BI124" s="1938"/>
      <c r="BJ124" s="1938"/>
      <c r="BK124" s="1938"/>
      <c r="BL124" s="1938"/>
      <c r="BM124" s="1938"/>
      <c r="BN124" s="1938"/>
      <c r="BO124" s="1938"/>
      <c r="BP124" s="1938"/>
      <c r="BQ124" s="1938"/>
      <c r="BR124" s="1938"/>
      <c r="BS124" s="1938"/>
      <c r="BT124" s="1938"/>
      <c r="BU124" s="1938"/>
      <c r="BV124" s="1938"/>
      <c r="BW124" s="1938"/>
      <c r="BX124" s="1938"/>
      <c r="BY124" s="1938"/>
      <c r="BZ124" s="1938"/>
      <c r="CA124" s="1938"/>
      <c r="CB124" s="1938"/>
      <c r="CC124" s="1938"/>
      <c r="CD124" s="1938"/>
      <c r="CE124" s="1938"/>
      <c r="CF124" s="1938"/>
      <c r="CG124" s="1938"/>
      <c r="CH124" s="1938"/>
      <c r="CI124" s="1938"/>
      <c r="CJ124" s="1938"/>
      <c r="CK124" s="1938"/>
      <c r="CL124" s="1938"/>
      <c r="CM124" s="1938"/>
      <c r="CN124" s="1938"/>
      <c r="CO124" s="1938"/>
      <c r="CP124" s="1938"/>
      <c r="CQ124" s="1938"/>
      <c r="CR124" s="1938"/>
      <c r="CS124" s="1938"/>
      <c r="CT124" s="1938"/>
      <c r="CU124" s="1938"/>
      <c r="CV124" s="1938"/>
      <c r="CW124" s="1938"/>
      <c r="CX124" s="1938"/>
      <c r="CY124" s="1938"/>
      <c r="CZ124" s="1938"/>
      <c r="DA124" s="1938"/>
      <c r="DB124" s="1938"/>
      <c r="DC124" s="1938"/>
      <c r="DD124" s="1938"/>
      <c r="DE124" s="1938"/>
      <c r="DF124" s="1938"/>
      <c r="DG124" s="1938"/>
      <c r="DH124" s="1938"/>
      <c r="DI124" s="1938"/>
      <c r="DJ124" s="1938"/>
      <c r="DK124" s="1938"/>
      <c r="DL124" s="1938"/>
      <c r="DM124" s="1938"/>
      <c r="DN124" s="1938"/>
      <c r="DO124" s="1938"/>
      <c r="DP124" s="1938"/>
      <c r="DQ124" s="1938"/>
      <c r="DR124" s="1938"/>
      <c r="DS124" s="1938"/>
      <c r="DT124" s="1938"/>
      <c r="DU124" s="1938"/>
      <c r="DV124" s="1938"/>
      <c r="DW124" s="1938"/>
      <c r="DX124" s="1943"/>
      <c r="DY124" s="1943"/>
      <c r="DZ124" s="1943"/>
      <c r="EA124" s="1943"/>
      <c r="EB124" s="1943"/>
      <c r="EC124" s="1943"/>
      <c r="ED124" s="1943"/>
      <c r="EE124" s="1943"/>
      <c r="EF124" s="1943"/>
      <c r="EG124" s="1943"/>
      <c r="EH124" s="1943"/>
      <c r="EI124" s="1943"/>
      <c r="EJ124" s="1943"/>
      <c r="EK124" s="1943"/>
      <c r="EL124" s="1943"/>
      <c r="EM124" s="1943"/>
      <c r="EN124" s="1943"/>
      <c r="EO124" s="1943"/>
      <c r="EP124" s="1943"/>
      <c r="EQ124" s="1943"/>
      <c r="ER124" s="1943"/>
      <c r="ES124" s="1943"/>
      <c r="ET124" s="1943"/>
      <c r="EU124" s="1943"/>
      <c r="EV124" s="1943"/>
      <c r="EW124" s="1943"/>
      <c r="EX124" s="1943"/>
      <c r="EY124" s="1943"/>
      <c r="EZ124" s="1943"/>
      <c r="FA124" s="1943"/>
      <c r="FB124" s="1943"/>
      <c r="FC124" s="1943"/>
      <c r="FD124" s="1943"/>
      <c r="FE124" s="1943"/>
      <c r="FF124" s="1943"/>
      <c r="FG124" s="1943"/>
      <c r="FH124" s="1943"/>
      <c r="FI124" s="1943"/>
      <c r="FJ124" s="1943"/>
      <c r="FK124" s="1943"/>
      <c r="FL124" s="1943"/>
      <c r="FM124" s="1943"/>
      <c r="FN124" s="1943"/>
      <c r="FO124" s="1943"/>
      <c r="FP124" s="1943"/>
      <c r="FQ124" s="1943"/>
      <c r="FR124" s="1943"/>
      <c r="FS124" s="1943"/>
      <c r="FT124" s="1943"/>
      <c r="FU124" s="1943"/>
      <c r="FV124" s="1943"/>
      <c r="FW124" s="1943"/>
      <c r="FX124" s="1943"/>
      <c r="FY124" s="1943"/>
      <c r="FZ124" s="1943"/>
      <c r="GA124" s="1943"/>
    </row>
    <row r="125" s="1662" customFormat="1" ht="36" hidden="1" customHeight="1" spans="1:183">
      <c r="A125" s="1810">
        <v>45022</v>
      </c>
      <c r="B125" s="1811" t="s">
        <v>1915</v>
      </c>
      <c r="C125" s="1812" t="s">
        <v>91</v>
      </c>
      <c r="D125" s="1816">
        <v>4500098838</v>
      </c>
      <c r="E125" s="1814" t="s">
        <v>1922</v>
      </c>
      <c r="F125" s="1813" t="s">
        <v>1923</v>
      </c>
      <c r="G125" s="1815" t="s">
        <v>1918</v>
      </c>
      <c r="H125" s="1802" t="s">
        <v>1891</v>
      </c>
      <c r="I125" s="1803" t="s">
        <v>1479</v>
      </c>
      <c r="J125" s="1802">
        <v>216</v>
      </c>
      <c r="K125" s="1802">
        <v>0</v>
      </c>
      <c r="L125" s="1802">
        <v>24</v>
      </c>
      <c r="M125" s="1835">
        <f t="shared" si="54"/>
        <v>9</v>
      </c>
      <c r="N125" s="1842">
        <v>45099</v>
      </c>
      <c r="O125" s="1843" t="s">
        <v>1898</v>
      </c>
      <c r="P125" s="1843"/>
      <c r="Q125" s="1843"/>
      <c r="R125" s="1843"/>
      <c r="S125" s="1820" t="s">
        <v>734</v>
      </c>
      <c r="T125" s="1863" t="s">
        <v>1893</v>
      </c>
      <c r="U125" s="1820" t="s">
        <v>58</v>
      </c>
      <c r="V125" s="1835" t="s">
        <v>1919</v>
      </c>
      <c r="W125" s="1864" t="s">
        <v>1920</v>
      </c>
      <c r="X125" s="1864" t="s">
        <v>1921</v>
      </c>
      <c r="Y125" s="1901">
        <v>1.5731</v>
      </c>
      <c r="Z125" s="1902">
        <f t="shared" si="55"/>
        <v>339.7896</v>
      </c>
      <c r="AA125" s="1896"/>
      <c r="AB125" s="1896"/>
      <c r="AC125" s="1896"/>
      <c r="AD125" s="1896"/>
      <c r="AE125" s="1803" t="s">
        <v>63</v>
      </c>
      <c r="AF125" s="1803" t="s">
        <v>38</v>
      </c>
      <c r="AG125" s="1802">
        <f t="shared" si="56"/>
        <v>72</v>
      </c>
      <c r="AH125" s="1802">
        <f t="shared" si="57"/>
        <v>72</v>
      </c>
      <c r="AI125" s="1802">
        <f t="shared" si="58"/>
        <v>72</v>
      </c>
      <c r="AJ125" s="1913"/>
      <c r="AK125" s="1913"/>
      <c r="AL125" s="1913"/>
      <c r="AM125" s="1913"/>
      <c r="AN125" s="1913"/>
      <c r="AO125" s="1933"/>
      <c r="AP125" s="1933"/>
      <c r="AQ125" s="1933"/>
      <c r="AR125" s="1835"/>
      <c r="AS125" s="1802"/>
      <c r="AT125" s="1835"/>
      <c r="AU125" s="1835"/>
      <c r="AV125" s="1835"/>
      <c r="AW125" s="1938"/>
      <c r="AX125" s="1938"/>
      <c r="AY125" s="1938"/>
      <c r="AZ125" s="1938"/>
      <c r="BA125" s="1938"/>
      <c r="BB125" s="1938"/>
      <c r="BC125" s="1938"/>
      <c r="BD125" s="1938"/>
      <c r="BE125" s="1938"/>
      <c r="BF125" s="1938"/>
      <c r="BG125" s="1938"/>
      <c r="BH125" s="1938"/>
      <c r="BI125" s="1938"/>
      <c r="BJ125" s="1938"/>
      <c r="BK125" s="1938"/>
      <c r="BL125" s="1938"/>
      <c r="BM125" s="1938"/>
      <c r="BN125" s="1938"/>
      <c r="BO125" s="1938"/>
      <c r="BP125" s="1938"/>
      <c r="BQ125" s="1938"/>
      <c r="BR125" s="1938"/>
      <c r="BS125" s="1938"/>
      <c r="BT125" s="1938"/>
      <c r="BU125" s="1938"/>
      <c r="BV125" s="1938"/>
      <c r="BW125" s="1938"/>
      <c r="BX125" s="1938"/>
      <c r="BY125" s="1938"/>
      <c r="BZ125" s="1938"/>
      <c r="CA125" s="1938"/>
      <c r="CB125" s="1938"/>
      <c r="CC125" s="1938"/>
      <c r="CD125" s="1938"/>
      <c r="CE125" s="1938"/>
      <c r="CF125" s="1938"/>
      <c r="CG125" s="1938"/>
      <c r="CH125" s="1938"/>
      <c r="CI125" s="1938"/>
      <c r="CJ125" s="1938"/>
      <c r="CK125" s="1938"/>
      <c r="CL125" s="1938"/>
      <c r="CM125" s="1938"/>
      <c r="CN125" s="1938"/>
      <c r="CO125" s="1938"/>
      <c r="CP125" s="1938"/>
      <c r="CQ125" s="1938"/>
      <c r="CR125" s="1938"/>
      <c r="CS125" s="1938"/>
      <c r="CT125" s="1938"/>
      <c r="CU125" s="1938"/>
      <c r="CV125" s="1938"/>
      <c r="CW125" s="1938"/>
      <c r="CX125" s="1938"/>
      <c r="CY125" s="1938"/>
      <c r="CZ125" s="1938"/>
      <c r="DA125" s="1938"/>
      <c r="DB125" s="1938"/>
      <c r="DC125" s="1938"/>
      <c r="DD125" s="1938"/>
      <c r="DE125" s="1938"/>
      <c r="DF125" s="1938"/>
      <c r="DG125" s="1938"/>
      <c r="DH125" s="1938"/>
      <c r="DI125" s="1938"/>
      <c r="DJ125" s="1938"/>
      <c r="DK125" s="1938"/>
      <c r="DL125" s="1938"/>
      <c r="DM125" s="1938"/>
      <c r="DN125" s="1938"/>
      <c r="DO125" s="1938"/>
      <c r="DP125" s="1938"/>
      <c r="DQ125" s="1938"/>
      <c r="DR125" s="1938"/>
      <c r="DS125" s="1938"/>
      <c r="DT125" s="1938"/>
      <c r="DU125" s="1938"/>
      <c r="DV125" s="1938"/>
      <c r="DW125" s="1938"/>
      <c r="DX125" s="1943"/>
      <c r="DY125" s="1943"/>
      <c r="DZ125" s="1943"/>
      <c r="EA125" s="1943"/>
      <c r="EB125" s="1943"/>
      <c r="EC125" s="1943"/>
      <c r="ED125" s="1943"/>
      <c r="EE125" s="1943"/>
      <c r="EF125" s="1943"/>
      <c r="EG125" s="1943"/>
      <c r="EH125" s="1943"/>
      <c r="EI125" s="1943"/>
      <c r="EJ125" s="1943"/>
      <c r="EK125" s="1943"/>
      <c r="EL125" s="1943"/>
      <c r="EM125" s="1943"/>
      <c r="EN125" s="1943"/>
      <c r="EO125" s="1943"/>
      <c r="EP125" s="1943"/>
      <c r="EQ125" s="1943"/>
      <c r="ER125" s="1943"/>
      <c r="ES125" s="1943"/>
      <c r="ET125" s="1943"/>
      <c r="EU125" s="1943"/>
      <c r="EV125" s="1943"/>
      <c r="EW125" s="1943"/>
      <c r="EX125" s="1943"/>
      <c r="EY125" s="1943"/>
      <c r="EZ125" s="1943"/>
      <c r="FA125" s="1943"/>
      <c r="FB125" s="1943"/>
      <c r="FC125" s="1943"/>
      <c r="FD125" s="1943"/>
      <c r="FE125" s="1943"/>
      <c r="FF125" s="1943"/>
      <c r="FG125" s="1943"/>
      <c r="FH125" s="1943"/>
      <c r="FI125" s="1943"/>
      <c r="FJ125" s="1943"/>
      <c r="FK125" s="1943"/>
      <c r="FL125" s="1943"/>
      <c r="FM125" s="1943"/>
      <c r="FN125" s="1943"/>
      <c r="FO125" s="1943"/>
      <c r="FP125" s="1943"/>
      <c r="FQ125" s="1943"/>
      <c r="FR125" s="1943"/>
      <c r="FS125" s="1943"/>
      <c r="FT125" s="1943"/>
      <c r="FU125" s="1943"/>
      <c r="FV125" s="1943"/>
      <c r="FW125" s="1943"/>
      <c r="FX125" s="1943"/>
      <c r="FY125" s="1943"/>
      <c r="FZ125" s="1943"/>
      <c r="GA125" s="1943"/>
    </row>
    <row r="126" s="1662" customFormat="1" ht="36" hidden="1" customHeight="1" spans="1:183">
      <c r="A126" s="1810">
        <v>45022</v>
      </c>
      <c r="B126" s="1811" t="s">
        <v>1915</v>
      </c>
      <c r="C126" s="1812" t="s">
        <v>91</v>
      </c>
      <c r="D126" s="1813">
        <v>4500098847</v>
      </c>
      <c r="E126" s="1814" t="s">
        <v>1924</v>
      </c>
      <c r="F126" s="1813" t="s">
        <v>1925</v>
      </c>
      <c r="G126" s="1815" t="s">
        <v>1918</v>
      </c>
      <c r="H126" s="1802" t="s">
        <v>1891</v>
      </c>
      <c r="I126" s="1803" t="s">
        <v>1479</v>
      </c>
      <c r="J126" s="1802">
        <v>144</v>
      </c>
      <c r="K126" s="1802">
        <v>0</v>
      </c>
      <c r="L126" s="1802">
        <v>24</v>
      </c>
      <c r="M126" s="1835">
        <f t="shared" si="54"/>
        <v>6</v>
      </c>
      <c r="N126" s="1842">
        <v>45099</v>
      </c>
      <c r="O126" s="1843" t="s">
        <v>1898</v>
      </c>
      <c r="P126" s="1843"/>
      <c r="Q126" s="1843"/>
      <c r="R126" s="1843"/>
      <c r="S126" s="1820" t="s">
        <v>734</v>
      </c>
      <c r="T126" s="1863" t="s">
        <v>1893</v>
      </c>
      <c r="U126" s="1820" t="s">
        <v>58</v>
      </c>
      <c r="V126" s="1835" t="s">
        <v>1919</v>
      </c>
      <c r="W126" s="1864" t="s">
        <v>1920</v>
      </c>
      <c r="X126" s="1864" t="s">
        <v>1921</v>
      </c>
      <c r="Y126" s="1901">
        <v>1.5731</v>
      </c>
      <c r="Z126" s="1902">
        <f t="shared" si="55"/>
        <v>226.5264</v>
      </c>
      <c r="AA126" s="1896"/>
      <c r="AB126" s="1896"/>
      <c r="AC126" s="1896"/>
      <c r="AD126" s="1896"/>
      <c r="AE126" s="1803" t="s">
        <v>63</v>
      </c>
      <c r="AF126" s="1803" t="s">
        <v>38</v>
      </c>
      <c r="AG126" s="1802">
        <f t="shared" si="56"/>
        <v>48</v>
      </c>
      <c r="AH126" s="1802">
        <f t="shared" si="57"/>
        <v>48</v>
      </c>
      <c r="AI126" s="1802">
        <f t="shared" si="58"/>
        <v>48</v>
      </c>
      <c r="AJ126" s="1913"/>
      <c r="AK126" s="1913"/>
      <c r="AL126" s="1913"/>
      <c r="AM126" s="1913"/>
      <c r="AN126" s="1913"/>
      <c r="AO126" s="1933"/>
      <c r="AP126" s="1933"/>
      <c r="AQ126" s="1933"/>
      <c r="AR126" s="1835"/>
      <c r="AS126" s="1802"/>
      <c r="AT126" s="1835"/>
      <c r="AU126" s="1835"/>
      <c r="AV126" s="1835"/>
      <c r="AW126" s="1938"/>
      <c r="AX126" s="1938"/>
      <c r="AY126" s="1938"/>
      <c r="AZ126" s="1938"/>
      <c r="BA126" s="1938"/>
      <c r="BB126" s="1938"/>
      <c r="BC126" s="1938"/>
      <c r="BD126" s="1938"/>
      <c r="BE126" s="1938"/>
      <c r="BF126" s="1938"/>
      <c r="BG126" s="1938"/>
      <c r="BH126" s="1938"/>
      <c r="BI126" s="1938"/>
      <c r="BJ126" s="1938"/>
      <c r="BK126" s="1938"/>
      <c r="BL126" s="1938"/>
      <c r="BM126" s="1938"/>
      <c r="BN126" s="1938"/>
      <c r="BO126" s="1938"/>
      <c r="BP126" s="1938"/>
      <c r="BQ126" s="1938"/>
      <c r="BR126" s="1938"/>
      <c r="BS126" s="1938"/>
      <c r="BT126" s="1938"/>
      <c r="BU126" s="1938"/>
      <c r="BV126" s="1938"/>
      <c r="BW126" s="1938"/>
      <c r="BX126" s="1938"/>
      <c r="BY126" s="1938"/>
      <c r="BZ126" s="1938"/>
      <c r="CA126" s="1938"/>
      <c r="CB126" s="1938"/>
      <c r="CC126" s="1938"/>
      <c r="CD126" s="1938"/>
      <c r="CE126" s="1938"/>
      <c r="CF126" s="1938"/>
      <c r="CG126" s="1938"/>
      <c r="CH126" s="1938"/>
      <c r="CI126" s="1938"/>
      <c r="CJ126" s="1938"/>
      <c r="CK126" s="1938"/>
      <c r="CL126" s="1938"/>
      <c r="CM126" s="1938"/>
      <c r="CN126" s="1938"/>
      <c r="CO126" s="1938"/>
      <c r="CP126" s="1938"/>
      <c r="CQ126" s="1938"/>
      <c r="CR126" s="1938"/>
      <c r="CS126" s="1938"/>
      <c r="CT126" s="1938"/>
      <c r="CU126" s="1938"/>
      <c r="CV126" s="1938"/>
      <c r="CW126" s="1938"/>
      <c r="CX126" s="1938"/>
      <c r="CY126" s="1938"/>
      <c r="CZ126" s="1938"/>
      <c r="DA126" s="1938"/>
      <c r="DB126" s="1938"/>
      <c r="DC126" s="1938"/>
      <c r="DD126" s="1938"/>
      <c r="DE126" s="1938"/>
      <c r="DF126" s="1938"/>
      <c r="DG126" s="1938"/>
      <c r="DH126" s="1938"/>
      <c r="DI126" s="1938"/>
      <c r="DJ126" s="1938"/>
      <c r="DK126" s="1938"/>
      <c r="DL126" s="1938"/>
      <c r="DM126" s="1938"/>
      <c r="DN126" s="1938"/>
      <c r="DO126" s="1938"/>
      <c r="DP126" s="1938"/>
      <c r="DQ126" s="1938"/>
      <c r="DR126" s="1938"/>
      <c r="DS126" s="1938"/>
      <c r="DT126" s="1938"/>
      <c r="DU126" s="1938"/>
      <c r="DV126" s="1938"/>
      <c r="DW126" s="1938"/>
      <c r="DX126" s="1943"/>
      <c r="DY126" s="1943"/>
      <c r="DZ126" s="1943"/>
      <c r="EA126" s="1943"/>
      <c r="EB126" s="1943"/>
      <c r="EC126" s="1943"/>
      <c r="ED126" s="1943"/>
      <c r="EE126" s="1943"/>
      <c r="EF126" s="1943"/>
      <c r="EG126" s="1943"/>
      <c r="EH126" s="1943"/>
      <c r="EI126" s="1943"/>
      <c r="EJ126" s="1943"/>
      <c r="EK126" s="1943"/>
      <c r="EL126" s="1943"/>
      <c r="EM126" s="1943"/>
      <c r="EN126" s="1943"/>
      <c r="EO126" s="1943"/>
      <c r="EP126" s="1943"/>
      <c r="EQ126" s="1943"/>
      <c r="ER126" s="1943"/>
      <c r="ES126" s="1943"/>
      <c r="ET126" s="1943"/>
      <c r="EU126" s="1943"/>
      <c r="EV126" s="1943"/>
      <c r="EW126" s="1943"/>
      <c r="EX126" s="1943"/>
      <c r="EY126" s="1943"/>
      <c r="EZ126" s="1943"/>
      <c r="FA126" s="1943"/>
      <c r="FB126" s="1943"/>
      <c r="FC126" s="1943"/>
      <c r="FD126" s="1943"/>
      <c r="FE126" s="1943"/>
      <c r="FF126" s="1943"/>
      <c r="FG126" s="1943"/>
      <c r="FH126" s="1943"/>
      <c r="FI126" s="1943"/>
      <c r="FJ126" s="1943"/>
      <c r="FK126" s="1943"/>
      <c r="FL126" s="1943"/>
      <c r="FM126" s="1943"/>
      <c r="FN126" s="1943"/>
      <c r="FO126" s="1943"/>
      <c r="FP126" s="1943"/>
      <c r="FQ126" s="1943"/>
      <c r="FR126" s="1943"/>
      <c r="FS126" s="1943"/>
      <c r="FT126" s="1943"/>
      <c r="FU126" s="1943"/>
      <c r="FV126" s="1943"/>
      <c r="FW126" s="1943"/>
      <c r="FX126" s="1943"/>
      <c r="FY126" s="1943"/>
      <c r="FZ126" s="1943"/>
      <c r="GA126" s="1943"/>
    </row>
    <row r="127" s="1662" customFormat="1" ht="36" hidden="1" customHeight="1" spans="1:183">
      <c r="A127" s="1817">
        <v>45041</v>
      </c>
      <c r="B127" s="1807" t="s">
        <v>1926</v>
      </c>
      <c r="C127" s="1818" t="s">
        <v>1927</v>
      </c>
      <c r="D127" s="1806">
        <v>4500101963</v>
      </c>
      <c r="E127" s="1807">
        <v>20001581</v>
      </c>
      <c r="F127" s="1806" t="s">
        <v>1928</v>
      </c>
      <c r="G127" s="1802" t="s">
        <v>1929</v>
      </c>
      <c r="H127" s="1802" t="s">
        <v>1930</v>
      </c>
      <c r="I127" s="1803" t="s">
        <v>1479</v>
      </c>
      <c r="J127" s="1802">
        <v>504</v>
      </c>
      <c r="K127" s="1802">
        <v>0</v>
      </c>
      <c r="L127" s="1802">
        <v>24</v>
      </c>
      <c r="M127" s="1835">
        <f t="shared" si="54"/>
        <v>21</v>
      </c>
      <c r="N127" s="1842">
        <v>45085</v>
      </c>
      <c r="O127" s="1843" t="s">
        <v>1931</v>
      </c>
      <c r="P127" s="1843"/>
      <c r="Q127" s="1843"/>
      <c r="R127" s="1843" t="s">
        <v>1909</v>
      </c>
      <c r="S127" s="1820" t="s">
        <v>1932</v>
      </c>
      <c r="T127" s="1873" t="s">
        <v>1933</v>
      </c>
      <c r="U127" s="1871" t="s">
        <v>1934</v>
      </c>
      <c r="V127" s="1835" t="s">
        <v>1935</v>
      </c>
      <c r="W127" s="1872" t="s">
        <v>1936</v>
      </c>
      <c r="X127" s="1802" t="s">
        <v>1623</v>
      </c>
      <c r="Y127" s="1901">
        <v>1.516</v>
      </c>
      <c r="Z127" s="1902">
        <f t="shared" si="55"/>
        <v>764.064</v>
      </c>
      <c r="AA127" s="1896"/>
      <c r="AB127" s="1896"/>
      <c r="AC127" s="1896"/>
      <c r="AD127" s="1896" t="s">
        <v>1499</v>
      </c>
      <c r="AE127" s="1803" t="s">
        <v>63</v>
      </c>
      <c r="AF127" s="1803" t="s">
        <v>38</v>
      </c>
      <c r="AG127" s="1802">
        <f t="shared" si="56"/>
        <v>168</v>
      </c>
      <c r="AH127" s="1802">
        <f t="shared" si="57"/>
        <v>168</v>
      </c>
      <c r="AI127" s="1802">
        <f t="shared" si="58"/>
        <v>168</v>
      </c>
      <c r="AJ127" s="1913"/>
      <c r="AK127" s="1913"/>
      <c r="AL127" s="1913"/>
      <c r="AM127" s="1913"/>
      <c r="AN127" s="1913"/>
      <c r="AO127" s="1933"/>
      <c r="AP127" s="1933">
        <f>J127</f>
        <v>504</v>
      </c>
      <c r="AQ127" s="1933"/>
      <c r="AR127" s="1835"/>
      <c r="AS127" s="1802"/>
      <c r="AT127" s="1835"/>
      <c r="AU127" s="1835"/>
      <c r="AV127" s="1835"/>
      <c r="AW127" s="1938"/>
      <c r="AX127" s="1938"/>
      <c r="AY127" s="1938"/>
      <c r="AZ127" s="1938"/>
      <c r="BA127" s="1938"/>
      <c r="BB127" s="1938"/>
      <c r="BC127" s="1938"/>
      <c r="BD127" s="1938"/>
      <c r="BE127" s="1938"/>
      <c r="BF127" s="1938"/>
      <c r="BG127" s="1938"/>
      <c r="BH127" s="1938"/>
      <c r="BI127" s="1938"/>
      <c r="BJ127" s="1938"/>
      <c r="BK127" s="1938"/>
      <c r="BL127" s="1938"/>
      <c r="BM127" s="1938"/>
      <c r="BN127" s="1938"/>
      <c r="BO127" s="1938"/>
      <c r="BP127" s="1938"/>
      <c r="BQ127" s="1938"/>
      <c r="BR127" s="1938"/>
      <c r="BS127" s="1938"/>
      <c r="BT127" s="1938"/>
      <c r="BU127" s="1938"/>
      <c r="BV127" s="1938"/>
      <c r="BW127" s="1938"/>
      <c r="BX127" s="1938"/>
      <c r="BY127" s="1938"/>
      <c r="BZ127" s="1938"/>
      <c r="CA127" s="1938"/>
      <c r="CB127" s="1938"/>
      <c r="CC127" s="1938"/>
      <c r="CD127" s="1938"/>
      <c r="CE127" s="1938"/>
      <c r="CF127" s="1938"/>
      <c r="CG127" s="1938"/>
      <c r="CH127" s="1938"/>
      <c r="CI127" s="1938"/>
      <c r="CJ127" s="1938"/>
      <c r="CK127" s="1938"/>
      <c r="CL127" s="1938"/>
      <c r="CM127" s="1938"/>
      <c r="CN127" s="1938"/>
      <c r="CO127" s="1938"/>
      <c r="CP127" s="1938"/>
      <c r="CQ127" s="1938"/>
      <c r="CR127" s="1938"/>
      <c r="CS127" s="1938"/>
      <c r="CT127" s="1938"/>
      <c r="CU127" s="1938"/>
      <c r="CV127" s="1938"/>
      <c r="CW127" s="1938"/>
      <c r="CX127" s="1938"/>
      <c r="CY127" s="1938"/>
      <c r="CZ127" s="1938"/>
      <c r="DA127" s="1938"/>
      <c r="DB127" s="1938"/>
      <c r="DC127" s="1938"/>
      <c r="DD127" s="1938"/>
      <c r="DE127" s="1938"/>
      <c r="DF127" s="1938"/>
      <c r="DG127" s="1938"/>
      <c r="DH127" s="1938"/>
      <c r="DI127" s="1938"/>
      <c r="DJ127" s="1938"/>
      <c r="DK127" s="1938"/>
      <c r="DL127" s="1938"/>
      <c r="DM127" s="1938"/>
      <c r="DN127" s="1938"/>
      <c r="DO127" s="1938"/>
      <c r="DP127" s="1938"/>
      <c r="DQ127" s="1938"/>
      <c r="DR127" s="1938"/>
      <c r="DS127" s="1938"/>
      <c r="DT127" s="1938"/>
      <c r="DU127" s="1938"/>
      <c r="DV127" s="1938"/>
      <c r="DW127" s="1938"/>
      <c r="DX127" s="1943"/>
      <c r="DY127" s="1943"/>
      <c r="DZ127" s="1943"/>
      <c r="EA127" s="1943"/>
      <c r="EB127" s="1943"/>
      <c r="EC127" s="1943"/>
      <c r="ED127" s="1943"/>
      <c r="EE127" s="1943"/>
      <c r="EF127" s="1943"/>
      <c r="EG127" s="1943"/>
      <c r="EH127" s="1943"/>
      <c r="EI127" s="1943"/>
      <c r="EJ127" s="1943"/>
      <c r="EK127" s="1943"/>
      <c r="EL127" s="1943"/>
      <c r="EM127" s="1943"/>
      <c r="EN127" s="1943"/>
      <c r="EO127" s="1943"/>
      <c r="EP127" s="1943"/>
      <c r="EQ127" s="1943"/>
      <c r="ER127" s="1943"/>
      <c r="ES127" s="1943"/>
      <c r="ET127" s="1943"/>
      <c r="EU127" s="1943"/>
      <c r="EV127" s="1943"/>
      <c r="EW127" s="1943"/>
      <c r="EX127" s="1943"/>
      <c r="EY127" s="1943"/>
      <c r="EZ127" s="1943"/>
      <c r="FA127" s="1943"/>
      <c r="FB127" s="1943"/>
      <c r="FC127" s="1943"/>
      <c r="FD127" s="1943"/>
      <c r="FE127" s="1943"/>
      <c r="FF127" s="1943"/>
      <c r="FG127" s="1943"/>
      <c r="FH127" s="1943"/>
      <c r="FI127" s="1943"/>
      <c r="FJ127" s="1943"/>
      <c r="FK127" s="1943"/>
      <c r="FL127" s="1943"/>
      <c r="FM127" s="1943"/>
      <c r="FN127" s="1943"/>
      <c r="FO127" s="1943"/>
      <c r="FP127" s="1943"/>
      <c r="FQ127" s="1943"/>
      <c r="FR127" s="1943"/>
      <c r="FS127" s="1943"/>
      <c r="FT127" s="1943"/>
      <c r="FU127" s="1943"/>
      <c r="FV127" s="1943"/>
      <c r="FW127" s="1943"/>
      <c r="FX127" s="1943"/>
      <c r="FY127" s="1943"/>
      <c r="FZ127" s="1943"/>
      <c r="GA127" s="1943"/>
    </row>
    <row r="128" s="1662" customFormat="1" ht="36" hidden="1" customHeight="1" spans="1:183">
      <c r="A128" s="1801">
        <v>45020</v>
      </c>
      <c r="B128" s="1806" t="s">
        <v>1937</v>
      </c>
      <c r="C128" s="1807" t="s">
        <v>1938</v>
      </c>
      <c r="D128" s="1806">
        <v>4500099278</v>
      </c>
      <c r="E128" s="1819" t="s">
        <v>1939</v>
      </c>
      <c r="F128" s="1806" t="s">
        <v>1940</v>
      </c>
      <c r="G128" s="1802" t="s">
        <v>1941</v>
      </c>
      <c r="H128" s="1820" t="s">
        <v>1930</v>
      </c>
      <c r="I128" s="1803" t="s">
        <v>1479</v>
      </c>
      <c r="J128" s="1802">
        <v>600</v>
      </c>
      <c r="K128" s="1802">
        <v>0</v>
      </c>
      <c r="L128" s="1802">
        <v>24</v>
      </c>
      <c r="M128" s="1835">
        <f t="shared" si="54"/>
        <v>25</v>
      </c>
      <c r="N128" s="1842">
        <v>45072</v>
      </c>
      <c r="O128" s="1837">
        <v>45068</v>
      </c>
      <c r="P128" s="1843" t="s">
        <v>1942</v>
      </c>
      <c r="Q128" s="1843" t="s">
        <v>1480</v>
      </c>
      <c r="R128" s="1843" t="s">
        <v>1943</v>
      </c>
      <c r="S128" s="1843" t="s">
        <v>1944</v>
      </c>
      <c r="T128" s="1873" t="s">
        <v>1945</v>
      </c>
      <c r="U128" s="1863" t="s">
        <v>1946</v>
      </c>
      <c r="V128" s="1835" t="s">
        <v>1947</v>
      </c>
      <c r="W128" s="1872" t="s">
        <v>1948</v>
      </c>
      <c r="X128" s="1807" t="s">
        <v>690</v>
      </c>
      <c r="Y128" s="1901">
        <v>1.516</v>
      </c>
      <c r="Z128" s="1902">
        <f t="shared" si="55"/>
        <v>909.6</v>
      </c>
      <c r="AA128" s="1896"/>
      <c r="AB128" s="1896">
        <v>600</v>
      </c>
      <c r="AC128" s="1896"/>
      <c r="AD128" s="1896" t="s">
        <v>1499</v>
      </c>
      <c r="AE128" s="1803" t="s">
        <v>63</v>
      </c>
      <c r="AF128" s="1803" t="s">
        <v>38</v>
      </c>
      <c r="AG128" s="1802">
        <f t="shared" si="56"/>
        <v>200</v>
      </c>
      <c r="AH128" s="1802">
        <f t="shared" si="57"/>
        <v>200</v>
      </c>
      <c r="AI128" s="1802">
        <f t="shared" si="58"/>
        <v>200</v>
      </c>
      <c r="AJ128" s="1913"/>
      <c r="AK128" s="1913"/>
      <c r="AL128" s="1913"/>
      <c r="AM128" s="1913"/>
      <c r="AN128" s="1913"/>
      <c r="AO128" s="1933"/>
      <c r="AP128" s="1933"/>
      <c r="AQ128" s="1933"/>
      <c r="AR128" s="1835"/>
      <c r="AS128" s="1802"/>
      <c r="AT128" s="1835"/>
      <c r="AU128" s="1835"/>
      <c r="AV128" s="1835"/>
      <c r="AW128" s="1938"/>
      <c r="AX128" s="1938"/>
      <c r="AY128" s="1938"/>
      <c r="AZ128" s="1938"/>
      <c r="BA128" s="1938"/>
      <c r="BB128" s="1938"/>
      <c r="BC128" s="1938"/>
      <c r="BD128" s="1938"/>
      <c r="BE128" s="1938"/>
      <c r="BF128" s="1938"/>
      <c r="BG128" s="1938"/>
      <c r="BH128" s="1938"/>
      <c r="BI128" s="1938"/>
      <c r="BJ128" s="1938"/>
      <c r="BK128" s="1938"/>
      <c r="BL128" s="1938"/>
      <c r="BM128" s="1938"/>
      <c r="BN128" s="1938"/>
      <c r="BO128" s="1938"/>
      <c r="BP128" s="1938"/>
      <c r="BQ128" s="1938"/>
      <c r="BR128" s="1938"/>
      <c r="BS128" s="1938"/>
      <c r="BT128" s="1938"/>
      <c r="BU128" s="1938"/>
      <c r="BV128" s="1938"/>
      <c r="BW128" s="1938"/>
      <c r="BX128" s="1938"/>
      <c r="BY128" s="1938"/>
      <c r="BZ128" s="1938"/>
      <c r="CA128" s="1938"/>
      <c r="CB128" s="1938"/>
      <c r="CC128" s="1938"/>
      <c r="CD128" s="1938"/>
      <c r="CE128" s="1938"/>
      <c r="CF128" s="1938"/>
      <c r="CG128" s="1938"/>
      <c r="CH128" s="1938"/>
      <c r="CI128" s="1938"/>
      <c r="CJ128" s="1938"/>
      <c r="CK128" s="1938"/>
      <c r="CL128" s="1938"/>
      <c r="CM128" s="1938"/>
      <c r="CN128" s="1938"/>
      <c r="CO128" s="1938"/>
      <c r="CP128" s="1938"/>
      <c r="CQ128" s="1938"/>
      <c r="CR128" s="1938"/>
      <c r="CS128" s="1938"/>
      <c r="CT128" s="1938"/>
      <c r="CU128" s="1938"/>
      <c r="CV128" s="1938"/>
      <c r="CW128" s="1938"/>
      <c r="CX128" s="1938"/>
      <c r="CY128" s="1938"/>
      <c r="CZ128" s="1938"/>
      <c r="DA128" s="1938"/>
      <c r="DB128" s="1938"/>
      <c r="DC128" s="1938"/>
      <c r="DD128" s="1938"/>
      <c r="DE128" s="1938"/>
      <c r="DF128" s="1938"/>
      <c r="DG128" s="1938"/>
      <c r="DH128" s="1938"/>
      <c r="DI128" s="1938"/>
      <c r="DJ128" s="1938"/>
      <c r="DK128" s="1938"/>
      <c r="DL128" s="1938"/>
      <c r="DM128" s="1938"/>
      <c r="DN128" s="1938"/>
      <c r="DO128" s="1938"/>
      <c r="DP128" s="1938"/>
      <c r="DQ128" s="1938"/>
      <c r="DR128" s="1938"/>
      <c r="DS128" s="1938"/>
      <c r="DT128" s="1938"/>
      <c r="DU128" s="1938"/>
      <c r="DV128" s="1938"/>
      <c r="DW128" s="1938"/>
      <c r="DX128" s="1943"/>
      <c r="DY128" s="1943"/>
      <c r="DZ128" s="1943"/>
      <c r="EA128" s="1943"/>
      <c r="EB128" s="1943"/>
      <c r="EC128" s="1943"/>
      <c r="ED128" s="1943"/>
      <c r="EE128" s="1943"/>
      <c r="EF128" s="1943"/>
      <c r="EG128" s="1943"/>
      <c r="EH128" s="1943"/>
      <c r="EI128" s="1943"/>
      <c r="EJ128" s="1943"/>
      <c r="EK128" s="1943"/>
      <c r="EL128" s="1943"/>
      <c r="EM128" s="1943"/>
      <c r="EN128" s="1943"/>
      <c r="EO128" s="1943"/>
      <c r="EP128" s="1943"/>
      <c r="EQ128" s="1943"/>
      <c r="ER128" s="1943"/>
      <c r="ES128" s="1943"/>
      <c r="ET128" s="1943"/>
      <c r="EU128" s="1943"/>
      <c r="EV128" s="1943"/>
      <c r="EW128" s="1943"/>
      <c r="EX128" s="1943"/>
      <c r="EY128" s="1943"/>
      <c r="EZ128" s="1943"/>
      <c r="FA128" s="1943"/>
      <c r="FB128" s="1943"/>
      <c r="FC128" s="1943"/>
      <c r="FD128" s="1943"/>
      <c r="FE128" s="1943"/>
      <c r="FF128" s="1943"/>
      <c r="FG128" s="1943"/>
      <c r="FH128" s="1943"/>
      <c r="FI128" s="1943"/>
      <c r="FJ128" s="1943"/>
      <c r="FK128" s="1943"/>
      <c r="FL128" s="1943"/>
      <c r="FM128" s="1943"/>
      <c r="FN128" s="1943"/>
      <c r="FO128" s="1943"/>
      <c r="FP128" s="1943"/>
      <c r="FQ128" s="1943"/>
      <c r="FR128" s="1943"/>
      <c r="FS128" s="1943"/>
      <c r="FT128" s="1943"/>
      <c r="FU128" s="1943"/>
      <c r="FV128" s="1943"/>
      <c r="FW128" s="1943"/>
      <c r="FX128" s="1943"/>
      <c r="FY128" s="1943"/>
      <c r="FZ128" s="1943"/>
      <c r="GA128" s="1943"/>
    </row>
    <row r="129" s="1662" customFormat="1" ht="36" hidden="1" customHeight="1" spans="1:183">
      <c r="A129" s="1817">
        <v>45043</v>
      </c>
      <c r="B129" s="1807" t="s">
        <v>1937</v>
      </c>
      <c r="C129" s="1818" t="s">
        <v>1938</v>
      </c>
      <c r="D129" s="1806">
        <v>4500102111</v>
      </c>
      <c r="E129" s="1807" t="s">
        <v>1949</v>
      </c>
      <c r="F129" s="1806" t="s">
        <v>1950</v>
      </c>
      <c r="G129" s="1802" t="s">
        <v>1941</v>
      </c>
      <c r="H129" s="1802" t="s">
        <v>1930</v>
      </c>
      <c r="I129" s="1803" t="s">
        <v>1479</v>
      </c>
      <c r="J129" s="1802">
        <v>600</v>
      </c>
      <c r="K129" s="1802">
        <v>0</v>
      </c>
      <c r="L129" s="1802">
        <v>24</v>
      </c>
      <c r="M129" s="1835">
        <f t="shared" si="54"/>
        <v>25</v>
      </c>
      <c r="N129" s="1842">
        <v>45086</v>
      </c>
      <c r="O129" s="1843" t="s">
        <v>1951</v>
      </c>
      <c r="P129" s="1843" t="s">
        <v>1942</v>
      </c>
      <c r="Q129" s="1843"/>
      <c r="R129" s="1843" t="s">
        <v>1909</v>
      </c>
      <c r="S129" s="1820" t="s">
        <v>1952</v>
      </c>
      <c r="T129" s="1873" t="s">
        <v>1945</v>
      </c>
      <c r="U129" s="1966" t="s">
        <v>1953</v>
      </c>
      <c r="V129" s="1835" t="s">
        <v>1954</v>
      </c>
      <c r="W129" s="1872" t="s">
        <v>1955</v>
      </c>
      <c r="X129" s="1802" t="s">
        <v>690</v>
      </c>
      <c r="Y129" s="1901">
        <v>1.5388</v>
      </c>
      <c r="Z129" s="1902">
        <f t="shared" si="55"/>
        <v>923.28</v>
      </c>
      <c r="AA129" s="1896"/>
      <c r="AB129" s="1896"/>
      <c r="AC129" s="1896"/>
      <c r="AD129" s="1896" t="s">
        <v>1499</v>
      </c>
      <c r="AE129" s="1803" t="s">
        <v>63</v>
      </c>
      <c r="AF129" s="1803" t="s">
        <v>38</v>
      </c>
      <c r="AG129" s="1802">
        <f t="shared" si="56"/>
        <v>200</v>
      </c>
      <c r="AH129" s="1802">
        <f t="shared" si="57"/>
        <v>200</v>
      </c>
      <c r="AI129" s="1802">
        <f t="shared" si="58"/>
        <v>200</v>
      </c>
      <c r="AJ129" s="1913"/>
      <c r="AK129" s="1913"/>
      <c r="AL129" s="1913"/>
      <c r="AM129" s="1913"/>
      <c r="AN129" s="1913"/>
      <c r="AO129" s="1933"/>
      <c r="AP129" s="1933"/>
      <c r="AQ129" s="1933"/>
      <c r="AR129" s="1835"/>
      <c r="AS129" s="1802"/>
      <c r="AT129" s="1835"/>
      <c r="AU129" s="1835"/>
      <c r="AV129" s="1835"/>
      <c r="AW129" s="1938"/>
      <c r="AX129" s="1938"/>
      <c r="AY129" s="1938"/>
      <c r="AZ129" s="1938"/>
      <c r="BA129" s="1938"/>
      <c r="BB129" s="1938"/>
      <c r="BC129" s="1938"/>
      <c r="BD129" s="1938"/>
      <c r="BE129" s="1938"/>
      <c r="BF129" s="1938"/>
      <c r="BG129" s="1938"/>
      <c r="BH129" s="1938"/>
      <c r="BI129" s="1938"/>
      <c r="BJ129" s="1938"/>
      <c r="BK129" s="1938"/>
      <c r="BL129" s="1938"/>
      <c r="BM129" s="1938"/>
      <c r="BN129" s="1938"/>
      <c r="BO129" s="1938"/>
      <c r="BP129" s="1938"/>
      <c r="BQ129" s="1938"/>
      <c r="BR129" s="1938"/>
      <c r="BS129" s="1938"/>
      <c r="BT129" s="1938"/>
      <c r="BU129" s="1938"/>
      <c r="BV129" s="1938"/>
      <c r="BW129" s="1938"/>
      <c r="BX129" s="1938"/>
      <c r="BY129" s="1938"/>
      <c r="BZ129" s="1938"/>
      <c r="CA129" s="1938"/>
      <c r="CB129" s="1938"/>
      <c r="CC129" s="1938"/>
      <c r="CD129" s="1938"/>
      <c r="CE129" s="1938"/>
      <c r="CF129" s="1938"/>
      <c r="CG129" s="1938"/>
      <c r="CH129" s="1938"/>
      <c r="CI129" s="1938"/>
      <c r="CJ129" s="1938"/>
      <c r="CK129" s="1938"/>
      <c r="CL129" s="1938"/>
      <c r="CM129" s="1938"/>
      <c r="CN129" s="1938"/>
      <c r="CO129" s="1938"/>
      <c r="CP129" s="1938"/>
      <c r="CQ129" s="1938"/>
      <c r="CR129" s="1938"/>
      <c r="CS129" s="1938"/>
      <c r="CT129" s="1938"/>
      <c r="CU129" s="1938"/>
      <c r="CV129" s="1938"/>
      <c r="CW129" s="1938"/>
      <c r="CX129" s="1938"/>
      <c r="CY129" s="1938"/>
      <c r="CZ129" s="1938"/>
      <c r="DA129" s="1938"/>
      <c r="DB129" s="1938"/>
      <c r="DC129" s="1938"/>
      <c r="DD129" s="1938"/>
      <c r="DE129" s="1938"/>
      <c r="DF129" s="1938"/>
      <c r="DG129" s="1938"/>
      <c r="DH129" s="1938"/>
      <c r="DI129" s="1938"/>
      <c r="DJ129" s="1938"/>
      <c r="DK129" s="1938"/>
      <c r="DL129" s="1938"/>
      <c r="DM129" s="1938"/>
      <c r="DN129" s="1938"/>
      <c r="DO129" s="1938"/>
      <c r="DP129" s="1938"/>
      <c r="DQ129" s="1938"/>
      <c r="DR129" s="1938"/>
      <c r="DS129" s="1938"/>
      <c r="DT129" s="1938"/>
      <c r="DU129" s="1938"/>
      <c r="DV129" s="1938"/>
      <c r="DW129" s="1938"/>
      <c r="DX129" s="1943"/>
      <c r="DY129" s="1943"/>
      <c r="DZ129" s="1943"/>
      <c r="EA129" s="1943"/>
      <c r="EB129" s="1943"/>
      <c r="EC129" s="1943"/>
      <c r="ED129" s="1943"/>
      <c r="EE129" s="1943"/>
      <c r="EF129" s="1943"/>
      <c r="EG129" s="1943"/>
      <c r="EH129" s="1943"/>
      <c r="EI129" s="1943"/>
      <c r="EJ129" s="1943"/>
      <c r="EK129" s="1943"/>
      <c r="EL129" s="1943"/>
      <c r="EM129" s="1943"/>
      <c r="EN129" s="1943"/>
      <c r="EO129" s="1943"/>
      <c r="EP129" s="1943"/>
      <c r="EQ129" s="1943"/>
      <c r="ER129" s="1943"/>
      <c r="ES129" s="1943"/>
      <c r="ET129" s="1943"/>
      <c r="EU129" s="1943"/>
      <c r="EV129" s="1943"/>
      <c r="EW129" s="1943"/>
      <c r="EX129" s="1943"/>
      <c r="EY129" s="1943"/>
      <c r="EZ129" s="1943"/>
      <c r="FA129" s="1943"/>
      <c r="FB129" s="1943"/>
      <c r="FC129" s="1943"/>
      <c r="FD129" s="1943"/>
      <c r="FE129" s="1943"/>
      <c r="FF129" s="1943"/>
      <c r="FG129" s="1943"/>
      <c r="FH129" s="1943"/>
      <c r="FI129" s="1943"/>
      <c r="FJ129" s="1943"/>
      <c r="FK129" s="1943"/>
      <c r="FL129" s="1943"/>
      <c r="FM129" s="1943"/>
      <c r="FN129" s="1943"/>
      <c r="FO129" s="1943"/>
      <c r="FP129" s="1943"/>
      <c r="FQ129" s="1943"/>
      <c r="FR129" s="1943"/>
      <c r="FS129" s="1943"/>
      <c r="FT129" s="1943"/>
      <c r="FU129" s="1943"/>
      <c r="FV129" s="1943"/>
      <c r="FW129" s="1943"/>
      <c r="FX129" s="1943"/>
      <c r="FY129" s="1943"/>
      <c r="FZ129" s="1943"/>
      <c r="GA129" s="1943"/>
    </row>
    <row r="130" s="1662" customFormat="1" ht="36" hidden="1" customHeight="1" spans="1:215">
      <c r="A130" s="1810">
        <v>45072</v>
      </c>
      <c r="B130" s="1811" t="s">
        <v>1956</v>
      </c>
      <c r="C130" s="1948" t="s">
        <v>69</v>
      </c>
      <c r="D130" s="1813">
        <v>4500104955</v>
      </c>
      <c r="E130" s="1814">
        <v>2023009605</v>
      </c>
      <c r="F130" s="1813" t="s">
        <v>1957</v>
      </c>
      <c r="G130" s="1815"/>
      <c r="H130" s="1802" t="s">
        <v>1891</v>
      </c>
      <c r="I130" s="1803" t="s">
        <v>1479</v>
      </c>
      <c r="J130" s="1802">
        <v>1320</v>
      </c>
      <c r="K130" s="1802">
        <v>0</v>
      </c>
      <c r="L130" s="1802">
        <v>24</v>
      </c>
      <c r="M130" s="1835">
        <f t="shared" si="54"/>
        <v>55</v>
      </c>
      <c r="N130" s="1842">
        <v>45114</v>
      </c>
      <c r="O130" s="1843" t="s">
        <v>1958</v>
      </c>
      <c r="P130" s="1843" t="s">
        <v>1959</v>
      </c>
      <c r="Q130" s="1843"/>
      <c r="R130" s="1843"/>
      <c r="S130" s="1820" t="s">
        <v>1427</v>
      </c>
      <c r="T130" s="1863" t="s">
        <v>1893</v>
      </c>
      <c r="U130" s="1967" t="s">
        <v>58</v>
      </c>
      <c r="V130" s="1820" t="s">
        <v>1960</v>
      </c>
      <c r="W130" s="1968" t="s">
        <v>1961</v>
      </c>
      <c r="X130" s="1864" t="s">
        <v>1962</v>
      </c>
      <c r="Y130" s="1901">
        <v>1.5439</v>
      </c>
      <c r="Z130" s="1902">
        <f t="shared" si="55"/>
        <v>2037.948</v>
      </c>
      <c r="AA130" s="1896"/>
      <c r="AB130" s="1896"/>
      <c r="AC130" s="1896"/>
      <c r="AD130" s="1896"/>
      <c r="AE130" s="1803"/>
      <c r="AF130" s="1803"/>
      <c r="AG130" s="1802">
        <f t="shared" si="56"/>
        <v>440</v>
      </c>
      <c r="AH130" s="1802">
        <f t="shared" si="57"/>
        <v>440</v>
      </c>
      <c r="AI130" s="1802">
        <f t="shared" si="58"/>
        <v>440</v>
      </c>
      <c r="AJ130" s="1913"/>
      <c r="AK130" s="1913"/>
      <c r="AL130" s="1913"/>
      <c r="AM130" s="1913"/>
      <c r="AN130" s="1913"/>
      <c r="AO130" s="1933"/>
      <c r="AP130" s="1933"/>
      <c r="AQ130" s="1933"/>
      <c r="AR130" s="1835"/>
      <c r="AS130" s="1802"/>
      <c r="AT130" s="1835"/>
      <c r="AU130" s="1835"/>
      <c r="AV130" s="1835"/>
      <c r="AW130" s="1938"/>
      <c r="AX130" s="1938"/>
      <c r="AY130" s="1938"/>
      <c r="AZ130" s="1938"/>
      <c r="BA130" s="1938"/>
      <c r="BB130" s="1938"/>
      <c r="BC130" s="1938"/>
      <c r="BD130" s="1938"/>
      <c r="BE130" s="1938"/>
      <c r="BF130" s="1938"/>
      <c r="BG130" s="1938"/>
      <c r="BH130" s="1938"/>
      <c r="BI130" s="1938"/>
      <c r="BJ130" s="1938"/>
      <c r="BK130" s="1938"/>
      <c r="BL130" s="1938"/>
      <c r="BM130" s="1938"/>
      <c r="BN130" s="1938"/>
      <c r="BO130" s="1938"/>
      <c r="BP130" s="1938"/>
      <c r="BQ130" s="1938"/>
      <c r="BR130" s="1938"/>
      <c r="BS130" s="1938"/>
      <c r="BT130" s="1938"/>
      <c r="BU130" s="1938"/>
      <c r="BV130" s="1938"/>
      <c r="BW130" s="1938"/>
      <c r="BX130" s="1938"/>
      <c r="BY130" s="1938"/>
      <c r="BZ130" s="1938"/>
      <c r="CA130" s="1938"/>
      <c r="CB130" s="1938"/>
      <c r="CC130" s="1938"/>
      <c r="CD130" s="1938"/>
      <c r="CE130" s="1938"/>
      <c r="CF130" s="1938"/>
      <c r="CG130" s="1938"/>
      <c r="CH130" s="1938"/>
      <c r="CI130" s="1938"/>
      <c r="CJ130" s="1938"/>
      <c r="CK130" s="1938"/>
      <c r="CL130" s="1938"/>
      <c r="CM130" s="1938"/>
      <c r="CN130" s="1938"/>
      <c r="CO130" s="1938"/>
      <c r="CP130" s="1938"/>
      <c r="CQ130" s="1938"/>
      <c r="CR130" s="1938"/>
      <c r="CS130" s="1938"/>
      <c r="CT130" s="1938"/>
      <c r="CU130" s="1938"/>
      <c r="CV130" s="1938"/>
      <c r="CW130" s="1938"/>
      <c r="CX130" s="1938"/>
      <c r="CY130" s="1938"/>
      <c r="CZ130" s="1938"/>
      <c r="DA130" s="1938"/>
      <c r="DB130" s="1938"/>
      <c r="DC130" s="1938"/>
      <c r="DD130" s="1938"/>
      <c r="DE130" s="1938"/>
      <c r="DF130" s="1938"/>
      <c r="DG130" s="1938"/>
      <c r="DH130" s="1938"/>
      <c r="DI130" s="1938"/>
      <c r="DJ130" s="1938"/>
      <c r="DK130" s="1938"/>
      <c r="DL130" s="1938"/>
      <c r="DM130" s="1938"/>
      <c r="DN130" s="1938"/>
      <c r="DO130" s="1938"/>
      <c r="DP130" s="1938"/>
      <c r="DQ130" s="1938"/>
      <c r="DR130" s="1938"/>
      <c r="DS130" s="1938"/>
      <c r="DT130" s="1938"/>
      <c r="DU130" s="1938"/>
      <c r="DV130" s="1938"/>
      <c r="DW130" s="1938"/>
      <c r="DX130" s="1943"/>
      <c r="DY130" s="1943"/>
      <c r="DZ130" s="1943"/>
      <c r="EA130" s="1943"/>
      <c r="EB130" s="1943"/>
      <c r="EC130" s="1943"/>
      <c r="ED130" s="1943"/>
      <c r="EE130" s="1943"/>
      <c r="EF130" s="1943"/>
      <c r="EG130" s="1943"/>
      <c r="EH130" s="1943"/>
      <c r="EI130" s="1943"/>
      <c r="EJ130" s="1943"/>
      <c r="EK130" s="1943"/>
      <c r="EL130" s="1943"/>
      <c r="EM130" s="1943"/>
      <c r="EN130" s="1943"/>
      <c r="EO130" s="1943"/>
      <c r="EP130" s="1943"/>
      <c r="EQ130" s="1943"/>
      <c r="ER130" s="1943"/>
      <c r="ES130" s="1943"/>
      <c r="ET130" s="1943"/>
      <c r="EU130" s="1943"/>
      <c r="EV130" s="1943"/>
      <c r="EW130" s="1943"/>
      <c r="EX130" s="1943"/>
      <c r="EY130" s="1943"/>
      <c r="EZ130" s="1943"/>
      <c r="FA130" s="1943"/>
      <c r="FB130" s="1943"/>
      <c r="FC130" s="1943"/>
      <c r="FD130" s="1943"/>
      <c r="FE130" s="1943"/>
      <c r="FF130" s="1943"/>
      <c r="FG130" s="1943"/>
      <c r="FH130" s="1943"/>
      <c r="FI130" s="1943"/>
      <c r="FJ130" s="1943"/>
      <c r="FK130" s="1943"/>
      <c r="FL130" s="1943"/>
      <c r="FM130" s="1943"/>
      <c r="FN130" s="1943"/>
      <c r="FO130" s="1943"/>
      <c r="FP130" s="1943"/>
      <c r="FQ130" s="1943"/>
      <c r="FR130" s="1943"/>
      <c r="FS130" s="1943"/>
      <c r="FT130" s="1943"/>
      <c r="FU130" s="1943"/>
      <c r="FV130" s="1943"/>
      <c r="FW130" s="1943"/>
      <c r="FX130" s="1943"/>
      <c r="FY130" s="1943"/>
      <c r="FZ130" s="1943"/>
      <c r="GA130" s="1943"/>
      <c r="GB130" s="1940"/>
      <c r="GC130" s="1940"/>
      <c r="GD130" s="1940"/>
      <c r="GE130" s="1940"/>
      <c r="GF130" s="1940"/>
      <c r="GG130" s="1940"/>
      <c r="GH130" s="1940"/>
      <c r="GI130" s="1940"/>
      <c r="GJ130" s="1940"/>
      <c r="GK130" s="1940"/>
      <c r="GL130" s="1940"/>
      <c r="GM130" s="1940"/>
      <c r="GN130" s="1940"/>
      <c r="GO130" s="1940"/>
      <c r="GP130" s="1940"/>
      <c r="GQ130" s="1940"/>
      <c r="GR130" s="1940"/>
      <c r="GS130" s="1940"/>
      <c r="GT130" s="1940"/>
      <c r="GU130" s="1940"/>
      <c r="GV130" s="1940"/>
      <c r="GW130" s="1940"/>
      <c r="GX130" s="1940"/>
      <c r="GY130" s="1940"/>
      <c r="GZ130" s="1940"/>
      <c r="HA130" s="1940"/>
      <c r="HB130" s="1940"/>
      <c r="HC130" s="1940"/>
      <c r="HD130" s="1940"/>
      <c r="HE130" s="1940"/>
      <c r="HF130" s="1940"/>
      <c r="HG130" s="1940"/>
    </row>
    <row r="131" s="1662" customFormat="1" ht="36" hidden="1" customHeight="1" spans="1:215">
      <c r="A131" s="1810">
        <v>45069</v>
      </c>
      <c r="B131" s="1811" t="s">
        <v>1937</v>
      </c>
      <c r="C131" s="1948" t="s">
        <v>1938</v>
      </c>
      <c r="D131" s="1813">
        <v>4500103219</v>
      </c>
      <c r="E131" s="1814" t="s">
        <v>1963</v>
      </c>
      <c r="F131" s="1813" t="s">
        <v>1964</v>
      </c>
      <c r="G131" s="1802"/>
      <c r="H131" s="1802" t="s">
        <v>1930</v>
      </c>
      <c r="I131" s="1803" t="s">
        <v>1479</v>
      </c>
      <c r="J131" s="1802">
        <v>600</v>
      </c>
      <c r="K131" s="1802">
        <v>0</v>
      </c>
      <c r="L131" s="1802">
        <v>24</v>
      </c>
      <c r="M131" s="1835">
        <f t="shared" si="54"/>
        <v>25</v>
      </c>
      <c r="N131" s="1842">
        <v>45146</v>
      </c>
      <c r="O131" s="1843" t="s">
        <v>1951</v>
      </c>
      <c r="P131" s="1843" t="s">
        <v>1965</v>
      </c>
      <c r="Q131" s="1843"/>
      <c r="R131" s="1843"/>
      <c r="S131" s="1820" t="s">
        <v>1427</v>
      </c>
      <c r="T131" s="1863" t="s">
        <v>1893</v>
      </c>
      <c r="U131" s="1969" t="s">
        <v>1966</v>
      </c>
      <c r="V131" s="1820" t="s">
        <v>1967</v>
      </c>
      <c r="W131" s="1968" t="s">
        <v>1968</v>
      </c>
      <c r="X131" s="1864" t="s">
        <v>690</v>
      </c>
      <c r="Y131" s="1901">
        <v>1.516</v>
      </c>
      <c r="Z131" s="1902">
        <f t="shared" si="55"/>
        <v>909.6</v>
      </c>
      <c r="AA131" s="1896"/>
      <c r="AB131" s="1896"/>
      <c r="AC131" s="1896"/>
      <c r="AD131" s="1896"/>
      <c r="AE131" s="1803"/>
      <c r="AF131" s="1803"/>
      <c r="AG131" s="1802">
        <f t="shared" si="56"/>
        <v>200</v>
      </c>
      <c r="AH131" s="1802">
        <f t="shared" si="57"/>
        <v>200</v>
      </c>
      <c r="AI131" s="1802">
        <f t="shared" si="58"/>
        <v>200</v>
      </c>
      <c r="AJ131" s="1913"/>
      <c r="AK131" s="1913"/>
      <c r="AL131" s="1913"/>
      <c r="AM131" s="1913"/>
      <c r="AN131" s="1913"/>
      <c r="AO131" s="1933"/>
      <c r="AP131" s="1933"/>
      <c r="AQ131" s="1933"/>
      <c r="AR131" s="1835"/>
      <c r="AS131" s="1802"/>
      <c r="AT131" s="1835"/>
      <c r="AU131" s="1835"/>
      <c r="AV131" s="1835"/>
      <c r="AW131" s="1938"/>
      <c r="AX131" s="1938"/>
      <c r="AY131" s="1938"/>
      <c r="AZ131" s="1938"/>
      <c r="BA131" s="1938"/>
      <c r="BB131" s="1938"/>
      <c r="BC131" s="1938"/>
      <c r="BD131" s="1938"/>
      <c r="BE131" s="1938"/>
      <c r="BF131" s="1938"/>
      <c r="BG131" s="1938"/>
      <c r="BH131" s="1938"/>
      <c r="BI131" s="1938"/>
      <c r="BJ131" s="1938"/>
      <c r="BK131" s="1938"/>
      <c r="BL131" s="1938"/>
      <c r="BM131" s="1938"/>
      <c r="BN131" s="1938"/>
      <c r="BO131" s="1938"/>
      <c r="BP131" s="1938"/>
      <c r="BQ131" s="1938"/>
      <c r="BR131" s="1938"/>
      <c r="BS131" s="1938"/>
      <c r="BT131" s="1938"/>
      <c r="BU131" s="1938"/>
      <c r="BV131" s="1938"/>
      <c r="BW131" s="1938"/>
      <c r="BX131" s="1938"/>
      <c r="BY131" s="1938"/>
      <c r="BZ131" s="1938"/>
      <c r="CA131" s="1938"/>
      <c r="CB131" s="1938"/>
      <c r="CC131" s="1938"/>
      <c r="CD131" s="1938"/>
      <c r="CE131" s="1938"/>
      <c r="CF131" s="1938"/>
      <c r="CG131" s="1938"/>
      <c r="CH131" s="1938"/>
      <c r="CI131" s="1938"/>
      <c r="CJ131" s="1938"/>
      <c r="CK131" s="1938"/>
      <c r="CL131" s="1938"/>
      <c r="CM131" s="1938"/>
      <c r="CN131" s="1938"/>
      <c r="CO131" s="1938"/>
      <c r="CP131" s="1938"/>
      <c r="CQ131" s="1938"/>
      <c r="CR131" s="1938"/>
      <c r="CS131" s="1938"/>
      <c r="CT131" s="1938"/>
      <c r="CU131" s="1938"/>
      <c r="CV131" s="1938"/>
      <c r="CW131" s="1938"/>
      <c r="CX131" s="1938"/>
      <c r="CY131" s="1938"/>
      <c r="CZ131" s="1938"/>
      <c r="DA131" s="1938"/>
      <c r="DB131" s="1938"/>
      <c r="DC131" s="1938"/>
      <c r="DD131" s="1938"/>
      <c r="DE131" s="1938"/>
      <c r="DF131" s="1938"/>
      <c r="DG131" s="1938"/>
      <c r="DH131" s="1938"/>
      <c r="DI131" s="1938"/>
      <c r="DJ131" s="1938"/>
      <c r="DK131" s="1938"/>
      <c r="DL131" s="1938"/>
      <c r="DM131" s="1938"/>
      <c r="DN131" s="1938"/>
      <c r="DO131" s="1938"/>
      <c r="DP131" s="1938"/>
      <c r="DQ131" s="1938"/>
      <c r="DR131" s="1938"/>
      <c r="DS131" s="1938"/>
      <c r="DT131" s="1938"/>
      <c r="DU131" s="1938"/>
      <c r="DV131" s="1938"/>
      <c r="DW131" s="1938"/>
      <c r="DX131" s="1943"/>
      <c r="DY131" s="1943"/>
      <c r="DZ131" s="1943"/>
      <c r="EA131" s="1943"/>
      <c r="EB131" s="1943"/>
      <c r="EC131" s="1943"/>
      <c r="ED131" s="1943"/>
      <c r="EE131" s="1943"/>
      <c r="EF131" s="1943"/>
      <c r="EG131" s="1943"/>
      <c r="EH131" s="1943"/>
      <c r="EI131" s="1943"/>
      <c r="EJ131" s="1943"/>
      <c r="EK131" s="1943"/>
      <c r="EL131" s="1943"/>
      <c r="EM131" s="1943"/>
      <c r="EN131" s="1943"/>
      <c r="EO131" s="1943"/>
      <c r="EP131" s="1943"/>
      <c r="EQ131" s="1943"/>
      <c r="ER131" s="1943"/>
      <c r="ES131" s="1943"/>
      <c r="ET131" s="1943"/>
      <c r="EU131" s="1943"/>
      <c r="EV131" s="1943"/>
      <c r="EW131" s="1943"/>
      <c r="EX131" s="1943"/>
      <c r="EY131" s="1943"/>
      <c r="EZ131" s="1943"/>
      <c r="FA131" s="1943"/>
      <c r="FB131" s="1943"/>
      <c r="FC131" s="1943"/>
      <c r="FD131" s="1943"/>
      <c r="FE131" s="1943"/>
      <c r="FF131" s="1943"/>
      <c r="FG131" s="1943"/>
      <c r="FH131" s="1943"/>
      <c r="FI131" s="1943"/>
      <c r="FJ131" s="1943"/>
      <c r="FK131" s="1943"/>
      <c r="FL131" s="1943"/>
      <c r="FM131" s="1943"/>
      <c r="FN131" s="1943"/>
      <c r="FO131" s="1943"/>
      <c r="FP131" s="1943"/>
      <c r="FQ131" s="1943"/>
      <c r="FR131" s="1943"/>
      <c r="FS131" s="1943"/>
      <c r="FT131" s="1943"/>
      <c r="FU131" s="1943"/>
      <c r="FV131" s="1943"/>
      <c r="FW131" s="1943"/>
      <c r="FX131" s="1943"/>
      <c r="FY131" s="1943"/>
      <c r="FZ131" s="1943"/>
      <c r="GA131" s="1943"/>
      <c r="GB131" s="1940"/>
      <c r="GC131" s="1940"/>
      <c r="GD131" s="1940"/>
      <c r="GE131" s="1940"/>
      <c r="GF131" s="1940"/>
      <c r="GG131" s="1940"/>
      <c r="GH131" s="1940"/>
      <c r="GI131" s="1940"/>
      <c r="GJ131" s="1940"/>
      <c r="GK131" s="1940"/>
      <c r="GL131" s="1940"/>
      <c r="GM131" s="1940"/>
      <c r="GN131" s="1940"/>
      <c r="GO131" s="1940"/>
      <c r="GP131" s="1940"/>
      <c r="GQ131" s="1940"/>
      <c r="GR131" s="1940"/>
      <c r="GS131" s="1940"/>
      <c r="GT131" s="1940"/>
      <c r="GU131" s="1940"/>
      <c r="GV131" s="1940"/>
      <c r="GW131" s="1940"/>
      <c r="GX131" s="1940"/>
      <c r="GY131" s="1940"/>
      <c r="GZ131" s="1940"/>
      <c r="HA131" s="1940"/>
      <c r="HB131" s="1940"/>
      <c r="HC131" s="1940"/>
      <c r="HD131" s="1940"/>
      <c r="HE131" s="1940"/>
      <c r="HF131" s="1940"/>
      <c r="HG131" s="1940"/>
    </row>
    <row r="132" s="1662" customFormat="1" ht="36" hidden="1" customHeight="1" spans="1:183">
      <c r="A132" s="1801">
        <v>45057</v>
      </c>
      <c r="B132" s="1803" t="s">
        <v>1969</v>
      </c>
      <c r="C132" s="1803" t="s">
        <v>752</v>
      </c>
      <c r="D132" s="1802">
        <v>4500103434</v>
      </c>
      <c r="E132" s="1803"/>
      <c r="F132" s="1802" t="s">
        <v>1970</v>
      </c>
      <c r="G132" s="1802" t="s">
        <v>1918</v>
      </c>
      <c r="H132" s="1802" t="s">
        <v>1891</v>
      </c>
      <c r="I132" s="1803" t="s">
        <v>1479</v>
      </c>
      <c r="J132" s="1802">
        <v>1008</v>
      </c>
      <c r="K132" s="1802">
        <v>0</v>
      </c>
      <c r="L132" s="1802">
        <v>24</v>
      </c>
      <c r="M132" s="1835">
        <f t="shared" si="54"/>
        <v>42</v>
      </c>
      <c r="N132" s="1842">
        <v>45110</v>
      </c>
      <c r="O132" s="1843" t="s">
        <v>1951</v>
      </c>
      <c r="P132" s="1843" t="s">
        <v>1971</v>
      </c>
      <c r="Q132" s="1843"/>
      <c r="R132" s="1843"/>
      <c r="S132" s="1843" t="s">
        <v>1427</v>
      </c>
      <c r="T132" s="1863" t="s">
        <v>1893</v>
      </c>
      <c r="U132" s="1863" t="s">
        <v>58</v>
      </c>
      <c r="V132" s="1835" t="s">
        <v>1972</v>
      </c>
      <c r="W132" s="1872" t="s">
        <v>1973</v>
      </c>
      <c r="X132" s="1970" t="s">
        <v>690</v>
      </c>
      <c r="Y132" s="1901">
        <v>1.5674</v>
      </c>
      <c r="Z132" s="1902">
        <f t="shared" si="55"/>
        <v>1579.9392</v>
      </c>
      <c r="AA132" s="1896"/>
      <c r="AB132" s="1896"/>
      <c r="AC132" s="1896"/>
      <c r="AD132" s="1896"/>
      <c r="AE132" s="1803"/>
      <c r="AF132" s="1803"/>
      <c r="AG132" s="1802">
        <f t="shared" si="56"/>
        <v>336</v>
      </c>
      <c r="AH132" s="1802">
        <f t="shared" si="57"/>
        <v>336</v>
      </c>
      <c r="AI132" s="1802">
        <f t="shared" si="58"/>
        <v>336</v>
      </c>
      <c r="AJ132" s="1913"/>
      <c r="AK132" s="1913"/>
      <c r="AL132" s="1913"/>
      <c r="AM132" s="1913"/>
      <c r="AN132" s="1913"/>
      <c r="AO132" s="1933"/>
      <c r="AP132" s="1933"/>
      <c r="AQ132" s="1933"/>
      <c r="AR132" s="1835"/>
      <c r="AS132" s="1802"/>
      <c r="AT132" s="1835"/>
      <c r="AU132" s="1835"/>
      <c r="AV132" s="1835"/>
      <c r="AW132" s="1938"/>
      <c r="AX132" s="1938"/>
      <c r="AY132" s="1938"/>
      <c r="AZ132" s="1938"/>
      <c r="BA132" s="1938"/>
      <c r="BB132" s="1938"/>
      <c r="BC132" s="1938"/>
      <c r="BD132" s="1938"/>
      <c r="BE132" s="1938"/>
      <c r="BF132" s="1938"/>
      <c r="BG132" s="1938"/>
      <c r="BH132" s="1938"/>
      <c r="BI132" s="1938"/>
      <c r="BJ132" s="1938"/>
      <c r="BK132" s="1938"/>
      <c r="BL132" s="1938"/>
      <c r="BM132" s="1938"/>
      <c r="BN132" s="1938"/>
      <c r="BO132" s="1938"/>
      <c r="BP132" s="1938"/>
      <c r="BQ132" s="1938"/>
      <c r="BR132" s="1938"/>
      <c r="BS132" s="1938"/>
      <c r="BT132" s="1938"/>
      <c r="BU132" s="1938"/>
      <c r="BV132" s="1938"/>
      <c r="BW132" s="1938"/>
      <c r="BX132" s="1938"/>
      <c r="BY132" s="1938"/>
      <c r="BZ132" s="1938"/>
      <c r="CA132" s="1938"/>
      <c r="CB132" s="1938"/>
      <c r="CC132" s="1938"/>
      <c r="CD132" s="1938"/>
      <c r="CE132" s="1938"/>
      <c r="CF132" s="1938"/>
      <c r="CG132" s="1938"/>
      <c r="CH132" s="1938"/>
      <c r="CI132" s="1938"/>
      <c r="CJ132" s="1938"/>
      <c r="CK132" s="1938"/>
      <c r="CL132" s="1938"/>
      <c r="CM132" s="1938"/>
      <c r="CN132" s="1938"/>
      <c r="CO132" s="1938"/>
      <c r="CP132" s="1938"/>
      <c r="CQ132" s="1938"/>
      <c r="CR132" s="1938"/>
      <c r="CS132" s="1938"/>
      <c r="CT132" s="1938"/>
      <c r="CU132" s="1938"/>
      <c r="CV132" s="1938"/>
      <c r="CW132" s="1938"/>
      <c r="CX132" s="1938"/>
      <c r="CY132" s="1938"/>
      <c r="CZ132" s="1938"/>
      <c r="DA132" s="1938"/>
      <c r="DB132" s="1938"/>
      <c r="DC132" s="1938"/>
      <c r="DD132" s="1938"/>
      <c r="DE132" s="1938"/>
      <c r="DF132" s="1938"/>
      <c r="DG132" s="1938"/>
      <c r="DH132" s="1938"/>
      <c r="DI132" s="1938"/>
      <c r="DJ132" s="1938"/>
      <c r="DK132" s="1938"/>
      <c r="DL132" s="1938"/>
      <c r="DM132" s="1938"/>
      <c r="DN132" s="1938"/>
      <c r="DO132" s="1938"/>
      <c r="DP132" s="1938"/>
      <c r="DQ132" s="1938"/>
      <c r="DR132" s="1938"/>
      <c r="DS132" s="1938"/>
      <c r="DT132" s="1938"/>
      <c r="DU132" s="1938"/>
      <c r="DV132" s="1938"/>
      <c r="DW132" s="1938"/>
      <c r="DX132" s="1943"/>
      <c r="DY132" s="1943"/>
      <c r="DZ132" s="1943"/>
      <c r="EA132" s="1943"/>
      <c r="EB132" s="1943"/>
      <c r="EC132" s="1943"/>
      <c r="ED132" s="1943"/>
      <c r="EE132" s="1943"/>
      <c r="EF132" s="1943"/>
      <c r="EG132" s="1943"/>
      <c r="EH132" s="1943"/>
      <c r="EI132" s="1943"/>
      <c r="EJ132" s="1943"/>
      <c r="EK132" s="1943"/>
      <c r="EL132" s="1943"/>
      <c r="EM132" s="1943"/>
      <c r="EN132" s="1943"/>
      <c r="EO132" s="1943"/>
      <c r="EP132" s="1943"/>
      <c r="EQ132" s="1943"/>
      <c r="ER132" s="1943"/>
      <c r="ES132" s="1943"/>
      <c r="ET132" s="1943"/>
      <c r="EU132" s="1943"/>
      <c r="EV132" s="1943"/>
      <c r="EW132" s="1943"/>
      <c r="EX132" s="1943"/>
      <c r="EY132" s="1943"/>
      <c r="EZ132" s="1943"/>
      <c r="FA132" s="1943"/>
      <c r="FB132" s="1943"/>
      <c r="FC132" s="1943"/>
      <c r="FD132" s="1943"/>
      <c r="FE132" s="1943"/>
      <c r="FF132" s="1943"/>
      <c r="FG132" s="1943"/>
      <c r="FH132" s="1943"/>
      <c r="FI132" s="1943"/>
      <c r="FJ132" s="1943"/>
      <c r="FK132" s="1943"/>
      <c r="FL132" s="1943"/>
      <c r="FM132" s="1943"/>
      <c r="FN132" s="1943"/>
      <c r="FO132" s="1943"/>
      <c r="FP132" s="1943"/>
      <c r="FQ132" s="1943"/>
      <c r="FR132" s="1943"/>
      <c r="FS132" s="1943"/>
      <c r="FT132" s="1943"/>
      <c r="FU132" s="1943"/>
      <c r="FV132" s="1943"/>
      <c r="FW132" s="1943"/>
      <c r="FX132" s="1943"/>
      <c r="FY132" s="1943"/>
      <c r="FZ132" s="1943"/>
      <c r="GA132" s="1943"/>
    </row>
    <row r="133" s="1666" customFormat="1" ht="36" hidden="1" customHeight="1" spans="1:183">
      <c r="A133" s="1949">
        <v>45044</v>
      </c>
      <c r="B133" s="1950" t="s">
        <v>1974</v>
      </c>
      <c r="C133" s="1950" t="s">
        <v>600</v>
      </c>
      <c r="D133" s="1951">
        <v>4500102511</v>
      </c>
      <c r="E133" s="1950">
        <v>14094</v>
      </c>
      <c r="F133" s="1952" t="s">
        <v>1975</v>
      </c>
      <c r="G133" s="1951" t="s">
        <v>1941</v>
      </c>
      <c r="H133" s="1951" t="s">
        <v>1930</v>
      </c>
      <c r="I133" s="1961" t="s">
        <v>1479</v>
      </c>
      <c r="J133" s="1951">
        <v>288</v>
      </c>
      <c r="K133" s="1951">
        <v>0</v>
      </c>
      <c r="L133" s="1951">
        <v>24</v>
      </c>
      <c r="M133" s="1962">
        <f t="shared" si="54"/>
        <v>12</v>
      </c>
      <c r="N133" s="1963">
        <v>45090</v>
      </c>
      <c r="O133" s="1964" t="s">
        <v>1951</v>
      </c>
      <c r="P133" s="1964" t="s">
        <v>1976</v>
      </c>
      <c r="Q133" s="1964"/>
      <c r="R133" s="1964" t="s">
        <v>1909</v>
      </c>
      <c r="S133" s="1971" t="s">
        <v>706</v>
      </c>
      <c r="T133" s="1972"/>
      <c r="U133" s="1973" t="s">
        <v>1977</v>
      </c>
      <c r="V133" s="1962" t="s">
        <v>1978</v>
      </c>
      <c r="W133" s="1974" t="s">
        <v>1979</v>
      </c>
      <c r="X133" s="1951" t="s">
        <v>1980</v>
      </c>
      <c r="Y133" s="1979">
        <v>1.5302</v>
      </c>
      <c r="Z133" s="1980">
        <f t="shared" si="55"/>
        <v>440.6976</v>
      </c>
      <c r="AA133" s="1981"/>
      <c r="AB133" s="1981"/>
      <c r="AC133" s="1981"/>
      <c r="AD133" s="1981" t="s">
        <v>1499</v>
      </c>
      <c r="AE133" s="1961" t="s">
        <v>63</v>
      </c>
      <c r="AF133" s="1961" t="s">
        <v>38</v>
      </c>
      <c r="AG133" s="1951">
        <f t="shared" si="56"/>
        <v>96</v>
      </c>
      <c r="AH133" s="1951">
        <f t="shared" si="57"/>
        <v>96</v>
      </c>
      <c r="AI133" s="1951">
        <f t="shared" si="58"/>
        <v>96</v>
      </c>
      <c r="AJ133" s="1982"/>
      <c r="AK133" s="1982"/>
      <c r="AL133" s="1982"/>
      <c r="AM133" s="1982"/>
      <c r="AN133" s="1982"/>
      <c r="AO133" s="1983"/>
      <c r="AP133" s="1983"/>
      <c r="AQ133" s="1983"/>
      <c r="AR133" s="1962"/>
      <c r="AS133" s="1951"/>
      <c r="AT133" s="1962"/>
      <c r="AU133" s="1962"/>
      <c r="AV133" s="1962"/>
      <c r="AW133" s="1984"/>
      <c r="AX133" s="1984"/>
      <c r="AY133" s="1984"/>
      <c r="AZ133" s="1984"/>
      <c r="BA133" s="1984"/>
      <c r="BB133" s="1984"/>
      <c r="BC133" s="1984"/>
      <c r="BD133" s="1984"/>
      <c r="BE133" s="1984"/>
      <c r="BF133" s="1984"/>
      <c r="BG133" s="1984"/>
      <c r="BH133" s="1984"/>
      <c r="BI133" s="1984"/>
      <c r="BJ133" s="1984"/>
      <c r="BK133" s="1984"/>
      <c r="BL133" s="1984"/>
      <c r="BM133" s="1984"/>
      <c r="BN133" s="1984"/>
      <c r="BO133" s="1984"/>
      <c r="BP133" s="1984"/>
      <c r="BQ133" s="1984"/>
      <c r="BR133" s="1984"/>
      <c r="BS133" s="1984"/>
      <c r="BT133" s="1984"/>
      <c r="BU133" s="1984"/>
      <c r="BV133" s="1984"/>
      <c r="BW133" s="1984"/>
      <c r="BX133" s="1984"/>
      <c r="BY133" s="1984"/>
      <c r="BZ133" s="1984"/>
      <c r="CA133" s="1984"/>
      <c r="CB133" s="1984"/>
      <c r="CC133" s="1984"/>
      <c r="CD133" s="1984"/>
      <c r="CE133" s="1984"/>
      <c r="CF133" s="1984"/>
      <c r="CG133" s="1984"/>
      <c r="CH133" s="1984"/>
      <c r="CI133" s="1984"/>
      <c r="CJ133" s="1984"/>
      <c r="CK133" s="1984"/>
      <c r="CL133" s="1984"/>
      <c r="CM133" s="1984"/>
      <c r="CN133" s="1984"/>
      <c r="CO133" s="1984"/>
      <c r="CP133" s="1984"/>
      <c r="CQ133" s="1984"/>
      <c r="CR133" s="1984"/>
      <c r="CS133" s="1984"/>
      <c r="CT133" s="1984"/>
      <c r="CU133" s="1984"/>
      <c r="CV133" s="1984"/>
      <c r="CW133" s="1984"/>
      <c r="CX133" s="1984"/>
      <c r="CY133" s="1984"/>
      <c r="CZ133" s="1984"/>
      <c r="DA133" s="1984"/>
      <c r="DB133" s="1984"/>
      <c r="DC133" s="1984"/>
      <c r="DD133" s="1984"/>
      <c r="DE133" s="1984"/>
      <c r="DF133" s="1984"/>
      <c r="DG133" s="1984"/>
      <c r="DH133" s="1984"/>
      <c r="DI133" s="1984"/>
      <c r="DJ133" s="1984"/>
      <c r="DK133" s="1984"/>
      <c r="DL133" s="1984"/>
      <c r="DM133" s="1984"/>
      <c r="DN133" s="1984"/>
      <c r="DO133" s="1984"/>
      <c r="DP133" s="1984"/>
      <c r="DQ133" s="1984"/>
      <c r="DR133" s="1984"/>
      <c r="DS133" s="1984"/>
      <c r="DT133" s="1984"/>
      <c r="DU133" s="1984"/>
      <c r="DV133" s="1984"/>
      <c r="DW133" s="1984"/>
      <c r="DX133" s="1985"/>
      <c r="DY133" s="1985"/>
      <c r="DZ133" s="1985"/>
      <c r="EA133" s="1985"/>
      <c r="EB133" s="1985"/>
      <c r="EC133" s="1985"/>
      <c r="ED133" s="1985"/>
      <c r="EE133" s="1985"/>
      <c r="EF133" s="1985"/>
      <c r="EG133" s="1985"/>
      <c r="EH133" s="1985"/>
      <c r="EI133" s="1985"/>
      <c r="EJ133" s="1985"/>
      <c r="EK133" s="1985"/>
      <c r="EL133" s="1985"/>
      <c r="EM133" s="1985"/>
      <c r="EN133" s="1985"/>
      <c r="EO133" s="1985"/>
      <c r="EP133" s="1985"/>
      <c r="EQ133" s="1985"/>
      <c r="ER133" s="1985"/>
      <c r="ES133" s="1985"/>
      <c r="ET133" s="1985"/>
      <c r="EU133" s="1985"/>
      <c r="EV133" s="1985"/>
      <c r="EW133" s="1985"/>
      <c r="EX133" s="1985"/>
      <c r="EY133" s="1985"/>
      <c r="EZ133" s="1985"/>
      <c r="FA133" s="1985"/>
      <c r="FB133" s="1985"/>
      <c r="FC133" s="1985"/>
      <c r="FD133" s="1985"/>
      <c r="FE133" s="1985"/>
      <c r="FF133" s="1985"/>
      <c r="FG133" s="1985"/>
      <c r="FH133" s="1985"/>
      <c r="FI133" s="1985"/>
      <c r="FJ133" s="1985"/>
      <c r="FK133" s="1985"/>
      <c r="FL133" s="1985"/>
      <c r="FM133" s="1985"/>
      <c r="FN133" s="1985"/>
      <c r="FO133" s="1985"/>
      <c r="FP133" s="1985"/>
      <c r="FQ133" s="1985"/>
      <c r="FR133" s="1985"/>
      <c r="FS133" s="1985"/>
      <c r="FT133" s="1985"/>
      <c r="FU133" s="1985"/>
      <c r="FV133" s="1985"/>
      <c r="FW133" s="1985"/>
      <c r="FX133" s="1985"/>
      <c r="FY133" s="1985"/>
      <c r="FZ133" s="1985"/>
      <c r="GA133" s="1985"/>
    </row>
    <row r="134" s="1666" customFormat="1" ht="36" hidden="1" customHeight="1" spans="1:183">
      <c r="A134" s="1953">
        <v>45040</v>
      </c>
      <c r="B134" s="1954" t="s">
        <v>257</v>
      </c>
      <c r="C134" s="1955" t="s">
        <v>258</v>
      </c>
      <c r="D134" s="1956">
        <v>4500101483</v>
      </c>
      <c r="E134" s="1957">
        <v>27514796</v>
      </c>
      <c r="F134" s="1956" t="s">
        <v>1981</v>
      </c>
      <c r="G134" s="1951" t="s">
        <v>1918</v>
      </c>
      <c r="H134" s="1951" t="s">
        <v>1891</v>
      </c>
      <c r="I134" s="1961" t="s">
        <v>1479</v>
      </c>
      <c r="J134" s="1951">
        <v>5400</v>
      </c>
      <c r="K134" s="1951">
        <v>0</v>
      </c>
      <c r="L134" s="1951">
        <v>24</v>
      </c>
      <c r="M134" s="1962">
        <f t="shared" si="54"/>
        <v>225</v>
      </c>
      <c r="N134" s="1963">
        <v>45181</v>
      </c>
      <c r="O134" s="1843" t="s">
        <v>1951</v>
      </c>
      <c r="P134" s="1964" t="s">
        <v>1982</v>
      </c>
      <c r="Q134" s="1964"/>
      <c r="R134" s="1964"/>
      <c r="S134" s="1971" t="s">
        <v>1983</v>
      </c>
      <c r="T134" s="1972"/>
      <c r="U134" s="1975" t="s">
        <v>1984</v>
      </c>
      <c r="V134" s="1976" t="s">
        <v>1985</v>
      </c>
      <c r="W134" s="1977" t="s">
        <v>1986</v>
      </c>
      <c r="X134" s="1961" t="s">
        <v>1987</v>
      </c>
      <c r="Y134" s="1979">
        <v>1.4063</v>
      </c>
      <c r="Z134" s="1980">
        <f t="shared" si="55"/>
        <v>7594.02</v>
      </c>
      <c r="AA134" s="1981"/>
      <c r="AB134" s="1981"/>
      <c r="AC134" s="1981"/>
      <c r="AD134" s="1981"/>
      <c r="AE134" s="1962" t="s">
        <v>63</v>
      </c>
      <c r="AF134" s="1961" t="s">
        <v>38</v>
      </c>
      <c r="AG134" s="1951">
        <f t="shared" si="56"/>
        <v>1800</v>
      </c>
      <c r="AH134" s="1951">
        <f t="shared" si="57"/>
        <v>1800</v>
      </c>
      <c r="AI134" s="1951">
        <f t="shared" si="58"/>
        <v>1800</v>
      </c>
      <c r="AJ134" s="1982"/>
      <c r="AK134" s="1982"/>
      <c r="AL134" s="1982"/>
      <c r="AM134" s="1982">
        <f>J134/6</f>
        <v>900</v>
      </c>
      <c r="AN134" s="1982"/>
      <c r="AO134" s="1983"/>
      <c r="AP134" s="1983"/>
      <c r="AQ134" s="1983"/>
      <c r="AR134" s="1962"/>
      <c r="AS134" s="1951"/>
      <c r="AT134" s="1962"/>
      <c r="AU134" s="1962"/>
      <c r="AV134" s="1962"/>
      <c r="AW134" s="1984"/>
      <c r="AX134" s="1984"/>
      <c r="AY134" s="1984"/>
      <c r="AZ134" s="1984"/>
      <c r="BA134" s="1984"/>
      <c r="BB134" s="1984"/>
      <c r="BC134" s="1984"/>
      <c r="BD134" s="1984"/>
      <c r="BE134" s="1984"/>
      <c r="BF134" s="1984"/>
      <c r="BG134" s="1984"/>
      <c r="BH134" s="1984"/>
      <c r="BI134" s="1984"/>
      <c r="BJ134" s="1984"/>
      <c r="BK134" s="1984"/>
      <c r="BL134" s="1984"/>
      <c r="BM134" s="1984"/>
      <c r="BN134" s="1984"/>
      <c r="BO134" s="1984"/>
      <c r="BP134" s="1984"/>
      <c r="BQ134" s="1984"/>
      <c r="BR134" s="1984"/>
      <c r="BS134" s="1984"/>
      <c r="BT134" s="1984"/>
      <c r="BU134" s="1984"/>
      <c r="BV134" s="1984"/>
      <c r="BW134" s="1984"/>
      <c r="BX134" s="1984"/>
      <c r="BY134" s="1984"/>
      <c r="BZ134" s="1984"/>
      <c r="CA134" s="1984"/>
      <c r="CB134" s="1984"/>
      <c r="CC134" s="1984"/>
      <c r="CD134" s="1984"/>
      <c r="CE134" s="1984"/>
      <c r="CF134" s="1984"/>
      <c r="CG134" s="1984"/>
      <c r="CH134" s="1984"/>
      <c r="CI134" s="1984"/>
      <c r="CJ134" s="1984"/>
      <c r="CK134" s="1984"/>
      <c r="CL134" s="1984"/>
      <c r="CM134" s="1984"/>
      <c r="CN134" s="1984"/>
      <c r="CO134" s="1984"/>
      <c r="CP134" s="1984"/>
      <c r="CQ134" s="1984"/>
      <c r="CR134" s="1984"/>
      <c r="CS134" s="1984"/>
      <c r="CT134" s="1984"/>
      <c r="CU134" s="1984"/>
      <c r="CV134" s="1984"/>
      <c r="CW134" s="1984"/>
      <c r="CX134" s="1984"/>
      <c r="CY134" s="1984"/>
      <c r="CZ134" s="1984"/>
      <c r="DA134" s="1984"/>
      <c r="DB134" s="1984"/>
      <c r="DC134" s="1984"/>
      <c r="DD134" s="1984"/>
      <c r="DE134" s="1984"/>
      <c r="DF134" s="1984"/>
      <c r="DG134" s="1984"/>
      <c r="DH134" s="1984"/>
      <c r="DI134" s="1984"/>
      <c r="DJ134" s="1984"/>
      <c r="DK134" s="1984"/>
      <c r="DL134" s="1984"/>
      <c r="DM134" s="1984"/>
      <c r="DN134" s="1984"/>
      <c r="DO134" s="1984"/>
      <c r="DP134" s="1984"/>
      <c r="DQ134" s="1984"/>
      <c r="DR134" s="1984"/>
      <c r="DS134" s="1984"/>
      <c r="DT134" s="1984"/>
      <c r="DU134" s="1984"/>
      <c r="DV134" s="1984"/>
      <c r="DW134" s="1984"/>
      <c r="DX134" s="1985"/>
      <c r="DY134" s="1985"/>
      <c r="DZ134" s="1985"/>
      <c r="EA134" s="1985"/>
      <c r="EB134" s="1985"/>
      <c r="EC134" s="1985"/>
      <c r="ED134" s="1985"/>
      <c r="EE134" s="1985"/>
      <c r="EF134" s="1985"/>
      <c r="EG134" s="1985"/>
      <c r="EH134" s="1985"/>
      <c r="EI134" s="1985"/>
      <c r="EJ134" s="1985"/>
      <c r="EK134" s="1985"/>
      <c r="EL134" s="1985"/>
      <c r="EM134" s="1985"/>
      <c r="EN134" s="1985"/>
      <c r="EO134" s="1985"/>
      <c r="EP134" s="1985"/>
      <c r="EQ134" s="1985"/>
      <c r="ER134" s="1985"/>
      <c r="ES134" s="1985"/>
      <c r="ET134" s="1985"/>
      <c r="EU134" s="1985"/>
      <c r="EV134" s="1985"/>
      <c r="EW134" s="1985"/>
      <c r="EX134" s="1985"/>
      <c r="EY134" s="1985"/>
      <c r="EZ134" s="1985"/>
      <c r="FA134" s="1985"/>
      <c r="FB134" s="1985"/>
      <c r="FC134" s="1985"/>
      <c r="FD134" s="1985"/>
      <c r="FE134" s="1985"/>
      <c r="FF134" s="1985"/>
      <c r="FG134" s="1985"/>
      <c r="FH134" s="1985"/>
      <c r="FI134" s="1985"/>
      <c r="FJ134" s="1985"/>
      <c r="FK134" s="1985"/>
      <c r="FL134" s="1985"/>
      <c r="FM134" s="1985"/>
      <c r="FN134" s="1985"/>
      <c r="FO134" s="1985"/>
      <c r="FP134" s="1985"/>
      <c r="FQ134" s="1985"/>
      <c r="FR134" s="1985"/>
      <c r="FS134" s="1985"/>
      <c r="FT134" s="1985"/>
      <c r="FU134" s="1985"/>
      <c r="FV134" s="1985"/>
      <c r="FW134" s="1985"/>
      <c r="FX134" s="1985"/>
      <c r="FY134" s="1985"/>
      <c r="FZ134" s="1985"/>
      <c r="GA134" s="1985"/>
    </row>
    <row r="135" s="1666" customFormat="1" ht="36" hidden="1" customHeight="1" spans="1:183">
      <c r="A135" s="1953">
        <v>45040</v>
      </c>
      <c r="B135" s="1958" t="s">
        <v>257</v>
      </c>
      <c r="C135" s="1955" t="s">
        <v>258</v>
      </c>
      <c r="D135" s="1959">
        <v>4500101483</v>
      </c>
      <c r="E135" s="1957">
        <v>27514796</v>
      </c>
      <c r="F135" s="1956" t="s">
        <v>1988</v>
      </c>
      <c r="G135" s="1951" t="s">
        <v>1918</v>
      </c>
      <c r="H135" s="1951" t="s">
        <v>1891</v>
      </c>
      <c r="I135" s="1961" t="s">
        <v>1479</v>
      </c>
      <c r="J135" s="1951">
        <v>1800</v>
      </c>
      <c r="K135" s="1951">
        <v>0</v>
      </c>
      <c r="L135" s="1951">
        <v>24</v>
      </c>
      <c r="M135" s="1962">
        <f t="shared" si="54"/>
        <v>75</v>
      </c>
      <c r="N135" s="1963">
        <v>45181</v>
      </c>
      <c r="O135" s="1843" t="s">
        <v>1951</v>
      </c>
      <c r="P135" s="1964" t="s">
        <v>1982</v>
      </c>
      <c r="Q135" s="1964"/>
      <c r="R135" s="1964"/>
      <c r="S135" s="1971" t="s">
        <v>1983</v>
      </c>
      <c r="T135" s="1972"/>
      <c r="U135" s="1975" t="s">
        <v>1984</v>
      </c>
      <c r="V135" s="1976" t="s">
        <v>1985</v>
      </c>
      <c r="W135" s="1977" t="s">
        <v>1986</v>
      </c>
      <c r="X135" s="1961" t="s">
        <v>1987</v>
      </c>
      <c r="Y135" s="1979">
        <v>1.4063</v>
      </c>
      <c r="Z135" s="1980">
        <f t="shared" si="55"/>
        <v>2531.34</v>
      </c>
      <c r="AA135" s="1981"/>
      <c r="AB135" s="1981"/>
      <c r="AC135" s="1981"/>
      <c r="AD135" s="1981"/>
      <c r="AE135" s="1962" t="s">
        <v>63</v>
      </c>
      <c r="AF135" s="1961" t="s">
        <v>38</v>
      </c>
      <c r="AG135" s="1951">
        <f t="shared" si="56"/>
        <v>600</v>
      </c>
      <c r="AH135" s="1951">
        <f t="shared" si="57"/>
        <v>600</v>
      </c>
      <c r="AI135" s="1951">
        <f t="shared" si="58"/>
        <v>600</v>
      </c>
      <c r="AJ135" s="1982"/>
      <c r="AK135" s="1982"/>
      <c r="AL135" s="1982"/>
      <c r="AM135" s="1982">
        <f>J135/6</f>
        <v>300</v>
      </c>
      <c r="AN135" s="1982"/>
      <c r="AO135" s="1983"/>
      <c r="AP135" s="1983"/>
      <c r="AQ135" s="1983"/>
      <c r="AR135" s="1962"/>
      <c r="AS135" s="1951"/>
      <c r="AT135" s="1962"/>
      <c r="AU135" s="1962"/>
      <c r="AV135" s="1962"/>
      <c r="AW135" s="1984"/>
      <c r="AX135" s="1984"/>
      <c r="AY135" s="1984"/>
      <c r="AZ135" s="1984"/>
      <c r="BA135" s="1984"/>
      <c r="BB135" s="1984"/>
      <c r="BC135" s="1984"/>
      <c r="BD135" s="1984"/>
      <c r="BE135" s="1984"/>
      <c r="BF135" s="1984"/>
      <c r="BG135" s="1984"/>
      <c r="BH135" s="1984"/>
      <c r="BI135" s="1984"/>
      <c r="BJ135" s="1984"/>
      <c r="BK135" s="1984"/>
      <c r="BL135" s="1984"/>
      <c r="BM135" s="1984"/>
      <c r="BN135" s="1984"/>
      <c r="BO135" s="1984"/>
      <c r="BP135" s="1984"/>
      <c r="BQ135" s="1984"/>
      <c r="BR135" s="1984"/>
      <c r="BS135" s="1984"/>
      <c r="BT135" s="1984"/>
      <c r="BU135" s="1984"/>
      <c r="BV135" s="1984"/>
      <c r="BW135" s="1984"/>
      <c r="BX135" s="1984"/>
      <c r="BY135" s="1984"/>
      <c r="BZ135" s="1984"/>
      <c r="CA135" s="1984"/>
      <c r="CB135" s="1984"/>
      <c r="CC135" s="1984"/>
      <c r="CD135" s="1984"/>
      <c r="CE135" s="1984"/>
      <c r="CF135" s="1984"/>
      <c r="CG135" s="1984"/>
      <c r="CH135" s="1984"/>
      <c r="CI135" s="1984"/>
      <c r="CJ135" s="1984"/>
      <c r="CK135" s="1984"/>
      <c r="CL135" s="1984"/>
      <c r="CM135" s="1984"/>
      <c r="CN135" s="1984"/>
      <c r="CO135" s="1984"/>
      <c r="CP135" s="1984"/>
      <c r="CQ135" s="1984"/>
      <c r="CR135" s="1984"/>
      <c r="CS135" s="1984"/>
      <c r="CT135" s="1984"/>
      <c r="CU135" s="1984"/>
      <c r="CV135" s="1984"/>
      <c r="CW135" s="1984"/>
      <c r="CX135" s="1984"/>
      <c r="CY135" s="1984"/>
      <c r="CZ135" s="1984"/>
      <c r="DA135" s="1984"/>
      <c r="DB135" s="1984"/>
      <c r="DC135" s="1984"/>
      <c r="DD135" s="1984"/>
      <c r="DE135" s="1984"/>
      <c r="DF135" s="1984"/>
      <c r="DG135" s="1984"/>
      <c r="DH135" s="1984"/>
      <c r="DI135" s="1984"/>
      <c r="DJ135" s="1984"/>
      <c r="DK135" s="1984"/>
      <c r="DL135" s="1984"/>
      <c r="DM135" s="1984"/>
      <c r="DN135" s="1984"/>
      <c r="DO135" s="1984"/>
      <c r="DP135" s="1984"/>
      <c r="DQ135" s="1984"/>
      <c r="DR135" s="1984"/>
      <c r="DS135" s="1984"/>
      <c r="DT135" s="1984"/>
      <c r="DU135" s="1984"/>
      <c r="DV135" s="1984"/>
      <c r="DW135" s="1984"/>
      <c r="DX135" s="1985"/>
      <c r="DY135" s="1985"/>
      <c r="DZ135" s="1985"/>
      <c r="EA135" s="1985"/>
      <c r="EB135" s="1985"/>
      <c r="EC135" s="1985"/>
      <c r="ED135" s="1985"/>
      <c r="EE135" s="1985"/>
      <c r="EF135" s="1985"/>
      <c r="EG135" s="1985"/>
      <c r="EH135" s="1985"/>
      <c r="EI135" s="1985"/>
      <c r="EJ135" s="1985"/>
      <c r="EK135" s="1985"/>
      <c r="EL135" s="1985"/>
      <c r="EM135" s="1985"/>
      <c r="EN135" s="1985"/>
      <c r="EO135" s="1985"/>
      <c r="EP135" s="1985"/>
      <c r="EQ135" s="1985"/>
      <c r="ER135" s="1985"/>
      <c r="ES135" s="1985"/>
      <c r="ET135" s="1985"/>
      <c r="EU135" s="1985"/>
      <c r="EV135" s="1985"/>
      <c r="EW135" s="1985"/>
      <c r="EX135" s="1985"/>
      <c r="EY135" s="1985"/>
      <c r="EZ135" s="1985"/>
      <c r="FA135" s="1985"/>
      <c r="FB135" s="1985"/>
      <c r="FC135" s="1985"/>
      <c r="FD135" s="1985"/>
      <c r="FE135" s="1985"/>
      <c r="FF135" s="1985"/>
      <c r="FG135" s="1985"/>
      <c r="FH135" s="1985"/>
      <c r="FI135" s="1985"/>
      <c r="FJ135" s="1985"/>
      <c r="FK135" s="1985"/>
      <c r="FL135" s="1985"/>
      <c r="FM135" s="1985"/>
      <c r="FN135" s="1985"/>
      <c r="FO135" s="1985"/>
      <c r="FP135" s="1985"/>
      <c r="FQ135" s="1985"/>
      <c r="FR135" s="1985"/>
      <c r="FS135" s="1985"/>
      <c r="FT135" s="1985"/>
      <c r="FU135" s="1985"/>
      <c r="FV135" s="1985"/>
      <c r="FW135" s="1985"/>
      <c r="FX135" s="1985"/>
      <c r="FY135" s="1985"/>
      <c r="FZ135" s="1985"/>
      <c r="GA135" s="1985"/>
    </row>
    <row r="136" s="1667" customFormat="1" customHeight="1" spans="1:22">
      <c r="A136" s="1960"/>
      <c r="V136" s="1978"/>
    </row>
    <row r="137" s="1667" customFormat="1" customHeight="1" spans="1:22">
      <c r="A137" s="1960"/>
      <c r="V137" s="1978"/>
    </row>
    <row r="138" s="1667" customFormat="1" customHeight="1" spans="1:22">
      <c r="A138" s="1960"/>
      <c r="L138" s="1965"/>
      <c r="M138" s="1965"/>
      <c r="V138" s="1978"/>
    </row>
    <row r="139" s="1667" customFormat="1" customHeight="1" spans="1:22">
      <c r="A139" s="1960"/>
      <c r="V139" s="1978"/>
    </row>
    <row r="140" s="1667" customFormat="1" customHeight="1" spans="1:22">
      <c r="A140" s="1960"/>
      <c r="V140" s="1978"/>
    </row>
    <row r="141" s="1667" customFormat="1" customHeight="1" spans="1:22">
      <c r="A141" s="1960"/>
      <c r="V141" s="1978"/>
    </row>
    <row r="142" customHeight="1" spans="1:32">
      <c r="A142" s="1799"/>
      <c r="C142" s="1800"/>
      <c r="N142" s="1776"/>
      <c r="O142" s="1776"/>
      <c r="AB142" s="1893"/>
      <c r="AC142" s="1893"/>
      <c r="AD142" s="1678"/>
      <c r="AE142" s="1800"/>
      <c r="AF142" s="1800"/>
    </row>
    <row r="143" customHeight="1" spans="1:32">
      <c r="A143" s="1799"/>
      <c r="C143" s="1800"/>
      <c r="N143" s="1776"/>
      <c r="O143" s="1776"/>
      <c r="AB143" s="1893"/>
      <c r="AC143" s="1893"/>
      <c r="AD143" s="1678"/>
      <c r="AE143" s="1800"/>
      <c r="AF143" s="1800"/>
    </row>
    <row r="144" customHeight="1" spans="1:32">
      <c r="A144" s="1799"/>
      <c r="C144" s="1800"/>
      <c r="N144" s="1776"/>
      <c r="O144" s="1776"/>
      <c r="AB144" s="1893"/>
      <c r="AC144" s="1893"/>
      <c r="AD144" s="1678"/>
      <c r="AE144" s="1800"/>
      <c r="AF144" s="1800"/>
    </row>
    <row r="145" customHeight="1" spans="1:32">
      <c r="A145" s="1799"/>
      <c r="C145" s="1800"/>
      <c r="N145" s="1776"/>
      <c r="O145" s="1776"/>
      <c r="AB145" s="1893"/>
      <c r="AC145" s="1893"/>
      <c r="AD145" s="1678"/>
      <c r="AE145" s="1800"/>
      <c r="AF145" s="1800"/>
    </row>
    <row r="146" customHeight="1" spans="1:32">
      <c r="A146" s="1799"/>
      <c r="C146" s="1800"/>
      <c r="J146" s="1670" t="s">
        <v>1989</v>
      </c>
      <c r="N146" s="1776"/>
      <c r="O146" s="1776"/>
      <c r="AB146" s="1893"/>
      <c r="AC146" s="1893"/>
      <c r="AD146" s="1678"/>
      <c r="AE146" s="1800"/>
      <c r="AF146" s="1800"/>
    </row>
    <row r="147" customHeight="1" spans="1:32">
      <c r="A147" s="1799"/>
      <c r="C147" s="1800"/>
      <c r="N147" s="1776"/>
      <c r="O147" s="1776"/>
      <c r="AB147" s="1893"/>
      <c r="AC147" s="1893"/>
      <c r="AD147" s="1678"/>
      <c r="AE147" s="1800"/>
      <c r="AF147" s="1800"/>
    </row>
    <row r="148" customHeight="1" spans="1:32">
      <c r="A148" s="1799"/>
      <c r="C148" s="1800"/>
      <c r="N148" s="1776"/>
      <c r="O148" s="1776"/>
      <c r="AB148" s="1893"/>
      <c r="AC148" s="1893"/>
      <c r="AD148" s="1670"/>
      <c r="AE148" s="1800"/>
      <c r="AF148" s="1800"/>
    </row>
    <row r="149" customHeight="1" spans="1:32">
      <c r="A149" s="1799"/>
      <c r="C149" s="1800"/>
      <c r="N149" s="1776"/>
      <c r="O149" s="1776"/>
      <c r="AB149" s="1893"/>
      <c r="AC149" s="1893"/>
      <c r="AD149" s="1670"/>
      <c r="AE149" s="1800"/>
      <c r="AF149" s="1800"/>
    </row>
    <row r="150" customHeight="1" spans="1:32">
      <c r="A150" s="1799"/>
      <c r="C150" s="1800"/>
      <c r="N150" s="1776"/>
      <c r="O150" s="1776"/>
      <c r="AB150" s="1893"/>
      <c r="AC150" s="1893"/>
      <c r="AD150" s="1670"/>
      <c r="AE150" s="1800"/>
      <c r="AF150" s="1800"/>
    </row>
    <row r="151" customHeight="1" spans="1:32">
      <c r="A151" s="1799"/>
      <c r="C151" s="1800"/>
      <c r="N151" s="1776"/>
      <c r="O151" s="1776"/>
      <c r="AB151" s="1893"/>
      <c r="AC151" s="1893"/>
      <c r="AD151" s="1670"/>
      <c r="AE151" s="1800"/>
      <c r="AF151" s="1800"/>
    </row>
    <row r="152" customHeight="1" spans="1:32">
      <c r="A152" s="1799"/>
      <c r="C152" s="1800"/>
      <c r="N152" s="1776"/>
      <c r="O152" s="1776"/>
      <c r="AB152" s="1893"/>
      <c r="AC152" s="1893"/>
      <c r="AD152" s="1670"/>
      <c r="AE152" s="1800"/>
      <c r="AF152" s="1800"/>
    </row>
    <row r="153" customHeight="1" spans="1:32">
      <c r="A153" s="1799"/>
      <c r="C153" s="1800"/>
      <c r="N153" s="1776"/>
      <c r="O153" s="1776"/>
      <c r="AB153" s="1893"/>
      <c r="AC153" s="1893"/>
      <c r="AD153" s="1670"/>
      <c r="AE153" s="1800"/>
      <c r="AF153" s="1800"/>
    </row>
    <row r="154" customHeight="1" spans="1:32">
      <c r="A154" s="1799"/>
      <c r="C154" s="1800"/>
      <c r="N154" s="1776"/>
      <c r="O154" s="1776"/>
      <c r="AB154" s="1893"/>
      <c r="AC154" s="1893"/>
      <c r="AD154" s="1670"/>
      <c r="AE154" s="1800"/>
      <c r="AF154" s="1800"/>
    </row>
    <row r="155" customHeight="1" spans="1:32">
      <c r="A155" s="1799"/>
      <c r="C155" s="1800"/>
      <c r="N155" s="1776"/>
      <c r="O155" s="1776"/>
      <c r="AB155" s="1893"/>
      <c r="AC155" s="1893"/>
      <c r="AD155" s="1670"/>
      <c r="AE155" s="1800"/>
      <c r="AF155" s="1800"/>
    </row>
    <row r="156" customHeight="1" spans="1:32">
      <c r="A156" s="1799"/>
      <c r="C156" s="1800"/>
      <c r="N156" s="1776"/>
      <c r="O156" s="1776"/>
      <c r="AB156" s="1893"/>
      <c r="AC156" s="1893"/>
      <c r="AD156" s="1670"/>
      <c r="AE156" s="1800"/>
      <c r="AF156" s="1800"/>
    </row>
    <row r="157" customHeight="1" spans="1:32">
      <c r="A157" s="1799"/>
      <c r="C157" s="1800"/>
      <c r="N157" s="1776"/>
      <c r="O157" s="1776"/>
      <c r="AB157" s="1893"/>
      <c r="AC157" s="1893"/>
      <c r="AD157" s="1670"/>
      <c r="AE157" s="1800"/>
      <c r="AF157" s="1800"/>
    </row>
    <row r="158" customHeight="1" spans="1:32">
      <c r="A158" s="1799"/>
      <c r="C158" s="1800"/>
      <c r="N158" s="1776"/>
      <c r="O158" s="1776"/>
      <c r="AB158" s="1893"/>
      <c r="AC158" s="1893"/>
      <c r="AD158" s="1670"/>
      <c r="AE158" s="1800"/>
      <c r="AF158" s="1800"/>
    </row>
    <row r="159" customHeight="1" spans="1:32">
      <c r="A159" s="1799"/>
      <c r="C159" s="1800"/>
      <c r="N159" s="1776"/>
      <c r="O159" s="1776"/>
      <c r="AB159" s="1893"/>
      <c r="AC159" s="1893"/>
      <c r="AD159" s="1670"/>
      <c r="AE159" s="1800"/>
      <c r="AF159" s="1800"/>
    </row>
    <row r="160" customHeight="1" spans="1:32">
      <c r="A160" s="1799"/>
      <c r="C160" s="1800"/>
      <c r="N160" s="1776"/>
      <c r="O160" s="1776"/>
      <c r="AB160" s="1893"/>
      <c r="AC160" s="1893"/>
      <c r="AD160" s="1670"/>
      <c r="AE160" s="1800"/>
      <c r="AF160" s="1800"/>
    </row>
    <row r="161" customHeight="1" spans="1:32">
      <c r="A161" s="1799"/>
      <c r="C161" s="1800"/>
      <c r="N161" s="1776"/>
      <c r="O161" s="1776"/>
      <c r="AB161" s="1893"/>
      <c r="AC161" s="1893"/>
      <c r="AD161" s="1670"/>
      <c r="AE161" s="1800"/>
      <c r="AF161" s="1800"/>
    </row>
    <row r="162" customHeight="1" spans="1:32">
      <c r="A162" s="1799"/>
      <c r="C162" s="1800"/>
      <c r="N162" s="1776"/>
      <c r="O162" s="1776"/>
      <c r="AB162" s="1893"/>
      <c r="AC162" s="1893"/>
      <c r="AD162" s="1670"/>
      <c r="AE162" s="1800"/>
      <c r="AF162" s="1800"/>
    </row>
    <row r="163" customHeight="1" spans="1:32">
      <c r="A163" s="1799"/>
      <c r="C163" s="1800"/>
      <c r="N163" s="1776"/>
      <c r="O163" s="1776"/>
      <c r="AB163" s="1893"/>
      <c r="AC163" s="1893"/>
      <c r="AD163" s="1670"/>
      <c r="AE163" s="1800"/>
      <c r="AF163" s="1800"/>
    </row>
    <row r="164" customHeight="1" spans="1:32">
      <c r="A164" s="1799"/>
      <c r="C164" s="1800"/>
      <c r="N164" s="1776"/>
      <c r="O164" s="1776"/>
      <c r="AB164" s="1893"/>
      <c r="AC164" s="1893"/>
      <c r="AD164" s="1670"/>
      <c r="AE164" s="1800"/>
      <c r="AF164" s="1800"/>
    </row>
    <row r="165" customHeight="1" spans="1:32">
      <c r="A165" s="1799"/>
      <c r="C165" s="1800"/>
      <c r="N165" s="1776"/>
      <c r="O165" s="1776"/>
      <c r="AB165" s="1893"/>
      <c r="AC165" s="1893"/>
      <c r="AD165" s="1670"/>
      <c r="AE165" s="1800"/>
      <c r="AF165" s="1800"/>
    </row>
    <row r="166" customHeight="1" spans="1:32">
      <c r="A166" s="1799"/>
      <c r="C166" s="1800"/>
      <c r="N166" s="1776"/>
      <c r="O166" s="1776"/>
      <c r="AB166" s="1893"/>
      <c r="AC166" s="1893"/>
      <c r="AD166" s="1670"/>
      <c r="AE166" s="1800"/>
      <c r="AF166" s="1800"/>
    </row>
    <row r="167" customHeight="1" spans="1:32">
      <c r="A167" s="1799"/>
      <c r="C167" s="1800"/>
      <c r="N167" s="1776"/>
      <c r="O167" s="1776"/>
      <c r="AB167" s="1893"/>
      <c r="AC167" s="1893"/>
      <c r="AD167" s="1670"/>
      <c r="AE167" s="1800"/>
      <c r="AF167" s="1800"/>
    </row>
    <row r="168" customHeight="1" spans="1:32">
      <c r="A168" s="1799"/>
      <c r="C168" s="1800"/>
      <c r="N168" s="1776"/>
      <c r="O168" s="1776"/>
      <c r="AB168" s="1893"/>
      <c r="AC168" s="1893"/>
      <c r="AD168" s="1670"/>
      <c r="AE168" s="1800"/>
      <c r="AF168" s="1800"/>
    </row>
    <row r="169" customHeight="1" spans="1:32">
      <c r="A169" s="1799"/>
      <c r="C169" s="1800"/>
      <c r="N169" s="1776"/>
      <c r="O169" s="1776"/>
      <c r="AB169" s="1893"/>
      <c r="AC169" s="1893"/>
      <c r="AD169" s="1670"/>
      <c r="AE169" s="1800"/>
      <c r="AF169" s="1800"/>
    </row>
    <row r="170" customHeight="1" spans="1:32">
      <c r="A170" s="1799"/>
      <c r="C170" s="1800"/>
      <c r="N170" s="1776"/>
      <c r="O170" s="1776"/>
      <c r="AB170" s="1893"/>
      <c r="AC170" s="1893"/>
      <c r="AD170" s="1670"/>
      <c r="AE170" s="1800"/>
      <c r="AF170" s="1800"/>
    </row>
    <row r="171" customHeight="1" spans="1:32">
      <c r="A171" s="1799"/>
      <c r="C171" s="1800"/>
      <c r="N171" s="1776"/>
      <c r="O171" s="1776"/>
      <c r="AB171" s="1893"/>
      <c r="AC171" s="1893"/>
      <c r="AD171" s="1670"/>
      <c r="AE171" s="1800"/>
      <c r="AF171" s="1800"/>
    </row>
    <row r="172" customHeight="1" spans="1:32">
      <c r="A172" s="1799"/>
      <c r="C172" s="1800"/>
      <c r="N172" s="1776"/>
      <c r="O172" s="1776"/>
      <c r="AB172" s="1893"/>
      <c r="AC172" s="1893"/>
      <c r="AD172" s="1670"/>
      <c r="AE172" s="1800"/>
      <c r="AF172" s="1800"/>
    </row>
    <row r="173" customHeight="1" spans="1:32">
      <c r="A173" s="1799"/>
      <c r="C173" s="1800"/>
      <c r="N173" s="1776"/>
      <c r="O173" s="1776"/>
      <c r="AB173" s="1893"/>
      <c r="AC173" s="1893"/>
      <c r="AD173" s="1670"/>
      <c r="AE173" s="1800"/>
      <c r="AF173" s="1800"/>
    </row>
    <row r="174" customHeight="1" spans="1:32">
      <c r="A174" s="1799"/>
      <c r="C174" s="1800"/>
      <c r="N174" s="1776"/>
      <c r="O174" s="1776"/>
      <c r="AB174" s="1893"/>
      <c r="AC174" s="1893"/>
      <c r="AD174" s="1670"/>
      <c r="AE174" s="1800"/>
      <c r="AF174" s="1800"/>
    </row>
    <row r="175" customHeight="1" spans="1:32">
      <c r="A175" s="1799"/>
      <c r="C175" s="1800"/>
      <c r="N175" s="1776"/>
      <c r="O175" s="1776"/>
      <c r="AB175" s="1893"/>
      <c r="AC175" s="1893"/>
      <c r="AD175" s="1670"/>
      <c r="AE175" s="1800"/>
      <c r="AF175" s="1800"/>
    </row>
    <row r="176" customHeight="1" spans="1:32">
      <c r="A176" s="1799"/>
      <c r="C176" s="1800"/>
      <c r="N176" s="1776"/>
      <c r="O176" s="1776"/>
      <c r="AB176" s="1893"/>
      <c r="AC176" s="1893"/>
      <c r="AD176" s="1670"/>
      <c r="AE176" s="1800"/>
      <c r="AF176" s="1800"/>
    </row>
    <row r="177" customHeight="1" spans="1:32">
      <c r="A177" s="1799"/>
      <c r="C177" s="1800"/>
      <c r="N177" s="1776"/>
      <c r="O177" s="1776"/>
      <c r="AB177" s="1893"/>
      <c r="AC177" s="1893"/>
      <c r="AD177" s="1670"/>
      <c r="AE177" s="1800"/>
      <c r="AF177" s="1800"/>
    </row>
    <row r="178" customHeight="1" spans="1:32">
      <c r="A178" s="1799"/>
      <c r="C178" s="1800"/>
      <c r="N178" s="1776"/>
      <c r="O178" s="1776"/>
      <c r="AB178" s="1893"/>
      <c r="AC178" s="1893"/>
      <c r="AD178" s="1670"/>
      <c r="AE178" s="1800"/>
      <c r="AF178" s="1800"/>
    </row>
    <row r="179" customHeight="1" spans="1:32">
      <c r="A179" s="1799"/>
      <c r="C179" s="1800"/>
      <c r="N179" s="1776"/>
      <c r="O179" s="1776"/>
      <c r="AB179" s="1893"/>
      <c r="AC179" s="1893"/>
      <c r="AD179" s="1670"/>
      <c r="AE179" s="1800"/>
      <c r="AF179" s="1800"/>
    </row>
    <row r="180" customHeight="1" spans="1:32">
      <c r="A180" s="1799"/>
      <c r="C180" s="1800"/>
      <c r="N180" s="1776"/>
      <c r="O180" s="1776"/>
      <c r="AB180" s="1893"/>
      <c r="AC180" s="1893"/>
      <c r="AD180" s="1670"/>
      <c r="AE180" s="1800"/>
      <c r="AF180" s="1800"/>
    </row>
    <row r="181" customHeight="1" spans="1:32">
      <c r="A181" s="1799"/>
      <c r="C181" s="1800"/>
      <c r="N181" s="1776"/>
      <c r="O181" s="1776"/>
      <c r="AB181" s="1893"/>
      <c r="AC181" s="1893"/>
      <c r="AD181" s="1670"/>
      <c r="AE181" s="1800"/>
      <c r="AF181" s="1800"/>
    </row>
    <row r="182" customHeight="1" spans="1:32">
      <c r="A182" s="1799"/>
      <c r="C182" s="1800"/>
      <c r="N182" s="1776"/>
      <c r="O182" s="1776"/>
      <c r="AB182" s="1893"/>
      <c r="AC182" s="1893"/>
      <c r="AD182" s="1670"/>
      <c r="AE182" s="1800"/>
      <c r="AF182" s="1800"/>
    </row>
    <row r="183" customHeight="1" spans="1:32">
      <c r="A183" s="1799"/>
      <c r="C183" s="1800"/>
      <c r="N183" s="1776"/>
      <c r="O183" s="1776"/>
      <c r="AB183" s="1893"/>
      <c r="AC183" s="1893"/>
      <c r="AD183" s="1670"/>
      <c r="AE183" s="1800"/>
      <c r="AF183" s="1800"/>
    </row>
    <row r="184" customHeight="1" spans="1:32">
      <c r="A184" s="1799"/>
      <c r="C184" s="1800"/>
      <c r="N184" s="1776"/>
      <c r="O184" s="1776"/>
      <c r="AB184" s="1893"/>
      <c r="AC184" s="1893"/>
      <c r="AD184" s="1670"/>
      <c r="AE184" s="1800"/>
      <c r="AF184" s="1800"/>
    </row>
    <row r="185" customHeight="1" spans="1:32">
      <c r="A185" s="1799"/>
      <c r="C185" s="1800"/>
      <c r="N185" s="1776"/>
      <c r="O185" s="1776"/>
      <c r="AB185" s="1893"/>
      <c r="AC185" s="1893"/>
      <c r="AD185" s="1670"/>
      <c r="AE185" s="1800"/>
      <c r="AF185" s="1800"/>
    </row>
    <row r="186" customHeight="1" spans="1:32">
      <c r="A186" s="1799"/>
      <c r="C186" s="1800"/>
      <c r="N186" s="1776"/>
      <c r="O186" s="1776"/>
      <c r="AB186" s="1893"/>
      <c r="AC186" s="1893"/>
      <c r="AD186" s="1670"/>
      <c r="AE186" s="1800"/>
      <c r="AF186" s="1800"/>
    </row>
    <row r="187" customHeight="1" spans="1:32">
      <c r="A187" s="1799"/>
      <c r="C187" s="1800"/>
      <c r="N187" s="1776"/>
      <c r="O187" s="1776"/>
      <c r="AB187" s="1893"/>
      <c r="AC187" s="1893"/>
      <c r="AD187" s="1670"/>
      <c r="AE187" s="1800"/>
      <c r="AF187" s="1800"/>
    </row>
    <row r="188" customHeight="1" spans="1:32">
      <c r="A188" s="1799"/>
      <c r="C188" s="1800"/>
      <c r="N188" s="1776"/>
      <c r="O188" s="1776"/>
      <c r="AB188" s="1893"/>
      <c r="AC188" s="1893"/>
      <c r="AD188" s="1670"/>
      <c r="AE188" s="1800"/>
      <c r="AF188" s="1800"/>
    </row>
    <row r="189" customHeight="1" spans="1:32">
      <c r="A189" s="1799"/>
      <c r="C189" s="1800"/>
      <c r="N189" s="1776"/>
      <c r="O189" s="1776"/>
      <c r="AB189" s="1893"/>
      <c r="AC189" s="1893"/>
      <c r="AD189" s="1670"/>
      <c r="AE189" s="1800"/>
      <c r="AF189" s="1800"/>
    </row>
    <row r="190" customHeight="1" spans="1:32">
      <c r="A190" s="1799"/>
      <c r="C190" s="1800"/>
      <c r="N190" s="1776"/>
      <c r="O190" s="1776"/>
      <c r="AB190" s="1893"/>
      <c r="AC190" s="1893"/>
      <c r="AD190" s="1670"/>
      <c r="AE190" s="1800"/>
      <c r="AF190" s="1800"/>
    </row>
    <row r="191" customHeight="1" spans="1:32">
      <c r="A191" s="1799"/>
      <c r="C191" s="1800"/>
      <c r="N191" s="1776"/>
      <c r="O191" s="1776"/>
      <c r="AB191" s="1893"/>
      <c r="AC191" s="1893"/>
      <c r="AD191" s="1670"/>
      <c r="AE191" s="1800"/>
      <c r="AF191" s="1800"/>
    </row>
    <row r="192" customHeight="1" spans="1:32">
      <c r="A192" s="1799"/>
      <c r="C192" s="1800"/>
      <c r="N192" s="1776"/>
      <c r="O192" s="1776"/>
      <c r="AB192" s="1893"/>
      <c r="AC192" s="1893"/>
      <c r="AD192" s="1670"/>
      <c r="AE192" s="1800"/>
      <c r="AF192" s="1800"/>
    </row>
    <row r="193" customHeight="1" spans="1:32">
      <c r="A193" s="1799"/>
      <c r="C193" s="1800"/>
      <c r="N193" s="1776"/>
      <c r="O193" s="1776"/>
      <c r="AB193" s="1893"/>
      <c r="AC193" s="1893"/>
      <c r="AD193" s="1670"/>
      <c r="AE193" s="1800"/>
      <c r="AF193" s="1800"/>
    </row>
    <row r="194" customHeight="1" spans="1:32">
      <c r="A194" s="1799"/>
      <c r="C194" s="1800"/>
      <c r="N194" s="1776"/>
      <c r="O194" s="1776"/>
      <c r="AB194" s="1893"/>
      <c r="AC194" s="1893"/>
      <c r="AD194" s="1670"/>
      <c r="AE194" s="1800"/>
      <c r="AF194" s="1800"/>
    </row>
    <row r="195" customHeight="1" spans="1:32">
      <c r="A195" s="1799"/>
      <c r="C195" s="1800"/>
      <c r="N195" s="1776"/>
      <c r="O195" s="1776"/>
      <c r="AB195" s="1893"/>
      <c r="AC195" s="1893"/>
      <c r="AD195" s="1670"/>
      <c r="AE195" s="1800"/>
      <c r="AF195" s="1800"/>
    </row>
    <row r="196" customHeight="1" spans="1:32">
      <c r="A196" s="1799"/>
      <c r="C196" s="1800"/>
      <c r="N196" s="1776"/>
      <c r="O196" s="1776"/>
      <c r="AB196" s="1893"/>
      <c r="AC196" s="1893"/>
      <c r="AD196" s="1670"/>
      <c r="AE196" s="1800"/>
      <c r="AF196" s="1800"/>
    </row>
    <row r="197" customHeight="1" spans="1:32">
      <c r="A197" s="1799"/>
      <c r="C197" s="1800"/>
      <c r="N197" s="1776"/>
      <c r="O197" s="1776"/>
      <c r="AB197" s="1893"/>
      <c r="AC197" s="1893"/>
      <c r="AD197" s="1670"/>
      <c r="AE197" s="1800"/>
      <c r="AF197" s="1800"/>
    </row>
    <row r="198" customHeight="1" spans="1:32">
      <c r="A198" s="1799"/>
      <c r="C198" s="1800"/>
      <c r="N198" s="1776"/>
      <c r="O198" s="1776"/>
      <c r="AB198" s="1893"/>
      <c r="AC198" s="1893"/>
      <c r="AD198" s="1670"/>
      <c r="AE198" s="1800"/>
      <c r="AF198" s="1800"/>
    </row>
    <row r="199" customHeight="1" spans="1:32">
      <c r="A199" s="1799"/>
      <c r="C199" s="1800"/>
      <c r="N199" s="1776"/>
      <c r="O199" s="1776"/>
      <c r="AB199" s="1893"/>
      <c r="AC199" s="1893"/>
      <c r="AD199" s="1670"/>
      <c r="AE199" s="1800"/>
      <c r="AF199" s="1800"/>
    </row>
    <row r="200" customHeight="1" spans="1:32">
      <c r="A200" s="1799"/>
      <c r="C200" s="1800"/>
      <c r="N200" s="1776"/>
      <c r="O200" s="1776"/>
      <c r="AB200" s="1893"/>
      <c r="AC200" s="1893"/>
      <c r="AD200" s="1670"/>
      <c r="AE200" s="1800"/>
      <c r="AF200" s="1800"/>
    </row>
    <row r="201" customHeight="1" spans="1:32">
      <c r="A201" s="1799"/>
      <c r="C201" s="1800"/>
      <c r="N201" s="1776"/>
      <c r="O201" s="1776"/>
      <c r="AB201" s="1893"/>
      <c r="AC201" s="1893"/>
      <c r="AD201" s="1670"/>
      <c r="AE201" s="1800"/>
      <c r="AF201" s="1800"/>
    </row>
    <row r="202" customHeight="1" spans="1:32">
      <c r="A202" s="1799"/>
      <c r="C202" s="1800"/>
      <c r="N202" s="1776"/>
      <c r="O202" s="1776"/>
      <c r="AB202" s="1893"/>
      <c r="AC202" s="1893"/>
      <c r="AD202" s="1670"/>
      <c r="AE202" s="1800"/>
      <c r="AF202" s="1800"/>
    </row>
    <row r="203" customHeight="1" spans="1:30">
      <c r="A203" s="1799"/>
      <c r="N203" s="1776"/>
      <c r="O203" s="1776"/>
      <c r="AB203" s="1893"/>
      <c r="AC203" s="1893"/>
      <c r="AD203" s="1670"/>
    </row>
    <row r="204" customHeight="1" spans="1:30">
      <c r="A204" s="1799"/>
      <c r="N204" s="1776"/>
      <c r="O204" s="1776"/>
      <c r="AB204" s="1893"/>
      <c r="AC204" s="1893"/>
      <c r="AD204" s="1670"/>
    </row>
    <row r="205" customHeight="1" spans="1:30">
      <c r="A205" s="1799"/>
      <c r="N205" s="1776"/>
      <c r="O205" s="1776"/>
      <c r="AB205" s="1893"/>
      <c r="AC205" s="1893"/>
      <c r="AD205" s="1670"/>
    </row>
    <row r="206" customHeight="1" spans="1:30">
      <c r="A206" s="1799"/>
      <c r="N206" s="1776"/>
      <c r="O206" s="1776"/>
      <c r="AB206" s="1893"/>
      <c r="AC206" s="1893"/>
      <c r="AD206" s="1670"/>
    </row>
    <row r="207" customHeight="1" spans="1:30">
      <c r="A207" s="1799"/>
      <c r="N207" s="1776"/>
      <c r="O207" s="1776"/>
      <c r="AB207" s="1893"/>
      <c r="AC207" s="1893"/>
      <c r="AD207" s="1670"/>
    </row>
    <row r="208" customHeight="1" spans="1:30">
      <c r="A208" s="1799"/>
      <c r="N208" s="1776"/>
      <c r="O208" s="1776"/>
      <c r="AB208" s="1893"/>
      <c r="AC208" s="1893"/>
      <c r="AD208" s="1670"/>
    </row>
    <row r="209" customHeight="1" spans="1:30">
      <c r="A209" s="1799"/>
      <c r="N209" s="1776"/>
      <c r="O209" s="1776"/>
      <c r="AB209" s="1893"/>
      <c r="AC209" s="1893"/>
      <c r="AD209" s="1670"/>
    </row>
    <row r="210" customHeight="1" spans="1:30">
      <c r="A210" s="1799"/>
      <c r="N210" s="1776"/>
      <c r="O210" s="1776"/>
      <c r="AB210" s="1893"/>
      <c r="AC210" s="1893"/>
      <c r="AD210" s="1670"/>
    </row>
    <row r="211" customHeight="1" spans="1:30">
      <c r="A211" s="1799"/>
      <c r="N211" s="1776"/>
      <c r="O211" s="1776"/>
      <c r="AB211" s="1893"/>
      <c r="AC211" s="1893"/>
      <c r="AD211" s="1670"/>
    </row>
    <row r="212" customHeight="1" spans="1:30">
      <c r="A212" s="1799"/>
      <c r="N212" s="1776"/>
      <c r="O212" s="1776"/>
      <c r="AB212" s="1893"/>
      <c r="AC212" s="1893"/>
      <c r="AD212" s="1670"/>
    </row>
    <row r="213" customHeight="1" spans="1:30">
      <c r="A213" s="1799"/>
      <c r="N213" s="1776"/>
      <c r="O213" s="1776"/>
      <c r="AB213" s="1893"/>
      <c r="AC213" s="1893"/>
      <c r="AD213" s="1670"/>
    </row>
    <row r="214" customHeight="1" spans="1:30">
      <c r="A214" s="1799"/>
      <c r="N214" s="1776"/>
      <c r="O214" s="1776"/>
      <c r="AB214" s="1893"/>
      <c r="AC214" s="1893"/>
      <c r="AD214" s="1670"/>
    </row>
    <row r="215" customHeight="1" spans="1:30">
      <c r="A215" s="1799"/>
      <c r="N215" s="1776"/>
      <c r="O215" s="1776"/>
      <c r="AB215" s="1893"/>
      <c r="AC215" s="1893"/>
      <c r="AD215" s="1670"/>
    </row>
    <row r="216" customHeight="1" spans="1:30">
      <c r="A216" s="1799"/>
      <c r="N216" s="1776"/>
      <c r="O216" s="1776"/>
      <c r="AB216" s="1893"/>
      <c r="AC216" s="1893"/>
      <c r="AD216" s="1670"/>
    </row>
    <row r="217" customHeight="1" spans="1:30">
      <c r="A217" s="1799"/>
      <c r="N217" s="1776"/>
      <c r="O217" s="1776"/>
      <c r="AB217" s="1893"/>
      <c r="AC217" s="1893"/>
      <c r="AD217" s="1670"/>
    </row>
    <row r="218" customHeight="1" spans="1:30">
      <c r="A218" s="1799"/>
      <c r="N218" s="1776"/>
      <c r="O218" s="1776"/>
      <c r="AB218" s="1893"/>
      <c r="AC218" s="1893"/>
      <c r="AD218" s="1670"/>
    </row>
    <row r="219" customHeight="1" spans="1:30">
      <c r="A219" s="1799"/>
      <c r="N219" s="1776"/>
      <c r="O219" s="1776"/>
      <c r="AB219" s="1893"/>
      <c r="AC219" s="1893"/>
      <c r="AD219" s="1670"/>
    </row>
    <row r="220" customHeight="1" spans="1:30">
      <c r="A220" s="1799"/>
      <c r="N220" s="1776"/>
      <c r="O220" s="1776"/>
      <c r="AB220" s="1893"/>
      <c r="AC220" s="1893"/>
      <c r="AD220" s="1670"/>
    </row>
    <row r="221" customHeight="1" spans="1:30">
      <c r="A221" s="1799"/>
      <c r="N221" s="1776"/>
      <c r="O221" s="1776"/>
      <c r="AB221" s="1893"/>
      <c r="AC221" s="1893"/>
      <c r="AD221" s="1670"/>
    </row>
    <row r="222" customHeight="1" spans="1:30">
      <c r="A222" s="1799"/>
      <c r="N222" s="1776"/>
      <c r="O222" s="1776"/>
      <c r="AB222" s="1893"/>
      <c r="AC222" s="1893"/>
      <c r="AD222" s="1670"/>
    </row>
    <row r="223" customHeight="1" spans="1:30">
      <c r="A223" s="1799"/>
      <c r="N223" s="1776"/>
      <c r="O223" s="1776"/>
      <c r="AB223" s="1893"/>
      <c r="AC223" s="1893"/>
      <c r="AD223" s="1670"/>
    </row>
    <row r="224" customHeight="1" spans="1:30">
      <c r="A224" s="1799"/>
      <c r="N224" s="1776"/>
      <c r="O224" s="1776"/>
      <c r="AB224" s="1893"/>
      <c r="AC224" s="1893"/>
      <c r="AD224" s="1670"/>
    </row>
    <row r="225" customHeight="1" spans="1:30">
      <c r="A225" s="1799"/>
      <c r="N225" s="1776"/>
      <c r="O225" s="1776"/>
      <c r="AB225" s="1893"/>
      <c r="AC225" s="1893"/>
      <c r="AD225" s="1670"/>
    </row>
    <row r="226" customHeight="1" spans="1:30">
      <c r="A226" s="1799"/>
      <c r="N226" s="1776"/>
      <c r="O226" s="1776"/>
      <c r="AB226" s="1893"/>
      <c r="AC226" s="1893"/>
      <c r="AD226" s="1670"/>
    </row>
    <row r="227" customHeight="1" spans="1:30">
      <c r="A227" s="1799"/>
      <c r="N227" s="1776"/>
      <c r="O227" s="1776"/>
      <c r="AB227" s="1893"/>
      <c r="AC227" s="1893"/>
      <c r="AD227" s="1670"/>
    </row>
    <row r="228" customHeight="1" spans="1:30">
      <c r="A228" s="1799"/>
      <c r="N228" s="1776"/>
      <c r="O228" s="1776"/>
      <c r="AB228" s="1893"/>
      <c r="AC228" s="1893"/>
      <c r="AD228" s="1670"/>
    </row>
    <row r="229" customHeight="1" spans="1:30">
      <c r="A229" s="1799"/>
      <c r="N229" s="1776"/>
      <c r="O229" s="1776"/>
      <c r="AB229" s="1893"/>
      <c r="AC229" s="1893"/>
      <c r="AD229" s="1670"/>
    </row>
    <row r="230" customHeight="1" spans="1:30">
      <c r="A230" s="1799"/>
      <c r="N230" s="1776"/>
      <c r="O230" s="1776"/>
      <c r="AB230" s="1893"/>
      <c r="AC230" s="1893"/>
      <c r="AD230" s="1670"/>
    </row>
    <row r="231" customHeight="1" spans="1:30">
      <c r="A231" s="1799"/>
      <c r="N231" s="1776"/>
      <c r="O231" s="1776"/>
      <c r="AB231" s="1893"/>
      <c r="AC231" s="1893"/>
      <c r="AD231" s="1670"/>
    </row>
    <row r="232" customHeight="1" spans="1:30">
      <c r="A232" s="1799"/>
      <c r="N232" s="1776"/>
      <c r="O232" s="1776"/>
      <c r="AB232" s="1893"/>
      <c r="AC232" s="1893"/>
      <c r="AD232" s="1670"/>
    </row>
    <row r="233" customHeight="1" spans="1:30">
      <c r="A233" s="1799"/>
      <c r="N233" s="1776"/>
      <c r="O233" s="1776"/>
      <c r="AB233" s="1893"/>
      <c r="AC233" s="1893"/>
      <c r="AD233" s="1670"/>
    </row>
    <row r="234" customHeight="1" spans="1:30">
      <c r="A234" s="1799"/>
      <c r="N234" s="1776"/>
      <c r="O234" s="1776"/>
      <c r="AB234" s="1893"/>
      <c r="AC234" s="1893"/>
      <c r="AD234" s="1670"/>
    </row>
    <row r="235" customHeight="1" spans="1:30">
      <c r="A235" s="1799"/>
      <c r="N235" s="1776"/>
      <c r="O235" s="1776"/>
      <c r="AB235" s="1893"/>
      <c r="AC235" s="1893"/>
      <c r="AD235" s="1670"/>
    </row>
    <row r="236" customHeight="1" spans="1:30">
      <c r="A236" s="1799"/>
      <c r="N236" s="1776"/>
      <c r="O236" s="1776"/>
      <c r="AB236" s="1893"/>
      <c r="AC236" s="1893"/>
      <c r="AD236" s="1670"/>
    </row>
    <row r="237" customHeight="1" spans="1:30">
      <c r="A237" s="1799"/>
      <c r="N237" s="1776"/>
      <c r="O237" s="1776"/>
      <c r="AB237" s="1893"/>
      <c r="AC237" s="1893"/>
      <c r="AD237" s="1670"/>
    </row>
    <row r="238" customHeight="1" spans="1:30">
      <c r="A238" s="1799"/>
      <c r="N238" s="1776"/>
      <c r="O238" s="1776"/>
      <c r="AB238" s="1893"/>
      <c r="AC238" s="1893"/>
      <c r="AD238" s="1670"/>
    </row>
    <row r="239" customHeight="1" spans="1:30">
      <c r="A239" s="1799"/>
      <c r="N239" s="1776"/>
      <c r="O239" s="1776"/>
      <c r="AB239" s="1893"/>
      <c r="AC239" s="1893"/>
      <c r="AD239" s="1670"/>
    </row>
    <row r="240" customHeight="1" spans="1:30">
      <c r="A240" s="1799"/>
      <c r="N240" s="1776"/>
      <c r="O240" s="1776"/>
      <c r="AB240" s="1893"/>
      <c r="AC240" s="1893"/>
      <c r="AD240" s="1670"/>
    </row>
    <row r="241" customHeight="1" spans="1:30">
      <c r="A241" s="1799"/>
      <c r="N241" s="1776"/>
      <c r="O241" s="1776"/>
      <c r="AB241" s="1893"/>
      <c r="AC241" s="1893"/>
      <c r="AD241" s="1670"/>
    </row>
    <row r="242" customHeight="1" spans="1:30">
      <c r="A242" s="1799"/>
      <c r="N242" s="1776"/>
      <c r="O242" s="1776"/>
      <c r="AB242" s="1893"/>
      <c r="AC242" s="1893"/>
      <c r="AD242" s="1670"/>
    </row>
    <row r="243" customHeight="1" spans="1:30">
      <c r="A243" s="1799"/>
      <c r="N243" s="1776"/>
      <c r="O243" s="1776"/>
      <c r="AB243" s="1893"/>
      <c r="AC243" s="1893"/>
      <c r="AD243" s="1670"/>
    </row>
    <row r="244" customHeight="1" spans="1:30">
      <c r="A244" s="1799"/>
      <c r="N244" s="1776"/>
      <c r="O244" s="1776"/>
      <c r="AB244" s="1893"/>
      <c r="AC244" s="1893"/>
      <c r="AD244" s="1670"/>
    </row>
    <row r="245" customHeight="1" spans="1:30">
      <c r="A245" s="1799"/>
      <c r="N245" s="1776"/>
      <c r="O245" s="1776"/>
      <c r="AB245" s="1893"/>
      <c r="AC245" s="1893"/>
      <c r="AD245" s="1670"/>
    </row>
    <row r="246" customHeight="1" spans="1:30">
      <c r="A246" s="1799"/>
      <c r="N246" s="1776"/>
      <c r="O246" s="1776"/>
      <c r="AB246" s="1893"/>
      <c r="AC246" s="1893"/>
      <c r="AD246" s="1670"/>
    </row>
    <row r="247" customHeight="1" spans="1:30">
      <c r="A247" s="1799"/>
      <c r="N247" s="1776"/>
      <c r="O247" s="1776"/>
      <c r="AB247" s="1893"/>
      <c r="AC247" s="1893"/>
      <c r="AD247" s="1670"/>
    </row>
    <row r="248" customHeight="1" spans="1:30">
      <c r="A248" s="1799"/>
      <c r="N248" s="1776"/>
      <c r="O248" s="1776"/>
      <c r="AB248" s="1893"/>
      <c r="AC248" s="1893"/>
      <c r="AD248" s="1670"/>
    </row>
    <row r="249" customHeight="1" spans="1:30">
      <c r="A249" s="1799"/>
      <c r="N249" s="1776"/>
      <c r="O249" s="1776"/>
      <c r="AB249" s="1893"/>
      <c r="AC249" s="1893"/>
      <c r="AD249" s="1670"/>
    </row>
    <row r="250" customHeight="1" spans="1:30">
      <c r="A250" s="1799"/>
      <c r="N250" s="1776"/>
      <c r="O250" s="1776"/>
      <c r="AB250" s="1893"/>
      <c r="AC250" s="1893"/>
      <c r="AD250" s="1670"/>
    </row>
    <row r="251" customHeight="1" spans="1:30">
      <c r="A251" s="1799"/>
      <c r="N251" s="1776"/>
      <c r="O251" s="1776"/>
      <c r="AB251" s="1893"/>
      <c r="AC251" s="1893"/>
      <c r="AD251" s="1670"/>
    </row>
    <row r="252" customHeight="1" spans="1:30">
      <c r="A252" s="1799"/>
      <c r="N252" s="1776"/>
      <c r="O252" s="1776"/>
      <c r="AB252" s="1893"/>
      <c r="AC252" s="1893"/>
      <c r="AD252" s="1670"/>
    </row>
    <row r="253" customHeight="1" spans="1:30">
      <c r="A253" s="1799"/>
      <c r="N253" s="1776"/>
      <c r="O253" s="1776"/>
      <c r="AB253" s="1893"/>
      <c r="AC253" s="1893"/>
      <c r="AD253" s="1670"/>
    </row>
    <row r="254" customHeight="1" spans="1:30">
      <c r="A254" s="1799"/>
      <c r="N254" s="1776"/>
      <c r="O254" s="1776"/>
      <c r="AB254" s="1893"/>
      <c r="AC254" s="1893"/>
      <c r="AD254" s="1670"/>
    </row>
    <row r="255" customHeight="1" spans="1:30">
      <c r="A255" s="1799"/>
      <c r="N255" s="1776"/>
      <c r="O255" s="1776"/>
      <c r="AB255" s="1893"/>
      <c r="AC255" s="1893"/>
      <c r="AD255" s="1670"/>
    </row>
    <row r="256" customHeight="1" spans="1:30">
      <c r="A256" s="1799"/>
      <c r="N256" s="1776"/>
      <c r="O256" s="1776"/>
      <c r="AB256" s="1893"/>
      <c r="AC256" s="1893"/>
      <c r="AD256" s="1670"/>
    </row>
    <row r="257" customHeight="1" spans="1:30">
      <c r="A257" s="1799"/>
      <c r="N257" s="1776"/>
      <c r="O257" s="1776"/>
      <c r="AB257" s="1893"/>
      <c r="AC257" s="1893"/>
      <c r="AD257" s="1670"/>
    </row>
    <row r="258" customHeight="1" spans="1:30">
      <c r="A258" s="1799"/>
      <c r="N258" s="1776"/>
      <c r="O258" s="1776"/>
      <c r="AB258" s="1893"/>
      <c r="AC258" s="1893"/>
      <c r="AD258" s="1670"/>
    </row>
    <row r="259" customHeight="1" spans="1:30">
      <c r="A259" s="1799"/>
      <c r="N259" s="1776"/>
      <c r="O259" s="1776"/>
      <c r="AB259" s="1893"/>
      <c r="AC259" s="1893"/>
      <c r="AD259" s="1670"/>
    </row>
    <row r="260" customHeight="1" spans="1:30">
      <c r="A260" s="1799"/>
      <c r="N260" s="1776"/>
      <c r="O260" s="1776"/>
      <c r="AB260" s="1893"/>
      <c r="AC260" s="1893"/>
      <c r="AD260" s="1670"/>
    </row>
    <row r="261" customHeight="1" spans="1:30">
      <c r="A261" s="1799"/>
      <c r="N261" s="1776"/>
      <c r="O261" s="1776"/>
      <c r="AB261" s="1893"/>
      <c r="AC261" s="1893"/>
      <c r="AD261" s="1670"/>
    </row>
    <row r="262" customHeight="1" spans="1:30">
      <c r="A262" s="1799"/>
      <c r="N262" s="1776"/>
      <c r="O262" s="1776"/>
      <c r="AB262" s="1893"/>
      <c r="AC262" s="1893"/>
      <c r="AD262" s="1670"/>
    </row>
    <row r="263" customHeight="1" spans="1:30">
      <c r="A263" s="1799"/>
      <c r="N263" s="1776"/>
      <c r="O263" s="1776"/>
      <c r="AB263" s="1893"/>
      <c r="AC263" s="1893"/>
      <c r="AD263" s="1670"/>
    </row>
    <row r="264" customHeight="1" spans="1:30">
      <c r="A264" s="1799"/>
      <c r="N264" s="1776"/>
      <c r="O264" s="1776"/>
      <c r="AB264" s="1893"/>
      <c r="AC264" s="1893"/>
      <c r="AD264" s="1670"/>
    </row>
    <row r="265" customHeight="1" spans="1:30">
      <c r="A265" s="1799"/>
      <c r="N265" s="1776"/>
      <c r="O265" s="1776"/>
      <c r="AB265" s="1893"/>
      <c r="AC265" s="1893"/>
      <c r="AD265" s="1670"/>
    </row>
    <row r="266" customHeight="1" spans="1:30">
      <c r="A266" s="1799"/>
      <c r="N266" s="1776"/>
      <c r="O266" s="1776"/>
      <c r="AB266" s="1893"/>
      <c r="AC266" s="1893"/>
      <c r="AD266" s="1670"/>
    </row>
    <row r="267" customHeight="1" spans="1:30">
      <c r="A267" s="1799"/>
      <c r="N267" s="1776"/>
      <c r="O267" s="1776"/>
      <c r="AB267" s="1893"/>
      <c r="AC267" s="1893"/>
      <c r="AD267" s="1670"/>
    </row>
    <row r="268" customHeight="1" spans="1:30">
      <c r="A268" s="1799"/>
      <c r="N268" s="1776"/>
      <c r="O268" s="1776"/>
      <c r="AB268" s="1893"/>
      <c r="AC268" s="1893"/>
      <c r="AD268" s="1670"/>
    </row>
    <row r="269" customHeight="1" spans="1:30">
      <c r="A269" s="1799"/>
      <c r="N269" s="1776"/>
      <c r="O269" s="1776"/>
      <c r="AB269" s="1893"/>
      <c r="AC269" s="1893"/>
      <c r="AD269" s="1670"/>
    </row>
    <row r="270" customHeight="1" spans="1:30">
      <c r="A270" s="1799"/>
      <c r="N270" s="1776"/>
      <c r="O270" s="1776"/>
      <c r="AB270" s="1893"/>
      <c r="AC270" s="1893"/>
      <c r="AD270" s="1670"/>
    </row>
    <row r="271" customHeight="1" spans="1:30">
      <c r="A271" s="1799"/>
      <c r="N271" s="1776"/>
      <c r="O271" s="1776"/>
      <c r="AB271" s="1893"/>
      <c r="AC271" s="1893"/>
      <c r="AD271" s="1670"/>
    </row>
    <row r="272" customHeight="1" spans="1:30">
      <c r="A272" s="1799"/>
      <c r="N272" s="1776"/>
      <c r="O272" s="1776"/>
      <c r="AB272" s="1893"/>
      <c r="AC272" s="1893"/>
      <c r="AD272" s="1670"/>
    </row>
    <row r="273" customHeight="1" spans="1:30">
      <c r="A273" s="1799"/>
      <c r="N273" s="1776"/>
      <c r="O273" s="1776"/>
      <c r="AB273" s="1893"/>
      <c r="AC273" s="1893"/>
      <c r="AD273" s="1670"/>
    </row>
    <row r="274" customHeight="1" spans="1:30">
      <c r="A274" s="1799"/>
      <c r="N274" s="1776"/>
      <c r="O274" s="1776"/>
      <c r="AB274" s="1893"/>
      <c r="AC274" s="1893"/>
      <c r="AD274" s="1670"/>
    </row>
    <row r="275" customHeight="1" spans="1:30">
      <c r="A275" s="1799"/>
      <c r="N275" s="1776"/>
      <c r="O275" s="1776"/>
      <c r="AB275" s="1893"/>
      <c r="AC275" s="1893"/>
      <c r="AD275" s="1670"/>
    </row>
    <row r="276" customHeight="1" spans="1:30">
      <c r="A276" s="1799"/>
      <c r="N276" s="1776"/>
      <c r="O276" s="1776"/>
      <c r="AB276" s="1893"/>
      <c r="AC276" s="1893"/>
      <c r="AD276" s="1670"/>
    </row>
    <row r="277" customHeight="1" spans="1:30">
      <c r="A277" s="1799"/>
      <c r="N277" s="1776"/>
      <c r="O277" s="1776"/>
      <c r="AB277" s="1893"/>
      <c r="AC277" s="1893"/>
      <c r="AD277" s="1670"/>
    </row>
    <row r="278" customHeight="1" spans="1:30">
      <c r="A278" s="1799"/>
      <c r="N278" s="1776"/>
      <c r="O278" s="1776"/>
      <c r="AB278" s="1893"/>
      <c r="AC278" s="1893"/>
      <c r="AD278" s="1670"/>
    </row>
    <row r="279" customHeight="1" spans="1:30">
      <c r="A279" s="1799"/>
      <c r="N279" s="1776"/>
      <c r="O279" s="1776"/>
      <c r="AB279" s="1893"/>
      <c r="AC279" s="1893"/>
      <c r="AD279" s="1670"/>
    </row>
    <row r="280" customHeight="1" spans="1:30">
      <c r="A280" s="1799"/>
      <c r="N280" s="1776"/>
      <c r="O280" s="1776"/>
      <c r="AB280" s="1893"/>
      <c r="AC280" s="1893"/>
      <c r="AD280" s="1670"/>
    </row>
    <row r="281" customHeight="1" spans="1:30">
      <c r="A281" s="1799"/>
      <c r="N281" s="1776"/>
      <c r="O281" s="1776"/>
      <c r="AB281" s="1893"/>
      <c r="AC281" s="1893"/>
      <c r="AD281" s="1670"/>
    </row>
    <row r="282" customHeight="1" spans="1:30">
      <c r="A282" s="1799"/>
      <c r="N282" s="1776"/>
      <c r="O282" s="1776"/>
      <c r="AB282" s="1893"/>
      <c r="AC282" s="1893"/>
      <c r="AD282" s="1670"/>
    </row>
    <row r="283" customHeight="1" spans="1:30">
      <c r="A283" s="1799"/>
      <c r="N283" s="1776"/>
      <c r="O283" s="1776"/>
      <c r="AB283" s="1893"/>
      <c r="AC283" s="1893"/>
      <c r="AD283" s="1670"/>
    </row>
    <row r="284" customHeight="1" spans="1:30">
      <c r="A284" s="1799"/>
      <c r="N284" s="1776"/>
      <c r="O284" s="1776"/>
      <c r="AB284" s="1893"/>
      <c r="AC284" s="1893"/>
      <c r="AD284" s="1670"/>
    </row>
    <row r="285" customHeight="1" spans="1:30">
      <c r="A285" s="1799"/>
      <c r="N285" s="1776"/>
      <c r="O285" s="1776"/>
      <c r="AB285" s="1893"/>
      <c r="AC285" s="1893"/>
      <c r="AD285" s="1670"/>
    </row>
    <row r="286" customHeight="1" spans="1:30">
      <c r="A286" s="1799"/>
      <c r="N286" s="1776"/>
      <c r="O286" s="1776"/>
      <c r="AB286" s="1893"/>
      <c r="AC286" s="1893"/>
      <c r="AD286" s="1670"/>
    </row>
    <row r="287" customHeight="1" spans="1:30">
      <c r="A287" s="1799"/>
      <c r="N287" s="1776"/>
      <c r="O287" s="1776"/>
      <c r="AB287" s="1893"/>
      <c r="AC287" s="1893"/>
      <c r="AD287" s="1670"/>
    </row>
    <row r="288" customHeight="1" spans="1:30">
      <c r="A288" s="1799"/>
      <c r="N288" s="1776"/>
      <c r="O288" s="1776"/>
      <c r="AB288" s="1893"/>
      <c r="AC288" s="1893"/>
      <c r="AD288" s="1670"/>
    </row>
    <row r="289" customHeight="1" spans="1:30">
      <c r="A289" s="1799"/>
      <c r="N289" s="1776"/>
      <c r="O289" s="1776"/>
      <c r="AB289" s="1893"/>
      <c r="AC289" s="1893"/>
      <c r="AD289" s="1670"/>
    </row>
    <row r="290" customHeight="1" spans="1:30">
      <c r="A290" s="1799"/>
      <c r="N290" s="1776"/>
      <c r="O290" s="1776"/>
      <c r="AB290" s="1893"/>
      <c r="AC290" s="1893"/>
      <c r="AD290" s="1670"/>
    </row>
    <row r="291" customHeight="1" spans="1:30">
      <c r="A291" s="1799"/>
      <c r="N291" s="1776"/>
      <c r="O291" s="1776"/>
      <c r="AB291" s="1893"/>
      <c r="AC291" s="1893"/>
      <c r="AD291" s="1670"/>
    </row>
    <row r="292" customHeight="1" spans="1:30">
      <c r="A292" s="1799"/>
      <c r="N292" s="1776"/>
      <c r="O292" s="1776"/>
      <c r="AB292" s="1893"/>
      <c r="AC292" s="1893"/>
      <c r="AD292" s="1670"/>
    </row>
    <row r="293" customHeight="1" spans="1:30">
      <c r="A293" s="1799"/>
      <c r="N293" s="1776"/>
      <c r="O293" s="1776"/>
      <c r="AB293" s="1893"/>
      <c r="AC293" s="1893"/>
      <c r="AD293" s="1670"/>
    </row>
    <row r="294" customHeight="1" spans="1:30">
      <c r="A294" s="1799"/>
      <c r="N294" s="1776"/>
      <c r="O294" s="1776"/>
      <c r="AB294" s="1893"/>
      <c r="AC294" s="1893"/>
      <c r="AD294" s="1670"/>
    </row>
    <row r="295" customHeight="1" spans="1:30">
      <c r="A295" s="1799"/>
      <c r="N295" s="1776"/>
      <c r="O295" s="1776"/>
      <c r="AB295" s="1893"/>
      <c r="AC295" s="1893"/>
      <c r="AD295" s="1670"/>
    </row>
    <row r="296" customHeight="1" spans="1:30">
      <c r="A296" s="1799"/>
      <c r="N296" s="1776"/>
      <c r="O296" s="1776"/>
      <c r="AB296" s="1893"/>
      <c r="AC296" s="1893"/>
      <c r="AD296" s="1670"/>
    </row>
    <row r="297" customHeight="1" spans="1:30">
      <c r="A297" s="1799"/>
      <c r="N297" s="1776"/>
      <c r="O297" s="1776"/>
      <c r="AB297" s="1893"/>
      <c r="AC297" s="1893"/>
      <c r="AD297" s="1670"/>
    </row>
    <row r="298" customHeight="1" spans="1:30">
      <c r="A298" s="1799"/>
      <c r="O298" s="1776"/>
      <c r="AB298" s="1893"/>
      <c r="AC298" s="1893"/>
      <c r="AD298" s="1670"/>
    </row>
    <row r="299" customHeight="1" spans="1:30">
      <c r="A299" s="1799"/>
      <c r="O299" s="1776"/>
      <c r="AB299" s="1893"/>
      <c r="AC299" s="1893"/>
      <c r="AD299" s="1670"/>
    </row>
    <row r="300" customHeight="1" spans="1:30">
      <c r="A300" s="1799"/>
      <c r="O300" s="1776"/>
      <c r="AB300" s="1893"/>
      <c r="AC300" s="1893"/>
      <c r="AD300" s="1670"/>
    </row>
    <row r="301" customHeight="1" spans="1:30">
      <c r="A301" s="1799"/>
      <c r="O301" s="1776"/>
      <c r="AB301" s="1893"/>
      <c r="AC301" s="1893"/>
      <c r="AD301" s="1670"/>
    </row>
    <row r="302" customHeight="1" spans="15:30">
      <c r="O302" s="1776"/>
      <c r="AB302" s="1893"/>
      <c r="AC302" s="1893"/>
      <c r="AD302" s="1670"/>
    </row>
    <row r="303" customHeight="1" spans="15:30">
      <c r="O303" s="1776"/>
      <c r="AB303" s="1893"/>
      <c r="AC303" s="1893"/>
      <c r="AD303" s="1670"/>
    </row>
    <row r="304" customHeight="1" spans="15:30">
      <c r="O304" s="1776"/>
      <c r="AB304" s="1893"/>
      <c r="AC304" s="1893"/>
      <c r="AD304" s="1670"/>
    </row>
    <row r="305" customHeight="1" spans="15:30">
      <c r="O305" s="1776"/>
      <c r="AB305" s="1893"/>
      <c r="AC305" s="1893"/>
      <c r="AD305" s="1670"/>
    </row>
    <row r="306" customHeight="1" spans="15:30">
      <c r="O306" s="1776"/>
      <c r="AB306" s="1893"/>
      <c r="AC306" s="1893"/>
      <c r="AD306" s="1670"/>
    </row>
    <row r="307" customHeight="1" spans="15:30">
      <c r="O307" s="1776"/>
      <c r="AB307" s="1893"/>
      <c r="AC307" s="1893"/>
      <c r="AD307" s="1670"/>
    </row>
    <row r="308" customHeight="1" spans="15:30">
      <c r="O308" s="1776"/>
      <c r="AB308" s="1893"/>
      <c r="AC308" s="1893"/>
      <c r="AD308" s="1670"/>
    </row>
    <row r="309" customHeight="1" spans="15:30">
      <c r="O309" s="1776"/>
      <c r="AB309" s="1893"/>
      <c r="AC309" s="1893"/>
      <c r="AD309" s="1670"/>
    </row>
    <row r="310" customHeight="1" spans="15:30">
      <c r="O310" s="1776"/>
      <c r="AB310" s="1893"/>
      <c r="AC310" s="1893"/>
      <c r="AD310" s="1670"/>
    </row>
    <row r="311" customHeight="1" spans="15:30">
      <c r="O311" s="1776"/>
      <c r="AB311" s="1893"/>
      <c r="AC311" s="1893"/>
      <c r="AD311" s="1670"/>
    </row>
    <row r="312" customHeight="1" spans="15:30">
      <c r="O312" s="1776"/>
      <c r="AB312" s="1893"/>
      <c r="AC312" s="1893"/>
      <c r="AD312" s="1670"/>
    </row>
    <row r="313" customHeight="1" spans="15:30">
      <c r="O313" s="1776"/>
      <c r="AB313" s="1893"/>
      <c r="AC313" s="1893"/>
      <c r="AD313" s="1670"/>
    </row>
    <row r="314" customHeight="1" spans="15:30">
      <c r="O314" s="1776"/>
      <c r="AB314" s="1893"/>
      <c r="AC314" s="1893"/>
      <c r="AD314" s="1670"/>
    </row>
    <row r="315" customHeight="1" spans="15:30">
      <c r="O315" s="1776"/>
      <c r="AB315" s="1893"/>
      <c r="AC315" s="1893"/>
      <c r="AD315" s="1670"/>
    </row>
    <row r="316" customHeight="1" spans="15:30">
      <c r="O316" s="1776"/>
      <c r="AB316" s="1893"/>
      <c r="AC316" s="1893"/>
      <c r="AD316" s="1670"/>
    </row>
    <row r="317" customHeight="1" spans="15:30">
      <c r="O317" s="1776"/>
      <c r="AB317" s="1893"/>
      <c r="AC317" s="1893"/>
      <c r="AD317" s="1670"/>
    </row>
    <row r="318" customHeight="1" spans="15:30">
      <c r="O318" s="1776"/>
      <c r="AB318" s="1893"/>
      <c r="AC318" s="1893"/>
      <c r="AD318" s="1670"/>
    </row>
    <row r="319" customHeight="1" spans="15:30">
      <c r="O319" s="1776"/>
      <c r="AB319" s="1893"/>
      <c r="AC319" s="1893"/>
      <c r="AD319" s="1670"/>
    </row>
    <row r="320" customHeight="1" spans="15:30">
      <c r="O320" s="1776"/>
      <c r="AB320" s="1893"/>
      <c r="AC320" s="1893"/>
      <c r="AD320" s="1670"/>
    </row>
    <row r="321" customHeight="1" spans="15:30">
      <c r="O321" s="1776"/>
      <c r="AB321" s="1893"/>
      <c r="AC321" s="1893"/>
      <c r="AD321" s="1670"/>
    </row>
    <row r="322" customHeight="1" spans="15:30">
      <c r="O322" s="1776"/>
      <c r="AB322" s="1893"/>
      <c r="AC322" s="1893"/>
      <c r="AD322" s="1670"/>
    </row>
    <row r="323" customHeight="1" spans="15:30">
      <c r="O323" s="1776"/>
      <c r="AB323" s="1893"/>
      <c r="AC323" s="1893"/>
      <c r="AD323" s="1670"/>
    </row>
    <row r="324" customHeight="1" spans="15:30">
      <c r="O324" s="1776"/>
      <c r="AB324" s="1893"/>
      <c r="AC324" s="1893"/>
      <c r="AD324" s="1670"/>
    </row>
    <row r="325" customHeight="1" spans="15:30">
      <c r="O325" s="1776"/>
      <c r="AB325" s="1893"/>
      <c r="AC325" s="1893"/>
      <c r="AD325" s="1670"/>
    </row>
    <row r="326" customHeight="1" spans="15:30">
      <c r="O326" s="1776"/>
      <c r="AB326" s="1893"/>
      <c r="AC326" s="1893"/>
      <c r="AD326" s="1670"/>
    </row>
    <row r="327" customHeight="1" spans="15:30">
      <c r="O327" s="1776"/>
      <c r="AB327" s="1893"/>
      <c r="AC327" s="1893"/>
      <c r="AD327" s="1670"/>
    </row>
    <row r="328" customHeight="1" spans="15:30">
      <c r="O328" s="1776"/>
      <c r="AB328" s="1893"/>
      <c r="AC328" s="1893"/>
      <c r="AD328" s="1670"/>
    </row>
    <row r="329" customHeight="1" spans="15:30">
      <c r="O329" s="1776"/>
      <c r="AB329" s="1893"/>
      <c r="AC329" s="1893"/>
      <c r="AD329" s="1670"/>
    </row>
    <row r="330" customHeight="1" spans="15:30">
      <c r="O330" s="1776"/>
      <c r="AB330" s="1893"/>
      <c r="AC330" s="1893"/>
      <c r="AD330" s="1670"/>
    </row>
    <row r="331" customHeight="1" spans="15:30">
      <c r="O331" s="1776"/>
      <c r="AB331" s="1893"/>
      <c r="AC331" s="1893"/>
      <c r="AD331" s="1670"/>
    </row>
    <row r="332" customHeight="1" spans="15:30">
      <c r="O332" s="1776"/>
      <c r="AB332" s="1893"/>
      <c r="AC332" s="1893"/>
      <c r="AD332" s="1670"/>
    </row>
    <row r="333" customHeight="1" spans="15:30">
      <c r="O333" s="1776"/>
      <c r="AB333" s="1893"/>
      <c r="AC333" s="1893"/>
      <c r="AD333" s="1670"/>
    </row>
    <row r="334" customHeight="1" spans="15:30">
      <c r="O334" s="1776"/>
      <c r="AB334" s="1893"/>
      <c r="AC334" s="1893"/>
      <c r="AD334" s="1670"/>
    </row>
    <row r="335" customHeight="1" spans="15:30">
      <c r="O335" s="1776"/>
      <c r="AB335" s="1893"/>
      <c r="AC335" s="1893"/>
      <c r="AD335" s="1670"/>
    </row>
    <row r="336" customHeight="1" spans="15:30">
      <c r="O336" s="1776"/>
      <c r="AB336" s="1893"/>
      <c r="AC336" s="1893"/>
      <c r="AD336" s="1670"/>
    </row>
    <row r="337" customHeight="1" spans="15:30">
      <c r="O337" s="1776"/>
      <c r="AB337" s="1893"/>
      <c r="AC337" s="1893"/>
      <c r="AD337" s="1670"/>
    </row>
    <row r="338" customHeight="1" spans="15:30">
      <c r="O338" s="1776"/>
      <c r="AB338" s="1893"/>
      <c r="AC338" s="1893"/>
      <c r="AD338" s="1670"/>
    </row>
    <row r="339" customHeight="1" spans="15:30">
      <c r="O339" s="1776"/>
      <c r="AB339" s="1893"/>
      <c r="AC339" s="1893"/>
      <c r="AD339" s="1670"/>
    </row>
    <row r="340" customHeight="1" spans="15:30">
      <c r="O340" s="1776"/>
      <c r="AB340" s="1893"/>
      <c r="AC340" s="1893"/>
      <c r="AD340" s="1670"/>
    </row>
    <row r="341" customHeight="1" spans="15:30">
      <c r="O341" s="1776"/>
      <c r="AB341" s="1893"/>
      <c r="AC341" s="1893"/>
      <c r="AD341" s="1670"/>
    </row>
    <row r="342" customHeight="1" spans="15:30">
      <c r="O342" s="1776"/>
      <c r="AB342" s="1893"/>
      <c r="AC342" s="1893"/>
      <c r="AD342" s="1670"/>
    </row>
    <row r="343" customHeight="1" spans="15:30">
      <c r="O343" s="1776"/>
      <c r="AB343" s="1893"/>
      <c r="AC343" s="1893"/>
      <c r="AD343" s="1670"/>
    </row>
    <row r="344" customHeight="1" spans="15:30">
      <c r="O344" s="1776"/>
      <c r="AB344" s="1893"/>
      <c r="AC344" s="1893"/>
      <c r="AD344" s="1670"/>
    </row>
    <row r="345" customHeight="1" spans="15:30">
      <c r="O345" s="1776"/>
      <c r="AB345" s="1893"/>
      <c r="AC345" s="1893"/>
      <c r="AD345" s="1670"/>
    </row>
    <row r="346" customHeight="1" spans="15:30">
      <c r="O346" s="1776"/>
      <c r="AB346" s="1893"/>
      <c r="AC346" s="1893"/>
      <c r="AD346" s="1670"/>
    </row>
    <row r="347" customHeight="1" spans="15:30">
      <c r="O347" s="1776"/>
      <c r="AB347" s="1893"/>
      <c r="AC347" s="1893"/>
      <c r="AD347" s="1670"/>
    </row>
    <row r="348" customHeight="1" spans="15:30">
      <c r="O348" s="1776"/>
      <c r="AB348" s="1893"/>
      <c r="AC348" s="1893"/>
      <c r="AD348" s="1670"/>
    </row>
    <row r="349" customHeight="1" spans="15:30">
      <c r="O349" s="1776"/>
      <c r="AB349" s="1893"/>
      <c r="AC349" s="1893"/>
      <c r="AD349" s="1670"/>
    </row>
    <row r="350" customHeight="1" spans="15:30">
      <c r="O350" s="1776"/>
      <c r="AB350" s="1893"/>
      <c r="AC350" s="1893"/>
      <c r="AD350" s="1670"/>
    </row>
    <row r="351" customHeight="1" spans="15:30">
      <c r="O351" s="1776"/>
      <c r="AB351" s="1893"/>
      <c r="AC351" s="1893"/>
      <c r="AD351" s="1670"/>
    </row>
    <row r="352" customHeight="1" spans="15:30">
      <c r="O352" s="1776"/>
      <c r="AB352" s="1893"/>
      <c r="AC352" s="1893"/>
      <c r="AD352" s="1670"/>
    </row>
    <row r="353" customHeight="1" spans="15:30">
      <c r="O353" s="1776"/>
      <c r="AB353" s="1893"/>
      <c r="AC353" s="1893"/>
      <c r="AD353" s="1670"/>
    </row>
    <row r="354" customHeight="1" spans="15:30">
      <c r="O354" s="1776"/>
      <c r="AB354" s="1893"/>
      <c r="AC354" s="1893"/>
      <c r="AD354" s="1670"/>
    </row>
    <row r="355" customHeight="1" spans="15:30">
      <c r="O355" s="1776"/>
      <c r="AB355" s="1893"/>
      <c r="AC355" s="1893"/>
      <c r="AD355" s="1670"/>
    </row>
    <row r="356" customHeight="1" spans="15:30">
      <c r="O356" s="1776"/>
      <c r="AB356" s="1893"/>
      <c r="AC356" s="1893"/>
      <c r="AD356" s="1670"/>
    </row>
    <row r="357" customHeight="1" spans="15:30">
      <c r="O357" s="1776"/>
      <c r="AB357" s="1893"/>
      <c r="AC357" s="1893"/>
      <c r="AD357" s="1670"/>
    </row>
    <row r="358" customHeight="1" spans="15:30">
      <c r="O358" s="1776"/>
      <c r="AB358" s="1893"/>
      <c r="AC358" s="1893"/>
      <c r="AD358" s="1670"/>
    </row>
    <row r="359" customHeight="1" spans="15:30">
      <c r="O359" s="1776"/>
      <c r="AB359" s="1893"/>
      <c r="AC359" s="1893"/>
      <c r="AD359" s="1670"/>
    </row>
    <row r="360" customHeight="1" spans="15:30">
      <c r="O360" s="1776"/>
      <c r="AB360" s="1893"/>
      <c r="AC360" s="1893"/>
      <c r="AD360" s="1670"/>
    </row>
    <row r="361" customHeight="1" spans="15:30">
      <c r="O361" s="1776"/>
      <c r="AB361" s="1893"/>
      <c r="AC361" s="1893"/>
      <c r="AD361" s="1670"/>
    </row>
    <row r="362" customHeight="1" spans="15:30">
      <c r="O362" s="1776"/>
      <c r="AB362" s="1893"/>
      <c r="AC362" s="1893"/>
      <c r="AD362" s="1670"/>
    </row>
    <row r="363" customHeight="1" spans="15:30">
      <c r="O363" s="1776"/>
      <c r="AB363" s="1893"/>
      <c r="AC363" s="1893"/>
      <c r="AD363" s="1670"/>
    </row>
    <row r="364" customHeight="1" spans="15:30">
      <c r="O364" s="1776"/>
      <c r="AB364" s="1893"/>
      <c r="AC364" s="1893"/>
      <c r="AD364" s="1670"/>
    </row>
    <row r="365" customHeight="1" spans="15:30">
      <c r="O365" s="1776"/>
      <c r="AB365" s="1893"/>
      <c r="AC365" s="1893"/>
      <c r="AD365" s="1670"/>
    </row>
    <row r="366" customHeight="1" spans="15:30">
      <c r="O366" s="1776"/>
      <c r="AB366" s="1893"/>
      <c r="AC366" s="1893"/>
      <c r="AD366" s="1670"/>
    </row>
    <row r="367" customHeight="1" spans="15:30">
      <c r="O367" s="1776"/>
      <c r="AB367" s="1893"/>
      <c r="AC367" s="1893"/>
      <c r="AD367" s="1670"/>
    </row>
    <row r="368" customHeight="1" spans="15:30">
      <c r="O368" s="1776"/>
      <c r="AB368" s="1893"/>
      <c r="AC368" s="1893"/>
      <c r="AD368" s="1670"/>
    </row>
    <row r="369" customHeight="1" spans="15:30">
      <c r="O369" s="1776"/>
      <c r="AB369" s="1893"/>
      <c r="AC369" s="1893"/>
      <c r="AD369" s="1670"/>
    </row>
    <row r="370" customHeight="1" spans="15:30">
      <c r="O370" s="1776"/>
      <c r="AB370" s="1893"/>
      <c r="AC370" s="1893"/>
      <c r="AD370" s="1670"/>
    </row>
    <row r="371" customHeight="1" spans="15:30">
      <c r="O371" s="1776"/>
      <c r="AB371" s="1893"/>
      <c r="AC371" s="1893"/>
      <c r="AD371" s="1670"/>
    </row>
    <row r="372" customHeight="1" spans="15:30">
      <c r="O372" s="1776"/>
      <c r="AB372" s="1893"/>
      <c r="AC372" s="1893"/>
      <c r="AD372" s="1670"/>
    </row>
    <row r="373" customHeight="1" spans="15:30">
      <c r="O373" s="1776"/>
      <c r="AB373" s="1893"/>
      <c r="AC373" s="1893"/>
      <c r="AD373" s="1670"/>
    </row>
    <row r="374" customHeight="1" spans="15:30">
      <c r="O374" s="1776"/>
      <c r="AB374" s="1893"/>
      <c r="AC374" s="1893"/>
      <c r="AD374" s="1670"/>
    </row>
    <row r="375" customHeight="1" spans="15:30">
      <c r="O375" s="1776"/>
      <c r="AB375" s="1893"/>
      <c r="AC375" s="1893"/>
      <c r="AD375" s="1670"/>
    </row>
    <row r="376" customHeight="1" spans="15:30">
      <c r="O376" s="1776"/>
      <c r="AB376" s="1893"/>
      <c r="AC376" s="1893"/>
      <c r="AD376" s="1670"/>
    </row>
    <row r="377" customHeight="1" spans="15:30">
      <c r="O377" s="1776"/>
      <c r="AB377" s="1893"/>
      <c r="AC377" s="1893"/>
      <c r="AD377" s="1670"/>
    </row>
    <row r="378" customHeight="1" spans="15:30">
      <c r="O378" s="1776"/>
      <c r="AB378" s="1893"/>
      <c r="AC378" s="1893"/>
      <c r="AD378" s="1670"/>
    </row>
    <row r="379" customHeight="1" spans="15:30">
      <c r="O379" s="1776"/>
      <c r="AB379" s="1893"/>
      <c r="AC379" s="1893"/>
      <c r="AD379" s="1670"/>
    </row>
    <row r="380" customHeight="1" spans="15:30">
      <c r="O380" s="1776"/>
      <c r="AB380" s="1893"/>
      <c r="AC380" s="1893"/>
      <c r="AD380" s="1670"/>
    </row>
    <row r="381" customHeight="1" spans="15:30">
      <c r="O381" s="1776"/>
      <c r="AB381" s="1893"/>
      <c r="AC381" s="1893"/>
      <c r="AD381" s="1670"/>
    </row>
    <row r="382" customHeight="1" spans="15:30">
      <c r="O382" s="1776"/>
      <c r="AB382" s="1893"/>
      <c r="AC382" s="1893"/>
      <c r="AD382" s="1670"/>
    </row>
    <row r="383" customHeight="1" spans="15:30">
      <c r="O383" s="1776"/>
      <c r="AB383" s="1893"/>
      <c r="AC383" s="1893"/>
      <c r="AD383" s="1670"/>
    </row>
    <row r="384" customHeight="1" spans="15:30">
      <c r="O384" s="1776"/>
      <c r="AB384" s="1893"/>
      <c r="AC384" s="1893"/>
      <c r="AD384" s="1670"/>
    </row>
    <row r="385" customHeight="1" spans="15:30">
      <c r="O385" s="1776"/>
      <c r="AB385" s="1893"/>
      <c r="AC385" s="1893"/>
      <c r="AD385" s="1670"/>
    </row>
    <row r="386" customHeight="1" spans="15:30">
      <c r="O386" s="1776"/>
      <c r="AB386" s="1893"/>
      <c r="AC386" s="1893"/>
      <c r="AD386" s="1670"/>
    </row>
    <row r="387" customHeight="1" spans="15:30">
      <c r="O387" s="1776"/>
      <c r="AB387" s="1893"/>
      <c r="AC387" s="1893"/>
      <c r="AD387" s="1670"/>
    </row>
    <row r="388" customHeight="1" spans="15:30">
      <c r="O388" s="1776"/>
      <c r="AB388" s="1893"/>
      <c r="AC388" s="1893"/>
      <c r="AD388" s="1670"/>
    </row>
    <row r="389" customHeight="1" spans="15:30">
      <c r="O389" s="1776"/>
      <c r="AB389" s="1893"/>
      <c r="AC389" s="1893"/>
      <c r="AD389" s="1670"/>
    </row>
    <row r="390" customHeight="1" spans="15:30">
      <c r="O390" s="1776"/>
      <c r="AB390" s="1893"/>
      <c r="AC390" s="1893"/>
      <c r="AD390" s="1670"/>
    </row>
    <row r="391" customHeight="1" spans="15:30">
      <c r="O391" s="1776"/>
      <c r="AB391" s="1893"/>
      <c r="AC391" s="1893"/>
      <c r="AD391" s="1670"/>
    </row>
    <row r="392" customHeight="1" spans="15:30">
      <c r="O392" s="1776"/>
      <c r="AB392" s="1893"/>
      <c r="AC392" s="1893"/>
      <c r="AD392" s="1670"/>
    </row>
    <row r="393" customHeight="1" spans="15:30">
      <c r="O393" s="1776"/>
      <c r="AB393" s="1893"/>
      <c r="AC393" s="1893"/>
      <c r="AD393" s="1670"/>
    </row>
    <row r="394" customHeight="1" spans="15:30">
      <c r="O394" s="1776"/>
      <c r="AB394" s="1893"/>
      <c r="AC394" s="1893"/>
      <c r="AD394" s="1670"/>
    </row>
    <row r="395" customHeight="1" spans="15:30">
      <c r="O395" s="1776"/>
      <c r="AB395" s="1893"/>
      <c r="AC395" s="1893"/>
      <c r="AD395" s="1670"/>
    </row>
    <row r="396" customHeight="1" spans="15:30">
      <c r="O396" s="1776"/>
      <c r="AB396" s="1893"/>
      <c r="AC396" s="1893"/>
      <c r="AD396" s="1670"/>
    </row>
    <row r="397" customHeight="1" spans="15:30">
      <c r="O397" s="1776"/>
      <c r="AB397" s="1893"/>
      <c r="AC397" s="1893"/>
      <c r="AD397" s="1670"/>
    </row>
    <row r="398" customHeight="1" spans="15:30">
      <c r="O398" s="1776"/>
      <c r="AB398" s="1893"/>
      <c r="AC398" s="1893"/>
      <c r="AD398" s="1670"/>
    </row>
    <row r="399" customHeight="1" spans="15:30">
      <c r="O399" s="1776"/>
      <c r="AB399" s="1893"/>
      <c r="AC399" s="1893"/>
      <c r="AD399" s="1670"/>
    </row>
    <row r="400" customHeight="1" spans="15:30">
      <c r="O400" s="1776"/>
      <c r="AB400" s="1893"/>
      <c r="AC400" s="1893"/>
      <c r="AD400" s="1670"/>
    </row>
    <row r="401" customHeight="1" spans="15:30">
      <c r="O401" s="1776"/>
      <c r="AB401" s="1893"/>
      <c r="AC401" s="1893"/>
      <c r="AD401" s="1670"/>
    </row>
    <row r="402" customHeight="1" spans="15:30">
      <c r="O402" s="1776"/>
      <c r="AB402" s="1893"/>
      <c r="AC402" s="1893"/>
      <c r="AD402" s="1670"/>
    </row>
    <row r="403" customHeight="1" spans="15:30">
      <c r="O403" s="1776"/>
      <c r="AB403" s="1893"/>
      <c r="AC403" s="1893"/>
      <c r="AD403" s="1670"/>
    </row>
    <row r="404" customHeight="1" spans="15:30">
      <c r="O404" s="1776"/>
      <c r="AB404" s="1893"/>
      <c r="AC404" s="1893"/>
      <c r="AD404" s="1670"/>
    </row>
    <row r="405" customHeight="1" spans="15:30">
      <c r="O405" s="1776"/>
      <c r="AB405" s="1893"/>
      <c r="AC405" s="1893"/>
      <c r="AD405" s="1670"/>
    </row>
    <row r="406" customHeight="1" spans="15:30">
      <c r="O406" s="1776"/>
      <c r="AB406" s="1893"/>
      <c r="AC406" s="1893"/>
      <c r="AD406" s="1670"/>
    </row>
    <row r="407" customHeight="1" spans="15:30">
      <c r="O407" s="1776"/>
      <c r="AB407" s="1893"/>
      <c r="AC407" s="1893"/>
      <c r="AD407" s="1670"/>
    </row>
    <row r="408" customHeight="1" spans="15:30">
      <c r="O408" s="1776"/>
      <c r="AB408" s="1893"/>
      <c r="AC408" s="1893"/>
      <c r="AD408" s="1670"/>
    </row>
    <row r="409" customHeight="1" spans="15:30">
      <c r="O409" s="1776"/>
      <c r="AB409" s="1893"/>
      <c r="AC409" s="1893"/>
      <c r="AD409" s="1670"/>
    </row>
    <row r="410" customHeight="1" spans="15:30">
      <c r="O410" s="1776"/>
      <c r="AB410" s="1893"/>
      <c r="AC410" s="1893"/>
      <c r="AD410" s="1670"/>
    </row>
    <row r="411" customHeight="1" spans="15:30">
      <c r="O411" s="1776"/>
      <c r="AB411" s="1893"/>
      <c r="AC411" s="1893"/>
      <c r="AD411" s="1670"/>
    </row>
    <row r="412" customHeight="1" spans="15:30">
      <c r="O412" s="1776"/>
      <c r="AB412" s="1893"/>
      <c r="AC412" s="1893"/>
      <c r="AD412" s="1670"/>
    </row>
    <row r="413" customHeight="1" spans="15:30">
      <c r="O413" s="1776"/>
      <c r="AB413" s="1893"/>
      <c r="AC413" s="1893"/>
      <c r="AD413" s="1670"/>
    </row>
    <row r="414" customHeight="1" spans="15:30">
      <c r="O414" s="1776"/>
      <c r="AB414" s="1893"/>
      <c r="AC414" s="1893"/>
      <c r="AD414" s="1670"/>
    </row>
    <row r="415" customHeight="1" spans="15:30">
      <c r="O415" s="1776"/>
      <c r="AB415" s="1893"/>
      <c r="AC415" s="1893"/>
      <c r="AD415" s="1670"/>
    </row>
    <row r="416" customHeight="1" spans="15:30">
      <c r="O416" s="1776"/>
      <c r="AB416" s="1893"/>
      <c r="AC416" s="1893"/>
      <c r="AD416" s="1670"/>
    </row>
    <row r="417" customHeight="1" spans="15:30">
      <c r="O417" s="1776"/>
      <c r="AB417" s="1893"/>
      <c r="AC417" s="1893"/>
      <c r="AD417" s="1670"/>
    </row>
    <row r="418" customHeight="1" spans="15:30">
      <c r="O418" s="1776"/>
      <c r="AB418" s="1893"/>
      <c r="AC418" s="1893"/>
      <c r="AD418" s="1670"/>
    </row>
    <row r="419" customHeight="1" spans="15:30">
      <c r="O419" s="1776"/>
      <c r="AB419" s="1893"/>
      <c r="AC419" s="1893"/>
      <c r="AD419" s="1670"/>
    </row>
    <row r="420" customHeight="1" spans="15:30">
      <c r="O420" s="1776"/>
      <c r="AB420" s="1893"/>
      <c r="AC420" s="1893"/>
      <c r="AD420" s="1670"/>
    </row>
    <row r="421" customHeight="1" spans="15:30">
      <c r="O421" s="1776"/>
      <c r="AB421" s="1893"/>
      <c r="AC421" s="1893"/>
      <c r="AD421" s="1670"/>
    </row>
    <row r="422" customHeight="1" spans="15:30">
      <c r="O422" s="1776"/>
      <c r="AB422" s="1893"/>
      <c r="AC422" s="1893"/>
      <c r="AD422" s="1670"/>
    </row>
    <row r="423" customHeight="1" spans="15:30">
      <c r="O423" s="1776"/>
      <c r="AB423" s="1893"/>
      <c r="AC423" s="1893"/>
      <c r="AD423" s="1670"/>
    </row>
    <row r="424" customHeight="1" spans="15:30">
      <c r="O424" s="1776"/>
      <c r="AB424" s="1893"/>
      <c r="AC424" s="1893"/>
      <c r="AD424" s="1670"/>
    </row>
    <row r="425" customHeight="1" spans="15:30">
      <c r="O425" s="1776"/>
      <c r="AB425" s="1893"/>
      <c r="AC425" s="1893"/>
      <c r="AD425" s="1670"/>
    </row>
    <row r="426" customHeight="1" spans="15:30">
      <c r="O426" s="1776"/>
      <c r="AB426" s="1893"/>
      <c r="AC426" s="1893"/>
      <c r="AD426" s="1670"/>
    </row>
    <row r="427" customHeight="1" spans="15:30">
      <c r="O427" s="1776"/>
      <c r="AB427" s="1893"/>
      <c r="AC427" s="1893"/>
      <c r="AD427" s="1670"/>
    </row>
    <row r="428" customHeight="1" spans="15:30">
      <c r="O428" s="1776"/>
      <c r="AB428" s="1893"/>
      <c r="AC428" s="1893"/>
      <c r="AD428" s="1670"/>
    </row>
    <row r="429" customHeight="1" spans="15:30">
      <c r="O429" s="1776"/>
      <c r="AB429" s="1893"/>
      <c r="AC429" s="1893"/>
      <c r="AD429" s="1670"/>
    </row>
    <row r="430" customHeight="1" spans="15:30">
      <c r="O430" s="1776"/>
      <c r="AB430" s="1893"/>
      <c r="AC430" s="1893"/>
      <c r="AD430" s="1670"/>
    </row>
    <row r="431" customHeight="1" spans="15:30">
      <c r="O431" s="1776"/>
      <c r="AB431" s="1893"/>
      <c r="AC431" s="1893"/>
      <c r="AD431" s="1670"/>
    </row>
    <row r="432" customHeight="1" spans="15:30">
      <c r="O432" s="1776"/>
      <c r="AB432" s="1893"/>
      <c r="AC432" s="1893"/>
      <c r="AD432" s="1670"/>
    </row>
    <row r="433" customHeight="1" spans="15:30">
      <c r="O433" s="1776"/>
      <c r="AB433" s="1893"/>
      <c r="AC433" s="1893"/>
      <c r="AD433" s="1670"/>
    </row>
    <row r="434" customHeight="1" spans="15:30">
      <c r="O434" s="1776"/>
      <c r="AB434" s="1893"/>
      <c r="AC434" s="1893"/>
      <c r="AD434" s="1670"/>
    </row>
    <row r="435" customHeight="1" spans="15:30">
      <c r="O435" s="1776"/>
      <c r="AB435" s="1893"/>
      <c r="AC435" s="1893"/>
      <c r="AD435" s="1670"/>
    </row>
    <row r="436" customHeight="1" spans="15:30">
      <c r="O436" s="1776"/>
      <c r="AB436" s="1893"/>
      <c r="AC436" s="1893"/>
      <c r="AD436" s="1670"/>
    </row>
    <row r="437" customHeight="1" spans="15:30">
      <c r="O437" s="1776"/>
      <c r="AB437" s="1893"/>
      <c r="AC437" s="1893"/>
      <c r="AD437" s="1670"/>
    </row>
  </sheetData>
  <sheetProtection selectLockedCells="1" autoFilter="0"/>
  <autoFilter xmlns:etc="http://www.wps.cn/officeDocument/2017/etCustomData" ref="A3:XFD114" etc:filterBottomFollowUsedRange="0">
    <extLst/>
  </autoFilter>
  <mergeCells count="2">
    <mergeCell ref="AJ2:AP2"/>
    <mergeCell ref="AT2:AV2"/>
  </mergeCells>
  <conditionalFormatting sqref="T19">
    <cfRule type="containsText" dxfId="0" priority="87" operator="between" text="欠">
      <formula>NOT(ISERROR(SEARCH("欠",T19)))</formula>
    </cfRule>
  </conditionalFormatting>
  <conditionalFormatting sqref="T41">
    <cfRule type="containsText" dxfId="0" priority="77" operator="between" text="欠">
      <formula>NOT(ISERROR(SEARCH("欠",T41)))</formula>
    </cfRule>
  </conditionalFormatting>
  <conditionalFormatting sqref="T43">
    <cfRule type="containsText" dxfId="0" priority="68" operator="between" text="欠">
      <formula>NOT(ISERROR(SEARCH("欠",T43)))</formula>
    </cfRule>
  </conditionalFormatting>
  <conditionalFormatting sqref="T44">
    <cfRule type="containsText" dxfId="0" priority="67" operator="between" text="欠">
      <formula>NOT(ISERROR(SEARCH("欠",T44)))</formula>
    </cfRule>
  </conditionalFormatting>
  <conditionalFormatting sqref="T45">
    <cfRule type="containsText" dxfId="0" priority="66" operator="between" text="欠">
      <formula>NOT(ISERROR(SEARCH("欠",T45)))</formula>
    </cfRule>
  </conditionalFormatting>
  <conditionalFormatting sqref="T46">
    <cfRule type="containsText" dxfId="0" priority="65" operator="between" text="欠">
      <formula>NOT(ISERROR(SEARCH("欠",T46)))</formula>
    </cfRule>
  </conditionalFormatting>
  <conditionalFormatting sqref="T47">
    <cfRule type="containsText" dxfId="0" priority="64" operator="between" text="欠">
      <formula>NOT(ISERROR(SEARCH("欠",T47)))</formula>
    </cfRule>
  </conditionalFormatting>
  <conditionalFormatting sqref="T48">
    <cfRule type="containsText" dxfId="0" priority="63" operator="between" text="欠">
      <formula>NOT(ISERROR(SEARCH("欠",T48)))</formula>
    </cfRule>
  </conditionalFormatting>
  <conditionalFormatting sqref="T49">
    <cfRule type="containsText" dxfId="0" priority="55" operator="between" text="欠">
      <formula>NOT(ISERROR(SEARCH("欠",T49)))</formula>
    </cfRule>
  </conditionalFormatting>
  <conditionalFormatting sqref="T50">
    <cfRule type="containsText" dxfId="0" priority="54" operator="between" text="欠">
      <formula>NOT(ISERROR(SEARCH("欠",T50)))</formula>
    </cfRule>
  </conditionalFormatting>
  <conditionalFormatting sqref="T51">
    <cfRule type="containsText" dxfId="0" priority="53" operator="between" text="欠">
      <formula>NOT(ISERROR(SEARCH("欠",T51)))</formula>
    </cfRule>
  </conditionalFormatting>
  <conditionalFormatting sqref="T52">
    <cfRule type="containsText" dxfId="0" priority="52" operator="between" text="欠">
      <formula>NOT(ISERROR(SEARCH("欠",T52)))</formula>
    </cfRule>
  </conditionalFormatting>
  <conditionalFormatting sqref="T53">
    <cfRule type="containsText" dxfId="0" priority="51" operator="between" text="欠">
      <formula>NOT(ISERROR(SEARCH("欠",T53)))</formula>
    </cfRule>
  </conditionalFormatting>
  <conditionalFormatting sqref="U62">
    <cfRule type="containsText" dxfId="0" priority="35" operator="between" text="欠">
      <formula>NOT(ISERROR(SEARCH("欠",U62)))</formula>
    </cfRule>
  </conditionalFormatting>
  <conditionalFormatting sqref="S64">
    <cfRule type="containsText" dxfId="0" priority="38" operator="between" text="欠">
      <formula>NOT(ISERROR(SEARCH("欠",S64)))</formula>
    </cfRule>
  </conditionalFormatting>
  <conditionalFormatting sqref="T64">
    <cfRule type="containsText" dxfId="0" priority="37" operator="between" text="欠">
      <formula>NOT(ISERROR(SEARCH("欠",T64)))</formula>
    </cfRule>
  </conditionalFormatting>
  <conditionalFormatting sqref="U64">
    <cfRule type="containsText" dxfId="0" priority="36" operator="between" text="欠">
      <formula>NOT(ISERROR(SEARCH("欠",U64)))</formula>
    </cfRule>
  </conditionalFormatting>
  <conditionalFormatting sqref="T70">
    <cfRule type="containsText" dxfId="0" priority="33" operator="between" text="欠">
      <formula>NOT(ISERROR(SEARCH("欠",T70)))</formula>
    </cfRule>
  </conditionalFormatting>
  <conditionalFormatting sqref="T83">
    <cfRule type="containsText" dxfId="0" priority="20" operator="between" text="欠">
      <formula>NOT(ISERROR(SEARCH("欠",T83)))</formula>
    </cfRule>
  </conditionalFormatting>
  <conditionalFormatting sqref="R103">
    <cfRule type="containsText" dxfId="0" priority="15" operator="between" text="欠">
      <formula>NOT(ISERROR(SEARCH("欠",R103)))</formula>
    </cfRule>
  </conditionalFormatting>
  <conditionalFormatting sqref="T103">
    <cfRule type="containsText" dxfId="0" priority="13" operator="between" text="欠">
      <formula>NOT(ISERROR(SEARCH("欠",T103)))</formula>
    </cfRule>
  </conditionalFormatting>
  <conditionalFormatting sqref="R106">
    <cfRule type="containsText" dxfId="0" priority="6" operator="between" text="欠">
      <formula>NOT(ISERROR(SEARCH("欠",R106)))</formula>
    </cfRule>
  </conditionalFormatting>
  <conditionalFormatting sqref="T106">
    <cfRule type="containsText" dxfId="0" priority="4" operator="between" text="欠">
      <formula>NOT(ISERROR(SEARCH("欠",T106)))</formula>
    </cfRule>
  </conditionalFormatting>
  <conditionalFormatting sqref="R107">
    <cfRule type="containsText" dxfId="0" priority="3" operator="between" text="欠">
      <formula>NOT(ISERROR(SEARCH("欠",R107)))</formula>
    </cfRule>
  </conditionalFormatting>
  <conditionalFormatting sqref="T107">
    <cfRule type="containsText" dxfId="0" priority="1" operator="between" text="欠">
      <formula>NOT(ISERROR(SEARCH("欠",T107)))</formula>
    </cfRule>
  </conditionalFormatting>
  <conditionalFormatting sqref="P32:P39">
    <cfRule type="containsText" dxfId="0" priority="79" operator="between" text="欠">
      <formula>NOT(ISERROR(SEARCH("欠",P32)))</formula>
    </cfRule>
  </conditionalFormatting>
  <conditionalFormatting sqref="R74:R76">
    <cfRule type="containsText" dxfId="0" priority="25" operator="between" text="欠">
      <formula>NOT(ISERROR(SEARCH("欠",R74)))</formula>
    </cfRule>
  </conditionalFormatting>
  <conditionalFormatting sqref="R104:R105">
    <cfRule type="containsText" dxfId="0" priority="9" operator="between" text="欠">
      <formula>NOT(ISERROR(SEARCH("欠",R104)))</formula>
    </cfRule>
  </conditionalFormatting>
  <conditionalFormatting sqref="S43:S48">
    <cfRule type="containsText" dxfId="0" priority="74" operator="between" text="欠">
      <formula>NOT(ISERROR(SEARCH("欠",S43)))</formula>
    </cfRule>
  </conditionalFormatting>
  <conditionalFormatting sqref="S49:S53">
    <cfRule type="containsText" dxfId="0" priority="60" operator="between" text="欠">
      <formula>NOT(ISERROR(SEARCH("欠",S49)))</formula>
    </cfRule>
  </conditionalFormatting>
  <conditionalFormatting sqref="S60:S61">
    <cfRule type="containsText" dxfId="0" priority="41" operator="between" text="欠">
      <formula>NOT(ISERROR(SEARCH("欠",S60)))</formula>
    </cfRule>
  </conditionalFormatting>
  <conditionalFormatting sqref="S70:S76">
    <cfRule type="containsText" dxfId="0" priority="34" operator="between" text="欠">
      <formula>NOT(ISERROR(SEARCH("欠",S70)))</formula>
    </cfRule>
  </conditionalFormatting>
  <conditionalFormatting sqref="S83:S87">
    <cfRule type="containsText" dxfId="0" priority="21" operator="between" text="欠">
      <formula>NOT(ISERROR(SEARCH("欠",S83)))</formula>
    </cfRule>
  </conditionalFormatting>
  <conditionalFormatting sqref="S88:S89">
    <cfRule type="containsText" dxfId="0" priority="24" operator="between" text="欠">
      <formula>NOT(ISERROR(SEARCH("欠",S88)))</formula>
    </cfRule>
  </conditionalFormatting>
  <conditionalFormatting sqref="T60:T61">
    <cfRule type="containsText" dxfId="0" priority="40" operator="between" text="欠">
      <formula>NOT(ISERROR(SEARCH("欠",T60)))</formula>
    </cfRule>
  </conditionalFormatting>
  <conditionalFormatting sqref="T88:T89">
    <cfRule type="containsText" dxfId="0" priority="23" operator="between" text="欠">
      <formula>NOT(ISERROR(SEARCH("欠",T88)))</formula>
    </cfRule>
  </conditionalFormatting>
  <conditionalFormatting sqref="T104:T105">
    <cfRule type="containsText" dxfId="0" priority="7" operator="between" text="欠">
      <formula>NOT(ISERROR(SEARCH("欠",T104)))</formula>
    </cfRule>
  </conditionalFormatting>
  <conditionalFormatting sqref="U43:U57">
    <cfRule type="containsText" dxfId="0" priority="50" operator="between" text="欠">
      <formula>NOT(ISERROR(SEARCH("欠",U43)))</formula>
    </cfRule>
  </conditionalFormatting>
  <conditionalFormatting sqref="U60:U61">
    <cfRule type="containsText" dxfId="0" priority="39" operator="between" text="欠">
      <formula>NOT(ISERROR(SEARCH("欠",U60)))</formula>
    </cfRule>
  </conditionalFormatting>
  <conditionalFormatting sqref="U65:U67">
    <cfRule type="containsText" dxfId="0" priority="42" operator="between" text="欠">
      <formula>NOT(ISERROR(SEARCH("欠",U65)))</formula>
    </cfRule>
  </conditionalFormatting>
  <conditionalFormatting sqref="U70:U76">
    <cfRule type="containsText" dxfId="0" priority="32" operator="between" text="欠">
      <formula>NOT(ISERROR(SEARCH("欠",U70)))</formula>
    </cfRule>
  </conditionalFormatting>
  <conditionalFormatting sqref="U83:U87">
    <cfRule type="containsText" dxfId="0" priority="19" operator="between" text="欠">
      <formula>NOT(ISERROR(SEARCH("欠",U83)))</formula>
    </cfRule>
  </conditionalFormatting>
  <conditionalFormatting sqref="U88:U89">
    <cfRule type="containsText" dxfId="0" priority="16" operator="between" text="欠">
      <formula>NOT(ISERROR(SEARCH("欠",U88)))</formula>
    </cfRule>
  </conditionalFormatting>
  <conditionalFormatting sqref="S20:U20 S4:U17">
    <cfRule type="containsText" dxfId="0" priority="89" operator="between" text="欠">
      <formula>NOT(ISERROR(SEARCH("欠",S4)))</formula>
    </cfRule>
  </conditionalFormatting>
  <conditionalFormatting sqref="S18:U18 S19 U19">
    <cfRule type="containsText" dxfId="0" priority="88" operator="between" text="欠">
      <formula>NOT(ISERROR(SEARCH("欠",S18)))</formula>
    </cfRule>
  </conditionalFormatting>
  <conditionalFormatting sqref="S21:U21 U22:U30 S22:S30 U32:U39 S54:S58 U58 S32:S39 S42 U42">
    <cfRule type="containsText" dxfId="0" priority="84" operator="between" text="欠">
      <formula>NOT(ISERROR(SEARCH("欠",S21)))</formula>
    </cfRule>
  </conditionalFormatting>
  <conditionalFormatting sqref="T22:T30 T32:T39 T54:T58 T42">
    <cfRule type="containsText" dxfId="0" priority="83" operator="between" text="欠">
      <formula>NOT(ISERROR(SEARCH("欠",T22)))</formula>
    </cfRule>
  </conditionalFormatting>
  <conditionalFormatting sqref="U31 S31 U40 S40">
    <cfRule type="containsText" dxfId="0" priority="81" operator="between" text="欠">
      <formula>NOT(ISERROR(SEARCH("欠",S31)))</formula>
    </cfRule>
  </conditionalFormatting>
  <conditionalFormatting sqref="T31 T40">
    <cfRule type="containsText" dxfId="0" priority="80" operator="between" text="欠">
      <formula>NOT(ISERROR(SEARCH("欠",T31)))</formula>
    </cfRule>
  </conditionalFormatting>
  <conditionalFormatting sqref="U41 S41">
    <cfRule type="containsText" dxfId="0" priority="78" operator="between" text="欠">
      <formula>NOT(ISERROR(SEARCH("欠",S41)))</formula>
    </cfRule>
  </conditionalFormatting>
  <conditionalFormatting sqref="S59 S68:S69 S63">
    <cfRule type="containsText" dxfId="0" priority="47" operator="between" text="欠">
      <formula>NOT(ISERROR(SEARCH("欠",S59)))</formula>
    </cfRule>
  </conditionalFormatting>
  <conditionalFormatting sqref="T59 T68:T69 T71:T76 T63">
    <cfRule type="containsText" dxfId="0" priority="46" operator="between" text="欠">
      <formula>NOT(ISERROR(SEARCH("欠",T59)))</formula>
    </cfRule>
  </conditionalFormatting>
  <conditionalFormatting sqref="U59 U68:U69 U63">
    <cfRule type="containsText" dxfId="0" priority="45" operator="between" text="欠">
      <formula>NOT(ISERROR(SEARCH("欠",U59)))</formula>
    </cfRule>
  </conditionalFormatting>
  <conditionalFormatting sqref="S62 S65:S67">
    <cfRule type="containsText" dxfId="0" priority="44" operator="between" text="欠">
      <formula>NOT(ISERROR(SEARCH("欠",S62)))</formula>
    </cfRule>
  </conditionalFormatting>
  <conditionalFormatting sqref="T62 T65:T67">
    <cfRule type="containsText" dxfId="0" priority="43" operator="between" text="欠">
      <formula>NOT(ISERROR(SEARCH("欠",T62)))</formula>
    </cfRule>
  </conditionalFormatting>
  <conditionalFormatting sqref="S77:S82 S90:S108">
    <cfRule type="containsText" dxfId="0" priority="31" operator="between" text="欠">
      <formula>NOT(ISERROR(SEARCH("欠",S77)))</formula>
    </cfRule>
  </conditionalFormatting>
  <conditionalFormatting sqref="T77:T82 T84:T87 T90:T102 T108">
    <cfRule type="containsText" dxfId="0" priority="30" operator="between" text="欠">
      <formula>NOT(ISERROR(SEARCH("欠",T77)))</formula>
    </cfRule>
  </conditionalFormatting>
  <conditionalFormatting sqref="U77:U82 U90:U108">
    <cfRule type="containsText" dxfId="0" priority="29" operator="between" text="欠">
      <formula>NOT(ISERROR(SEARCH("欠",U77)))</formula>
    </cfRule>
  </conditionalFormatting>
  <pageMargins left="0" right="0.08" top="0.39" bottom="0.51" header="0.5" footer="0.5"/>
  <pageSetup paperSize="9" scale="13" orientation="landscape" horizontalDpi="600"/>
  <headerFooter alignWithMargins="0" scaleWithDoc="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FD3351"/>
  <sheetViews>
    <sheetView tabSelected="1" zoomScale="70" zoomScaleNormal="70" workbookViewId="0">
      <pane xSplit="15" ySplit="3" topLeftCell="T312" activePane="bottomRight" state="frozen"/>
      <selection/>
      <selection pane="topRight"/>
      <selection pane="bottomLeft"/>
      <selection pane="bottomRight" activeCell="X319" sqref="X319"/>
    </sheetView>
  </sheetViews>
  <sheetFormatPr defaultColWidth="9" defaultRowHeight="25" customHeight="1"/>
  <cols>
    <col min="1" max="1" width="16.5666666666667" style="1058" customWidth="1"/>
    <col min="2" max="2" width="10.9083333333333" style="1059" customWidth="1"/>
    <col min="3" max="3" width="9.025" style="1060" customWidth="1"/>
    <col min="4" max="4" width="12.2166666666667" style="1060" customWidth="1"/>
    <col min="5" max="5" width="14.1" style="1059" customWidth="1"/>
    <col min="6" max="6" width="12.3166666666667" style="1059" customWidth="1"/>
    <col min="7" max="7" width="13.125" style="1059" customWidth="1"/>
    <col min="8" max="8" width="14.1" style="1060" customWidth="1"/>
    <col min="9" max="9" width="11.25" style="1060" customWidth="1"/>
    <col min="10" max="10" width="9.29166666666667" style="1060" customWidth="1"/>
    <col min="11" max="12" width="7.31666666666667" style="1060" customWidth="1"/>
    <col min="13" max="13" width="9.63333333333333" style="1060" customWidth="1"/>
    <col min="14" max="14" width="14.2416666666667" style="1061" customWidth="1"/>
    <col min="15" max="15" width="14.7583333333333" style="1062" customWidth="1"/>
    <col min="16" max="16" width="10.4666666666667" style="1063" customWidth="1"/>
    <col min="17" max="17" width="11.8583333333333" style="1064" customWidth="1"/>
    <col min="18" max="18" width="10.4666666666667" style="1064" customWidth="1"/>
    <col min="19" max="19" width="10.5916666666667" style="1065" customWidth="1"/>
    <col min="20" max="20" width="8.575" style="1063" customWidth="1"/>
    <col min="21" max="21" width="10.425" style="1063" customWidth="1"/>
    <col min="22" max="22" width="20.6083333333333" style="1059" customWidth="1"/>
    <col min="23" max="23" width="20.35" style="1066" customWidth="1"/>
    <col min="24" max="24" width="11.6083333333333" style="1060" customWidth="1"/>
    <col min="25" max="25" width="12.8583333333333" style="1067" customWidth="1" outlineLevel="1"/>
    <col min="26" max="26" width="11.25" style="1068" customWidth="1" outlineLevel="1"/>
    <col min="27" max="27" width="11.9666666666667" style="1069" customWidth="1"/>
    <col min="28" max="29" width="11.0666666666667" style="1063" customWidth="1"/>
    <col min="30" max="31" width="9.64166666666667" style="1070" customWidth="1"/>
    <col min="32" max="32" width="8.04166666666667" style="1071" customWidth="1"/>
    <col min="33" max="33" width="9.99166666666667" style="1062" customWidth="1"/>
    <col min="34" max="36" width="9.375" style="1072" customWidth="1"/>
    <col min="37" max="37" width="8.43333333333333" style="1073" hidden="1" customWidth="1"/>
    <col min="38" max="38" width="8.43333333333333" style="1074" hidden="1" customWidth="1"/>
    <col min="39" max="39" width="8.43333333333333" style="1073" hidden="1" customWidth="1"/>
    <col min="40" max="40" width="8.43333333333333" style="1075" hidden="1" customWidth="1"/>
    <col min="41" max="41" width="8.43333333333333" style="1076" hidden="1" customWidth="1"/>
    <col min="42" max="43" width="8.43333333333333" style="1075" hidden="1" customWidth="1"/>
    <col min="44" max="44" width="8.43333333333333" style="1077" customWidth="1"/>
    <col min="45" max="45" width="8.43333333333333" style="1073" hidden="1" customWidth="1"/>
    <col min="46" max="46" width="8.43333333333333" style="1074" hidden="1" customWidth="1"/>
    <col min="47" max="48" width="8.43333333333333" style="1073" hidden="1" customWidth="1"/>
    <col min="49" max="49" width="8.43333333333333" style="1078" customWidth="1"/>
    <col min="50" max="50" width="8.43333333333333" style="1075" hidden="1" customWidth="1"/>
    <col min="51" max="52" width="8.43333333333333" style="1076" hidden="1" customWidth="1"/>
    <col min="53" max="53" width="8.43333333333333" style="1079" customWidth="1"/>
    <col min="54" max="54" width="8.43333333333333" style="1072" customWidth="1"/>
    <col min="55" max="55" width="8.6" style="1072" customWidth="1"/>
    <col min="56" max="56" width="8.43333333333333" style="1078" customWidth="1"/>
    <col min="57" max="57" width="8.6" style="1072" customWidth="1"/>
    <col min="58" max="58" width="8.6" style="1080" customWidth="1"/>
    <col min="59" max="59" width="8.6" style="1072" customWidth="1"/>
    <col min="60" max="60" width="8.78333333333333" style="1059" customWidth="1"/>
    <col min="61" max="61" width="5.6" style="1081" hidden="1" customWidth="1"/>
    <col min="62" max="62" width="5.6" style="1082" hidden="1" customWidth="1"/>
    <col min="63" max="63" width="14.5416666666667" style="1083" hidden="1" customWidth="1"/>
    <col min="64" max="16384" width="9" style="1056"/>
  </cols>
  <sheetData>
    <row r="1" s="1050" customFormat="1" customHeight="1" spans="1:63">
      <c r="A1" s="1084" t="s">
        <v>1990</v>
      </c>
      <c r="B1" s="1085"/>
      <c r="C1" s="1085"/>
      <c r="D1" s="1085"/>
      <c r="E1" s="1085"/>
      <c r="F1" s="1086"/>
      <c r="G1" s="1085"/>
      <c r="H1" s="1085"/>
      <c r="I1" s="1085"/>
      <c r="J1" s="1085"/>
      <c r="K1" s="1085"/>
      <c r="L1" s="1085"/>
      <c r="M1" s="1085"/>
      <c r="N1" s="1105"/>
      <c r="O1" s="1106"/>
      <c r="P1" s="1107"/>
      <c r="Q1" s="1123"/>
      <c r="R1" s="1124"/>
      <c r="S1" s="1125"/>
      <c r="T1" s="1107"/>
      <c r="U1" s="1107"/>
      <c r="V1" s="1086"/>
      <c r="W1" s="1126"/>
      <c r="X1" s="1085"/>
      <c r="Y1" s="1152"/>
      <c r="Z1" s="1085"/>
      <c r="AA1" s="1153"/>
      <c r="AB1" s="1107"/>
      <c r="AC1" s="1107"/>
      <c r="AD1" s="1154"/>
      <c r="AE1" s="1154"/>
      <c r="AF1" s="1155"/>
      <c r="AG1" s="1106"/>
      <c r="AH1" s="1085"/>
      <c r="AI1" s="1085"/>
      <c r="AJ1" s="1085"/>
      <c r="AK1" s="1178"/>
      <c r="AL1" s="1179"/>
      <c r="AM1" s="1178"/>
      <c r="AN1" s="1180"/>
      <c r="AO1" s="1206"/>
      <c r="AP1" s="1180"/>
      <c r="AQ1" s="1180"/>
      <c r="AR1" s="1207"/>
      <c r="AS1" s="1178"/>
      <c r="AT1" s="1208"/>
      <c r="AU1" s="1209"/>
      <c r="AV1" s="1209"/>
      <c r="AW1" s="1238"/>
      <c r="AX1" s="1180"/>
      <c r="AY1" s="1206"/>
      <c r="AZ1" s="1206"/>
      <c r="BA1" s="1239"/>
      <c r="BB1" s="1240"/>
      <c r="BC1" s="1240"/>
      <c r="BD1" s="1238"/>
      <c r="BE1" s="1245"/>
      <c r="BF1" s="1245"/>
      <c r="BG1" s="1240"/>
      <c r="BH1" s="1246"/>
      <c r="BI1" s="1081"/>
      <c r="BJ1" s="1081"/>
      <c r="BK1" s="1247"/>
    </row>
    <row r="2" s="1051" customFormat="1" ht="30" customHeight="1" spans="1:63">
      <c r="A2" s="1087">
        <v>44974</v>
      </c>
      <c r="B2" s="1088"/>
      <c r="C2" s="1089"/>
      <c r="D2" s="1090"/>
      <c r="E2" s="1090"/>
      <c r="F2" s="1091"/>
      <c r="G2" s="1090"/>
      <c r="H2" s="1092"/>
      <c r="I2" s="1108"/>
      <c r="J2" s="1109"/>
      <c r="K2" s="1089"/>
      <c r="L2" s="1089"/>
      <c r="M2" s="1089"/>
      <c r="N2" s="1105"/>
      <c r="O2" s="1106"/>
      <c r="P2" s="1110"/>
      <c r="Q2" s="1127"/>
      <c r="R2" s="1127"/>
      <c r="S2" s="1128"/>
      <c r="T2" s="1110"/>
      <c r="U2" s="1110"/>
      <c r="V2" s="1129"/>
      <c r="W2" s="1130"/>
      <c r="X2" s="1090"/>
      <c r="Y2" s="1156"/>
      <c r="Z2" s="1157"/>
      <c r="AA2" s="1158"/>
      <c r="AB2" s="1110"/>
      <c r="AC2" s="1110"/>
      <c r="AD2" s="1154"/>
      <c r="AE2" s="1154"/>
      <c r="AF2" s="1155"/>
      <c r="AG2" s="1106"/>
      <c r="AH2" s="1181" t="s">
        <v>1</v>
      </c>
      <c r="AI2" s="1181"/>
      <c r="AJ2" s="1181"/>
      <c r="AK2" s="1182" t="s">
        <v>1991</v>
      </c>
      <c r="AL2" s="1183"/>
      <c r="AM2" s="1182"/>
      <c r="AN2" s="1182"/>
      <c r="AO2" s="1183"/>
      <c r="AP2" s="1182"/>
      <c r="AQ2" s="1182"/>
      <c r="AR2" s="1210"/>
      <c r="AS2" s="1182"/>
      <c r="AT2" s="1183"/>
      <c r="AU2" s="1182"/>
      <c r="AV2" s="1182"/>
      <c r="AW2" s="1210"/>
      <c r="AX2" s="1182"/>
      <c r="AY2" s="1183"/>
      <c r="AZ2" s="1183"/>
      <c r="BA2" s="1241"/>
      <c r="BB2" s="1241"/>
      <c r="BC2" s="1181" t="s">
        <v>1992</v>
      </c>
      <c r="BD2" s="1210"/>
      <c r="BE2" s="1248"/>
      <c r="BF2" s="1248"/>
      <c r="BG2" s="1181"/>
      <c r="BH2" s="1059"/>
      <c r="BI2" s="1081"/>
      <c r="BJ2" s="1249"/>
      <c r="BK2" s="1250"/>
    </row>
    <row r="3" s="1052" customFormat="1" ht="45" customHeight="1" spans="1:63">
      <c r="A3" s="1093" t="s">
        <v>8</v>
      </c>
      <c r="B3" s="1094" t="s">
        <v>9</v>
      </c>
      <c r="C3" s="1094" t="s">
        <v>10</v>
      </c>
      <c r="D3" s="1095" t="s">
        <v>11</v>
      </c>
      <c r="E3" s="1094" t="s">
        <v>1993</v>
      </c>
      <c r="F3" s="1095" t="s">
        <v>1449</v>
      </c>
      <c r="G3" s="1094" t="s">
        <v>14</v>
      </c>
      <c r="H3" s="1095" t="s">
        <v>15</v>
      </c>
      <c r="I3" s="1094" t="s">
        <v>16</v>
      </c>
      <c r="J3" s="1095" t="s">
        <v>1994</v>
      </c>
      <c r="K3" s="1094" t="s">
        <v>1995</v>
      </c>
      <c r="L3" s="1094" t="s">
        <v>1995</v>
      </c>
      <c r="M3" s="1094" t="s">
        <v>19</v>
      </c>
      <c r="N3" s="1111" t="s">
        <v>20</v>
      </c>
      <c r="O3" s="1111" t="s">
        <v>21</v>
      </c>
      <c r="P3" s="1112" t="s">
        <v>22</v>
      </c>
      <c r="Q3" s="1112" t="s">
        <v>23</v>
      </c>
      <c r="R3" s="1131" t="s">
        <v>1996</v>
      </c>
      <c r="S3" s="1132" t="s">
        <v>1997</v>
      </c>
      <c r="T3" s="1112" t="s">
        <v>26</v>
      </c>
      <c r="U3" s="1112" t="s">
        <v>1998</v>
      </c>
      <c r="V3" s="1094" t="s">
        <v>28</v>
      </c>
      <c r="W3" s="1133" t="s">
        <v>29</v>
      </c>
      <c r="X3" s="1095" t="s">
        <v>1999</v>
      </c>
      <c r="Y3" s="1159" t="s">
        <v>2000</v>
      </c>
      <c r="Z3" s="1160" t="s">
        <v>1457</v>
      </c>
      <c r="AA3" s="1161" t="s">
        <v>33</v>
      </c>
      <c r="AB3" s="1162" t="s">
        <v>37</v>
      </c>
      <c r="AC3" s="1161" t="s">
        <v>38</v>
      </c>
      <c r="AD3" s="1163" t="s">
        <v>34</v>
      </c>
      <c r="AE3" s="1163" t="s">
        <v>35</v>
      </c>
      <c r="AF3" s="1164" t="s">
        <v>1458</v>
      </c>
      <c r="AG3" s="1164" t="s">
        <v>2001</v>
      </c>
      <c r="AH3" s="1184" t="s">
        <v>2002</v>
      </c>
      <c r="AI3" s="1184" t="s">
        <v>2003</v>
      </c>
      <c r="AJ3" s="1184" t="s">
        <v>2004</v>
      </c>
      <c r="AK3" s="1185" t="s">
        <v>2005</v>
      </c>
      <c r="AL3" s="1186" t="s">
        <v>2006</v>
      </c>
      <c r="AM3" s="1186" t="s">
        <v>2007</v>
      </c>
      <c r="AN3" s="1187" t="s">
        <v>2008</v>
      </c>
      <c r="AO3" s="1211" t="s">
        <v>2009</v>
      </c>
      <c r="AP3" s="1187" t="s">
        <v>2010</v>
      </c>
      <c r="AQ3" s="1211" t="s">
        <v>2011</v>
      </c>
      <c r="AR3" s="1212" t="s">
        <v>2012</v>
      </c>
      <c r="AS3" s="1213" t="s">
        <v>2013</v>
      </c>
      <c r="AT3" s="1213" t="s">
        <v>2014</v>
      </c>
      <c r="AU3" s="1213" t="s">
        <v>2015</v>
      </c>
      <c r="AV3" s="1213" t="s">
        <v>2016</v>
      </c>
      <c r="AW3" s="1242" t="s">
        <v>2017</v>
      </c>
      <c r="AX3" s="1243" t="s">
        <v>2018</v>
      </c>
      <c r="AY3" s="1213" t="s">
        <v>2019</v>
      </c>
      <c r="AZ3" s="1213" t="s">
        <v>2020</v>
      </c>
      <c r="BA3" s="1242" t="s">
        <v>2021</v>
      </c>
      <c r="BB3" s="1244" t="s">
        <v>2022</v>
      </c>
      <c r="BC3" s="1184" t="s">
        <v>45</v>
      </c>
      <c r="BD3" s="1242" t="s">
        <v>2023</v>
      </c>
      <c r="BE3" s="1251" t="s">
        <v>2024</v>
      </c>
      <c r="BF3" s="1252" t="s">
        <v>1467</v>
      </c>
      <c r="BG3" s="1253" t="s">
        <v>2025</v>
      </c>
      <c r="BH3" s="1254" t="s">
        <v>2026</v>
      </c>
      <c r="BI3" s="1255" t="s">
        <v>2027</v>
      </c>
      <c r="BJ3" s="1255" t="s">
        <v>2028</v>
      </c>
      <c r="BK3" s="1256" t="s">
        <v>2029</v>
      </c>
    </row>
    <row r="4" s="1053" customFormat="1" ht="31" customHeight="1" spans="1:63">
      <c r="A4" s="1096">
        <v>45418</v>
      </c>
      <c r="B4" s="1097" t="s">
        <v>90</v>
      </c>
      <c r="C4" s="1098" t="s">
        <v>91</v>
      </c>
      <c r="D4" s="1097">
        <v>4500132509</v>
      </c>
      <c r="E4" s="2331" t="s">
        <v>2030</v>
      </c>
      <c r="F4" s="1097" t="s">
        <v>2031</v>
      </c>
      <c r="G4" s="1097" t="s">
        <v>2032</v>
      </c>
      <c r="H4" s="1097" t="s">
        <v>2032</v>
      </c>
      <c r="I4" s="1098" t="s">
        <v>2033</v>
      </c>
      <c r="J4" s="1113">
        <v>2</v>
      </c>
      <c r="K4" s="1097">
        <v>0</v>
      </c>
      <c r="L4" s="1097">
        <v>1</v>
      </c>
      <c r="M4" s="1114">
        <f>J4/L4</f>
        <v>2</v>
      </c>
      <c r="N4" s="1115">
        <v>45456</v>
      </c>
      <c r="O4" s="1115">
        <v>45452</v>
      </c>
      <c r="P4" s="1116" t="s">
        <v>2034</v>
      </c>
      <c r="Q4" s="1134" t="s">
        <v>1480</v>
      </c>
      <c r="R4" s="1135" t="s">
        <v>2035</v>
      </c>
      <c r="S4" s="1136" t="s">
        <v>2036</v>
      </c>
      <c r="T4" s="1137" t="s">
        <v>58</v>
      </c>
      <c r="U4" s="1138">
        <v>45422</v>
      </c>
      <c r="V4" s="1139" t="s">
        <v>2037</v>
      </c>
      <c r="W4" s="1140" t="s">
        <v>2038</v>
      </c>
      <c r="X4" s="1141" t="s">
        <v>101</v>
      </c>
      <c r="Y4" s="1165">
        <v>1006.68</v>
      </c>
      <c r="Z4" s="1166">
        <f>Y4*M4</f>
        <v>2013.36</v>
      </c>
      <c r="AA4" s="1167" t="s">
        <v>2039</v>
      </c>
      <c r="AB4" s="1137" t="s">
        <v>63</v>
      </c>
      <c r="AC4" s="1138" t="s">
        <v>2040</v>
      </c>
      <c r="AD4" s="1168">
        <v>640</v>
      </c>
      <c r="AE4" s="1169">
        <f>AD4-J5</f>
        <v>0</v>
      </c>
      <c r="AF4" s="1170"/>
      <c r="AG4" s="1172"/>
      <c r="AH4" s="1188"/>
      <c r="AI4" s="1189"/>
      <c r="AJ4" s="1189"/>
      <c r="AK4" s="1190"/>
      <c r="AL4" s="1190"/>
      <c r="AM4" s="1190"/>
      <c r="AN4" s="1191"/>
      <c r="AO4" s="1191"/>
      <c r="AP4" s="1191"/>
      <c r="AQ4" s="1191"/>
      <c r="AR4" s="1214"/>
      <c r="AS4" s="1191"/>
      <c r="AT4" s="1191"/>
      <c r="AU4" s="1191"/>
      <c r="AV4" s="1191"/>
      <c r="AW4" s="1214"/>
      <c r="AX4" s="1191"/>
      <c r="AY4" s="1191"/>
      <c r="AZ4" s="1191"/>
      <c r="BA4" s="1214"/>
      <c r="BB4" s="1214"/>
      <c r="BC4" s="1189"/>
      <c r="BD4" s="1214"/>
      <c r="BE4" s="1257"/>
      <c r="BF4" s="1257"/>
      <c r="BG4" s="1188"/>
      <c r="BH4" s="1258"/>
      <c r="BI4" s="1259"/>
      <c r="BJ4" s="1259"/>
      <c r="BK4" s="1260"/>
    </row>
    <row r="5" s="1053" customFormat="1" ht="31" customHeight="1" spans="1:63">
      <c r="A5" s="1096">
        <v>45418</v>
      </c>
      <c r="B5" s="1097" t="s">
        <v>90</v>
      </c>
      <c r="C5" s="1098" t="s">
        <v>91</v>
      </c>
      <c r="D5" s="1097">
        <v>4500132509</v>
      </c>
      <c r="E5" s="2331" t="s">
        <v>2030</v>
      </c>
      <c r="F5" s="1097" t="s">
        <v>2031</v>
      </c>
      <c r="G5" s="1097" t="s">
        <v>2032</v>
      </c>
      <c r="H5" s="1097" t="s">
        <v>2041</v>
      </c>
      <c r="I5" s="1098" t="s">
        <v>2042</v>
      </c>
      <c r="J5" s="1113">
        <v>640</v>
      </c>
      <c r="K5" s="1097">
        <v>0</v>
      </c>
      <c r="L5" s="1097">
        <v>320</v>
      </c>
      <c r="M5" s="1114">
        <f>J5/L5</f>
        <v>2</v>
      </c>
      <c r="N5" s="1115">
        <v>45456</v>
      </c>
      <c r="O5" s="1115">
        <v>45452</v>
      </c>
      <c r="P5" s="1116"/>
      <c r="Q5" s="1134" t="s">
        <v>1480</v>
      </c>
      <c r="R5" s="1142"/>
      <c r="S5" s="1136"/>
      <c r="T5" s="1137" t="s">
        <v>58</v>
      </c>
      <c r="U5" s="1137"/>
      <c r="V5" s="1143"/>
      <c r="W5" s="1140"/>
      <c r="X5" s="1141" t="s">
        <v>101</v>
      </c>
      <c r="Y5" s="1165">
        <v>0</v>
      </c>
      <c r="Z5" s="1171">
        <v>0</v>
      </c>
      <c r="AA5" s="1167" t="s">
        <v>2039</v>
      </c>
      <c r="AB5" s="1137" t="s">
        <v>63</v>
      </c>
      <c r="AC5" s="1137"/>
      <c r="AD5" s="1172"/>
      <c r="AE5" s="1169"/>
      <c r="AF5" s="1173"/>
      <c r="AG5" s="1172"/>
      <c r="AH5" s="1188"/>
      <c r="AI5" s="1189"/>
      <c r="AJ5" s="1188">
        <f>J5</f>
        <v>640</v>
      </c>
      <c r="AK5" s="1190"/>
      <c r="AL5" s="1190"/>
      <c r="AM5" s="1190"/>
      <c r="AN5" s="1191"/>
      <c r="AO5" s="1191"/>
      <c r="AP5" s="1191"/>
      <c r="AQ5" s="1191"/>
      <c r="AR5" s="1214">
        <f>J5</f>
        <v>640</v>
      </c>
      <c r="AS5" s="1191"/>
      <c r="AT5" s="1191"/>
      <c r="AU5" s="1191"/>
      <c r="AV5" s="1191"/>
      <c r="AW5" s="1214"/>
      <c r="AX5" s="1191"/>
      <c r="AY5" s="1191"/>
      <c r="AZ5" s="1191"/>
      <c r="BA5" s="1214"/>
      <c r="BB5" s="1214"/>
      <c r="BC5" s="1189"/>
      <c r="BD5" s="1214"/>
      <c r="BE5" s="1257">
        <f>J5</f>
        <v>640</v>
      </c>
      <c r="BF5" s="1257"/>
      <c r="BG5" s="1188"/>
      <c r="BH5" s="1258"/>
      <c r="BI5" s="1259"/>
      <c r="BJ5" s="1259"/>
      <c r="BK5" s="1260"/>
    </row>
    <row r="6" s="1053" customFormat="1" ht="31" customHeight="1" spans="1:63">
      <c r="A6" s="1100">
        <v>45602</v>
      </c>
      <c r="B6" s="1101" t="s">
        <v>90</v>
      </c>
      <c r="C6" s="1102" t="s">
        <v>91</v>
      </c>
      <c r="D6" s="1101">
        <v>4500150360</v>
      </c>
      <c r="E6" s="1103">
        <v>873606934</v>
      </c>
      <c r="F6" s="1101" t="s">
        <v>2043</v>
      </c>
      <c r="G6" s="1104" t="s">
        <v>2044</v>
      </c>
      <c r="H6" s="1101" t="s">
        <v>2044</v>
      </c>
      <c r="I6" s="1098" t="s">
        <v>2045</v>
      </c>
      <c r="J6" s="1101">
        <v>5</v>
      </c>
      <c r="K6" s="1097">
        <v>0</v>
      </c>
      <c r="L6" s="1097">
        <v>1</v>
      </c>
      <c r="M6" s="1114">
        <f t="shared" ref="M6:M26" si="0">J6/L6</f>
        <v>5</v>
      </c>
      <c r="N6" s="1117">
        <v>45636</v>
      </c>
      <c r="O6" s="1117">
        <v>45632</v>
      </c>
      <c r="P6" s="1118" t="s">
        <v>2046</v>
      </c>
      <c r="Q6" s="1119" t="s">
        <v>1480</v>
      </c>
      <c r="R6" s="1135" t="s">
        <v>2047</v>
      </c>
      <c r="S6" s="1144" t="s">
        <v>2036</v>
      </c>
      <c r="T6" s="1137" t="s">
        <v>58</v>
      </c>
      <c r="U6" s="1138">
        <v>45621</v>
      </c>
      <c r="V6" s="1139" t="s">
        <v>2048</v>
      </c>
      <c r="W6" s="1145" t="s">
        <v>2049</v>
      </c>
      <c r="X6" s="1146" t="s">
        <v>101</v>
      </c>
      <c r="Y6" s="1165">
        <v>968.44</v>
      </c>
      <c r="Z6" s="1166">
        <f>Y6*M6</f>
        <v>4842.2</v>
      </c>
      <c r="AA6" s="1167" t="s">
        <v>2050</v>
      </c>
      <c r="AB6" s="1137" t="s">
        <v>63</v>
      </c>
      <c r="AC6" s="1137" t="s">
        <v>2040</v>
      </c>
      <c r="AD6" s="1168">
        <v>1600</v>
      </c>
      <c r="AE6" s="1168">
        <f>AD6-J7</f>
        <v>0</v>
      </c>
      <c r="AF6" s="1170"/>
      <c r="AG6" s="1173"/>
      <c r="AH6" s="1188"/>
      <c r="AI6" s="1188"/>
      <c r="AJ6" s="1188"/>
      <c r="AK6" s="1192"/>
      <c r="AL6" s="1193"/>
      <c r="AM6" s="1193"/>
      <c r="AN6" s="1193"/>
      <c r="AO6" s="1193"/>
      <c r="AP6" s="1193"/>
      <c r="AQ6" s="1193"/>
      <c r="AR6" s="1214"/>
      <c r="AS6" s="1215"/>
      <c r="AT6" s="1216"/>
      <c r="AU6" s="1193"/>
      <c r="AV6" s="1193"/>
      <c r="AW6" s="1214"/>
      <c r="AX6" s="1193"/>
      <c r="AY6" s="1193"/>
      <c r="AZ6" s="1193"/>
      <c r="BA6" s="1214"/>
      <c r="BB6" s="1214"/>
      <c r="BC6" s="1189"/>
      <c r="BD6" s="1214"/>
      <c r="BE6" s="1257"/>
      <c r="BF6" s="1257"/>
      <c r="BG6" s="1188"/>
      <c r="BI6" s="1048"/>
      <c r="BJ6" s="1048"/>
      <c r="BK6" s="1048"/>
    </row>
    <row r="7" s="1053" customFormat="1" ht="31" customHeight="1" spans="1:63">
      <c r="A7" s="1100">
        <v>45602</v>
      </c>
      <c r="B7" s="1101" t="s">
        <v>90</v>
      </c>
      <c r="C7" s="1102" t="s">
        <v>91</v>
      </c>
      <c r="D7" s="1101">
        <v>4500150360</v>
      </c>
      <c r="E7" s="1103">
        <v>873606934</v>
      </c>
      <c r="F7" s="1101" t="s">
        <v>2043</v>
      </c>
      <c r="G7" s="1101"/>
      <c r="H7" s="1101" t="s">
        <v>2051</v>
      </c>
      <c r="I7" s="1098" t="s">
        <v>2052</v>
      </c>
      <c r="J7" s="1101">
        <v>1600</v>
      </c>
      <c r="K7" s="1097">
        <v>0</v>
      </c>
      <c r="L7" s="1097">
        <v>320</v>
      </c>
      <c r="M7" s="1114">
        <f t="shared" si="0"/>
        <v>5</v>
      </c>
      <c r="N7" s="1117">
        <v>45636</v>
      </c>
      <c r="O7" s="1117">
        <v>45632</v>
      </c>
      <c r="P7" s="1119"/>
      <c r="Q7" s="1119" t="s">
        <v>1480</v>
      </c>
      <c r="R7" s="1142"/>
      <c r="S7" s="1147"/>
      <c r="T7" s="1137" t="s">
        <v>58</v>
      </c>
      <c r="U7" s="1137"/>
      <c r="V7" s="1143"/>
      <c r="W7" s="1148"/>
      <c r="X7" s="1146" t="s">
        <v>101</v>
      </c>
      <c r="Y7" s="1165">
        <v>0</v>
      </c>
      <c r="Z7" s="1166">
        <f>Y7*M7</f>
        <v>0</v>
      </c>
      <c r="AA7" s="1167" t="s">
        <v>2050</v>
      </c>
      <c r="AB7" s="1137" t="s">
        <v>63</v>
      </c>
      <c r="AC7" s="1137" t="s">
        <v>2040</v>
      </c>
      <c r="AD7" s="1172"/>
      <c r="AE7" s="1172"/>
      <c r="AF7" s="1173"/>
      <c r="AG7" s="1173"/>
      <c r="AH7" s="1188">
        <f>J7</f>
        <v>1600</v>
      </c>
      <c r="AI7" s="1188"/>
      <c r="AJ7" s="1188"/>
      <c r="AK7" s="1192"/>
      <c r="AL7" s="1193"/>
      <c r="AM7" s="1193"/>
      <c r="AN7" s="1193"/>
      <c r="AO7" s="1193"/>
      <c r="AP7" s="1193"/>
      <c r="AQ7" s="1193"/>
      <c r="AR7" s="1214">
        <f>J7</f>
        <v>1600</v>
      </c>
      <c r="AS7" s="1215"/>
      <c r="AT7" s="1216"/>
      <c r="AU7" s="1193"/>
      <c r="AV7" s="1193"/>
      <c r="AW7" s="1214"/>
      <c r="AX7" s="1193"/>
      <c r="AY7" s="1193"/>
      <c r="AZ7" s="1193"/>
      <c r="BA7" s="1214"/>
      <c r="BB7" s="1214"/>
      <c r="BC7" s="1189"/>
      <c r="BD7" s="1214"/>
      <c r="BE7" s="1257">
        <f t="shared" ref="BE7:BE11" si="1">J7</f>
        <v>1600</v>
      </c>
      <c r="BF7" s="1257"/>
      <c r="BG7" s="1188"/>
      <c r="BI7" s="1048"/>
      <c r="BJ7" s="1048"/>
      <c r="BK7" s="1048"/>
    </row>
    <row r="8" s="1053" customFormat="1" ht="31" customHeight="1" spans="1:63">
      <c r="A8" s="1100">
        <v>45602</v>
      </c>
      <c r="B8" s="1101" t="s">
        <v>90</v>
      </c>
      <c r="C8" s="1102" t="s">
        <v>91</v>
      </c>
      <c r="D8" s="1101">
        <v>4500150359</v>
      </c>
      <c r="E8" s="2332" t="s">
        <v>2053</v>
      </c>
      <c r="F8" s="1101" t="s">
        <v>2054</v>
      </c>
      <c r="G8" s="1104" t="s">
        <v>2044</v>
      </c>
      <c r="H8" s="1101" t="s">
        <v>2044</v>
      </c>
      <c r="I8" s="1098" t="s">
        <v>2045</v>
      </c>
      <c r="J8" s="1101">
        <v>2</v>
      </c>
      <c r="K8" s="1097">
        <v>0</v>
      </c>
      <c r="L8" s="1097">
        <v>1</v>
      </c>
      <c r="M8" s="1114">
        <f t="shared" si="0"/>
        <v>2</v>
      </c>
      <c r="N8" s="1117">
        <v>45636</v>
      </c>
      <c r="O8" s="1117">
        <v>45632</v>
      </c>
      <c r="P8" s="1118" t="s">
        <v>2046</v>
      </c>
      <c r="Q8" s="1119" t="s">
        <v>1480</v>
      </c>
      <c r="R8" s="1135" t="s">
        <v>2055</v>
      </c>
      <c r="S8" s="1144" t="s">
        <v>2036</v>
      </c>
      <c r="T8" s="1137" t="s">
        <v>58</v>
      </c>
      <c r="U8" s="1138">
        <v>45621</v>
      </c>
      <c r="V8" s="1139" t="s">
        <v>2048</v>
      </c>
      <c r="W8" s="1145" t="s">
        <v>2056</v>
      </c>
      <c r="X8" s="1146" t="s">
        <v>101</v>
      </c>
      <c r="Y8" s="1165">
        <v>1008.088</v>
      </c>
      <c r="Z8" s="1166">
        <f>Y8*M8</f>
        <v>2016.176</v>
      </c>
      <c r="AA8" s="1167" t="s">
        <v>2057</v>
      </c>
      <c r="AB8" s="1137" t="s">
        <v>63</v>
      </c>
      <c r="AC8" s="1137" t="s">
        <v>2040</v>
      </c>
      <c r="AD8" s="1168">
        <v>640</v>
      </c>
      <c r="AE8" s="1168">
        <f>AD8-J9</f>
        <v>0</v>
      </c>
      <c r="AF8" s="1170"/>
      <c r="AG8" s="1173"/>
      <c r="AH8" s="1188"/>
      <c r="AI8" s="1188"/>
      <c r="AJ8" s="1188"/>
      <c r="AK8" s="1192"/>
      <c r="AL8" s="1193"/>
      <c r="AM8" s="1193"/>
      <c r="AN8" s="1193"/>
      <c r="AO8" s="1193"/>
      <c r="AP8" s="1193"/>
      <c r="AQ8" s="1193"/>
      <c r="AR8" s="1214"/>
      <c r="AS8" s="1215"/>
      <c r="AT8" s="1216"/>
      <c r="AU8" s="1193"/>
      <c r="AV8" s="1193"/>
      <c r="AW8" s="1214"/>
      <c r="AX8" s="1193"/>
      <c r="AY8" s="1193"/>
      <c r="AZ8" s="1193"/>
      <c r="BA8" s="1214"/>
      <c r="BB8" s="1214"/>
      <c r="BC8" s="1189"/>
      <c r="BD8" s="1214"/>
      <c r="BE8" s="1257"/>
      <c r="BF8" s="1257"/>
      <c r="BG8" s="1188"/>
      <c r="BI8" s="1048"/>
      <c r="BJ8" s="1048"/>
      <c r="BK8" s="1048"/>
    </row>
    <row r="9" s="1053" customFormat="1" ht="31" customHeight="1" spans="1:63">
      <c r="A9" s="1100">
        <v>45602</v>
      </c>
      <c r="B9" s="1101" t="s">
        <v>90</v>
      </c>
      <c r="C9" s="1102" t="s">
        <v>91</v>
      </c>
      <c r="D9" s="1101">
        <v>4500150359</v>
      </c>
      <c r="E9" s="2332" t="s">
        <v>2053</v>
      </c>
      <c r="F9" s="1101" t="s">
        <v>2054</v>
      </c>
      <c r="G9" s="1101"/>
      <c r="H9" s="1101" t="s">
        <v>2051</v>
      </c>
      <c r="I9" s="1098" t="s">
        <v>2052</v>
      </c>
      <c r="J9" s="1101">
        <v>640</v>
      </c>
      <c r="K9" s="1097">
        <v>0</v>
      </c>
      <c r="L9" s="1097">
        <v>320</v>
      </c>
      <c r="M9" s="1114">
        <f t="shared" si="0"/>
        <v>2</v>
      </c>
      <c r="N9" s="1117">
        <v>45636</v>
      </c>
      <c r="O9" s="1117">
        <v>45632</v>
      </c>
      <c r="P9" s="1119"/>
      <c r="Q9" s="1119" t="s">
        <v>1480</v>
      </c>
      <c r="R9" s="1142"/>
      <c r="S9" s="1147"/>
      <c r="T9" s="1137" t="s">
        <v>58</v>
      </c>
      <c r="U9" s="1137"/>
      <c r="V9" s="1143"/>
      <c r="W9" s="1148"/>
      <c r="X9" s="1146" t="s">
        <v>101</v>
      </c>
      <c r="Y9" s="1165">
        <v>0</v>
      </c>
      <c r="Z9" s="1166">
        <f>Y9*M9</f>
        <v>0</v>
      </c>
      <c r="AA9" s="1167" t="s">
        <v>2057</v>
      </c>
      <c r="AB9" s="1137" t="s">
        <v>63</v>
      </c>
      <c r="AC9" s="1137" t="s">
        <v>2040</v>
      </c>
      <c r="AD9" s="1172"/>
      <c r="AE9" s="1172"/>
      <c r="AF9" s="1173"/>
      <c r="AG9" s="1173"/>
      <c r="AH9" s="1188">
        <f>J9</f>
        <v>640</v>
      </c>
      <c r="AI9" s="1188"/>
      <c r="AJ9" s="1188"/>
      <c r="AK9" s="1192"/>
      <c r="AL9" s="1193"/>
      <c r="AM9" s="1193"/>
      <c r="AN9" s="1193"/>
      <c r="AO9" s="1193"/>
      <c r="AP9" s="1193"/>
      <c r="AQ9" s="1193"/>
      <c r="AR9" s="1214">
        <f>J9</f>
        <v>640</v>
      </c>
      <c r="AS9" s="1215"/>
      <c r="AT9" s="1216"/>
      <c r="AU9" s="1193"/>
      <c r="AV9" s="1193"/>
      <c r="AW9" s="1214"/>
      <c r="AX9" s="1193"/>
      <c r="AY9" s="1193"/>
      <c r="AZ9" s="1193"/>
      <c r="BA9" s="1214"/>
      <c r="BB9" s="1214"/>
      <c r="BC9" s="1189"/>
      <c r="BD9" s="1214"/>
      <c r="BE9" s="1257">
        <f t="shared" si="1"/>
        <v>640</v>
      </c>
      <c r="BF9" s="1257"/>
      <c r="BG9" s="1188"/>
      <c r="BI9" s="1048"/>
      <c r="BJ9" s="1048"/>
      <c r="BK9" s="1048"/>
    </row>
    <row r="10" s="1053" customFormat="1" ht="31" customHeight="1" spans="1:63">
      <c r="A10" s="1100">
        <v>45602</v>
      </c>
      <c r="B10" s="1101" t="s">
        <v>90</v>
      </c>
      <c r="C10" s="1102" t="s">
        <v>91</v>
      </c>
      <c r="D10" s="1101">
        <v>4500150359</v>
      </c>
      <c r="E10" s="2332" t="s">
        <v>2053</v>
      </c>
      <c r="F10" s="1101" t="s">
        <v>2058</v>
      </c>
      <c r="G10" s="1104" t="s">
        <v>2059</v>
      </c>
      <c r="H10" s="1101" t="s">
        <v>2059</v>
      </c>
      <c r="I10" s="1098" t="s">
        <v>2060</v>
      </c>
      <c r="J10" s="1101">
        <v>2</v>
      </c>
      <c r="K10" s="1097">
        <v>0</v>
      </c>
      <c r="L10" s="1097">
        <v>1</v>
      </c>
      <c r="M10" s="1114">
        <f t="shared" si="0"/>
        <v>2</v>
      </c>
      <c r="N10" s="1117">
        <v>45636</v>
      </c>
      <c r="O10" s="1117">
        <v>45632</v>
      </c>
      <c r="P10" s="1118" t="s">
        <v>2046</v>
      </c>
      <c r="Q10" s="1119" t="s">
        <v>1480</v>
      </c>
      <c r="R10" s="1135" t="s">
        <v>2055</v>
      </c>
      <c r="S10" s="1144" t="s">
        <v>2036</v>
      </c>
      <c r="T10" s="1137" t="s">
        <v>58</v>
      </c>
      <c r="U10" s="1138">
        <v>45621</v>
      </c>
      <c r="V10" s="1139" t="s">
        <v>2048</v>
      </c>
      <c r="W10" s="1145" t="s">
        <v>2061</v>
      </c>
      <c r="X10" s="1146" t="s">
        <v>101</v>
      </c>
      <c r="Y10" s="1165">
        <v>1006.68</v>
      </c>
      <c r="Z10" s="1166">
        <f>Y10*J10</f>
        <v>2013.36</v>
      </c>
      <c r="AA10" s="1167" t="s">
        <v>2057</v>
      </c>
      <c r="AB10" s="1137" t="s">
        <v>63</v>
      </c>
      <c r="AC10" s="1137" t="s">
        <v>2040</v>
      </c>
      <c r="AD10" s="1168">
        <v>640</v>
      </c>
      <c r="AE10" s="1168">
        <f>AD10-J11</f>
        <v>0</v>
      </c>
      <c r="AF10" s="1170"/>
      <c r="AG10" s="1173"/>
      <c r="AH10" s="1188"/>
      <c r="AI10" s="1188"/>
      <c r="AJ10" s="1188"/>
      <c r="AK10" s="1192"/>
      <c r="AL10" s="1193"/>
      <c r="AM10" s="1193"/>
      <c r="AN10" s="1193"/>
      <c r="AO10" s="1193"/>
      <c r="AP10" s="1193"/>
      <c r="AQ10" s="1193"/>
      <c r="AR10" s="1214"/>
      <c r="AS10" s="1215"/>
      <c r="AT10" s="1216"/>
      <c r="AU10" s="1193"/>
      <c r="AV10" s="1193"/>
      <c r="AW10" s="1214"/>
      <c r="AX10" s="1193"/>
      <c r="AY10" s="1193"/>
      <c r="AZ10" s="1193"/>
      <c r="BA10" s="1214"/>
      <c r="BB10" s="1214"/>
      <c r="BC10" s="1189"/>
      <c r="BD10" s="1214"/>
      <c r="BE10" s="1257"/>
      <c r="BF10" s="1257"/>
      <c r="BG10" s="1188"/>
      <c r="BI10" s="1048"/>
      <c r="BJ10" s="1048"/>
      <c r="BK10" s="1048"/>
    </row>
    <row r="11" s="1053" customFormat="1" ht="31" customHeight="1" spans="1:63">
      <c r="A11" s="1100">
        <v>45602</v>
      </c>
      <c r="B11" s="1101" t="s">
        <v>90</v>
      </c>
      <c r="C11" s="1102" t="s">
        <v>91</v>
      </c>
      <c r="D11" s="1101">
        <v>4500150359</v>
      </c>
      <c r="E11" s="2332" t="s">
        <v>2053</v>
      </c>
      <c r="F11" s="1101" t="s">
        <v>2058</v>
      </c>
      <c r="G11" s="1101"/>
      <c r="H11" s="1101" t="s">
        <v>2062</v>
      </c>
      <c r="I11" s="1098" t="s">
        <v>2063</v>
      </c>
      <c r="J11" s="1101">
        <v>640</v>
      </c>
      <c r="K11" s="1097">
        <v>0</v>
      </c>
      <c r="L11" s="1097">
        <v>320</v>
      </c>
      <c r="M11" s="1114">
        <f t="shared" si="0"/>
        <v>2</v>
      </c>
      <c r="N11" s="1117">
        <v>45636</v>
      </c>
      <c r="O11" s="1117">
        <v>45632</v>
      </c>
      <c r="P11" s="1119"/>
      <c r="Q11" s="1119" t="s">
        <v>1480</v>
      </c>
      <c r="R11" s="1142"/>
      <c r="S11" s="1147"/>
      <c r="T11" s="1137" t="s">
        <v>58</v>
      </c>
      <c r="U11" s="1137"/>
      <c r="V11" s="1143"/>
      <c r="W11" s="1148"/>
      <c r="X11" s="1146" t="s">
        <v>101</v>
      </c>
      <c r="Y11" s="1165">
        <v>0</v>
      </c>
      <c r="Z11" s="1166">
        <f>Y11*J11</f>
        <v>0</v>
      </c>
      <c r="AA11" s="1167" t="s">
        <v>2057</v>
      </c>
      <c r="AB11" s="1137" t="s">
        <v>63</v>
      </c>
      <c r="AC11" s="1137" t="s">
        <v>2040</v>
      </c>
      <c r="AD11" s="1172"/>
      <c r="AE11" s="1172"/>
      <c r="AF11" s="1173"/>
      <c r="AG11" s="1173"/>
      <c r="AH11" s="1188"/>
      <c r="AI11" s="1188">
        <f>J11</f>
        <v>640</v>
      </c>
      <c r="AJ11" s="1188"/>
      <c r="AK11" s="1192"/>
      <c r="AL11" s="1193"/>
      <c r="AM11" s="1193"/>
      <c r="AN11" s="1193"/>
      <c r="AO11" s="1193"/>
      <c r="AP11" s="1193"/>
      <c r="AQ11" s="1193"/>
      <c r="AR11" s="1214">
        <f t="shared" ref="AR11:AR15" si="2">J11</f>
        <v>640</v>
      </c>
      <c r="AS11" s="1215"/>
      <c r="AT11" s="1216"/>
      <c r="AU11" s="1193"/>
      <c r="AV11" s="1193"/>
      <c r="AW11" s="1214"/>
      <c r="AX11" s="1193"/>
      <c r="AY11" s="1193"/>
      <c r="AZ11" s="1193"/>
      <c r="BA11" s="1214"/>
      <c r="BB11" s="1214"/>
      <c r="BC11" s="1189"/>
      <c r="BD11" s="1214"/>
      <c r="BE11" s="1257">
        <f t="shared" si="1"/>
        <v>640</v>
      </c>
      <c r="BF11" s="1257"/>
      <c r="BG11" s="1188"/>
      <c r="BI11" s="1048"/>
      <c r="BJ11" s="1048"/>
      <c r="BK11" s="1048"/>
    </row>
    <row r="12" s="1053" customFormat="1" ht="31" customHeight="1" spans="1:63">
      <c r="A12" s="1100">
        <v>45602</v>
      </c>
      <c r="B12" s="1101" t="s">
        <v>90</v>
      </c>
      <c r="C12" s="1102" t="s">
        <v>91</v>
      </c>
      <c r="D12" s="1101">
        <v>4500150357</v>
      </c>
      <c r="E12" s="2332" t="s">
        <v>2064</v>
      </c>
      <c r="F12" s="1101" t="s">
        <v>2065</v>
      </c>
      <c r="G12" s="1104" t="s">
        <v>2059</v>
      </c>
      <c r="H12" s="1101" t="s">
        <v>2059</v>
      </c>
      <c r="I12" s="1098" t="s">
        <v>2060</v>
      </c>
      <c r="J12" s="1101">
        <v>2</v>
      </c>
      <c r="K12" s="1097">
        <v>0</v>
      </c>
      <c r="L12" s="1097">
        <v>1</v>
      </c>
      <c r="M12" s="1114">
        <f t="shared" si="0"/>
        <v>2</v>
      </c>
      <c r="N12" s="1117">
        <v>45636</v>
      </c>
      <c r="O12" s="1117">
        <v>45632</v>
      </c>
      <c r="P12" s="1118" t="s">
        <v>2046</v>
      </c>
      <c r="Q12" s="1119" t="s">
        <v>1480</v>
      </c>
      <c r="R12" s="1135" t="s">
        <v>2055</v>
      </c>
      <c r="S12" s="1144" t="s">
        <v>2036</v>
      </c>
      <c r="T12" s="1137" t="s">
        <v>58</v>
      </c>
      <c r="U12" s="1138">
        <v>45621</v>
      </c>
      <c r="V12" s="1139" t="s">
        <v>2048</v>
      </c>
      <c r="W12" s="1145" t="s">
        <v>2061</v>
      </c>
      <c r="X12" s="1146" t="s">
        <v>101</v>
      </c>
      <c r="Y12" s="1165">
        <v>1006.68</v>
      </c>
      <c r="Z12" s="1166">
        <f>Y12*J12</f>
        <v>2013.36</v>
      </c>
      <c r="AA12" s="1167" t="s">
        <v>2066</v>
      </c>
      <c r="AB12" s="1137" t="s">
        <v>63</v>
      </c>
      <c r="AC12" s="1137" t="s">
        <v>2040</v>
      </c>
      <c r="AD12" s="1168">
        <v>640</v>
      </c>
      <c r="AE12" s="1168">
        <f>AD12-J13</f>
        <v>0</v>
      </c>
      <c r="AF12" s="1170"/>
      <c r="AG12" s="1173"/>
      <c r="AH12" s="1188"/>
      <c r="AI12" s="1188"/>
      <c r="AJ12" s="1188"/>
      <c r="AK12" s="1192"/>
      <c r="AL12" s="1193"/>
      <c r="AM12" s="1193"/>
      <c r="AN12" s="1193"/>
      <c r="AO12" s="1193"/>
      <c r="AP12" s="1193"/>
      <c r="AQ12" s="1193"/>
      <c r="AR12" s="1214"/>
      <c r="AS12" s="1215"/>
      <c r="AT12" s="1216"/>
      <c r="AU12" s="1193"/>
      <c r="AV12" s="1193"/>
      <c r="AW12" s="1214"/>
      <c r="AX12" s="1193"/>
      <c r="AY12" s="1193"/>
      <c r="AZ12" s="1193"/>
      <c r="BA12" s="1214"/>
      <c r="BB12" s="1214"/>
      <c r="BC12" s="1189"/>
      <c r="BD12" s="1214"/>
      <c r="BE12" s="1257"/>
      <c r="BF12" s="1257"/>
      <c r="BG12" s="1188"/>
      <c r="BI12" s="1048"/>
      <c r="BJ12" s="1048"/>
      <c r="BK12" s="1048"/>
    </row>
    <row r="13" s="1053" customFormat="1" ht="31" customHeight="1" spans="1:63">
      <c r="A13" s="1100">
        <v>45602</v>
      </c>
      <c r="B13" s="1101" t="s">
        <v>90</v>
      </c>
      <c r="C13" s="1102" t="s">
        <v>91</v>
      </c>
      <c r="D13" s="1101">
        <v>4500150357</v>
      </c>
      <c r="E13" s="2332" t="s">
        <v>2064</v>
      </c>
      <c r="F13" s="1101" t="s">
        <v>2065</v>
      </c>
      <c r="G13" s="1101"/>
      <c r="H13" s="1101" t="s">
        <v>2062</v>
      </c>
      <c r="I13" s="1098" t="s">
        <v>2063</v>
      </c>
      <c r="J13" s="1101">
        <v>640</v>
      </c>
      <c r="K13" s="1097">
        <v>0</v>
      </c>
      <c r="L13" s="1097">
        <v>320</v>
      </c>
      <c r="M13" s="1114">
        <f t="shared" si="0"/>
        <v>2</v>
      </c>
      <c r="N13" s="1117">
        <v>45636</v>
      </c>
      <c r="O13" s="1117">
        <v>45632</v>
      </c>
      <c r="P13" s="1119"/>
      <c r="Q13" s="1119" t="s">
        <v>1480</v>
      </c>
      <c r="R13" s="1142"/>
      <c r="S13" s="1147"/>
      <c r="T13" s="1137" t="s">
        <v>58</v>
      </c>
      <c r="U13" s="1137"/>
      <c r="V13" s="1143"/>
      <c r="W13" s="1148"/>
      <c r="X13" s="1146" t="s">
        <v>101</v>
      </c>
      <c r="Y13" s="1165">
        <v>0</v>
      </c>
      <c r="Z13" s="1166">
        <f>Y13*J13</f>
        <v>0</v>
      </c>
      <c r="AA13" s="1167" t="s">
        <v>2066</v>
      </c>
      <c r="AB13" s="1137" t="s">
        <v>63</v>
      </c>
      <c r="AC13" s="1137" t="s">
        <v>2040</v>
      </c>
      <c r="AD13" s="1172"/>
      <c r="AE13" s="1172"/>
      <c r="AF13" s="1173"/>
      <c r="AG13" s="1173"/>
      <c r="AH13" s="1188"/>
      <c r="AI13" s="1188">
        <f>J13</f>
        <v>640</v>
      </c>
      <c r="AJ13" s="1188"/>
      <c r="AK13" s="1192"/>
      <c r="AL13" s="1193"/>
      <c r="AM13" s="1193"/>
      <c r="AN13" s="1193"/>
      <c r="AO13" s="1193"/>
      <c r="AP13" s="1193"/>
      <c r="AQ13" s="1193"/>
      <c r="AR13" s="1214">
        <f t="shared" si="2"/>
        <v>640</v>
      </c>
      <c r="AS13" s="1215"/>
      <c r="AT13" s="1216"/>
      <c r="AU13" s="1193"/>
      <c r="AV13" s="1193"/>
      <c r="AW13" s="1214"/>
      <c r="AX13" s="1193"/>
      <c r="AY13" s="1193"/>
      <c r="AZ13" s="1193"/>
      <c r="BA13" s="1214"/>
      <c r="BB13" s="1214"/>
      <c r="BC13" s="1189"/>
      <c r="BD13" s="1214"/>
      <c r="BE13" s="1257">
        <f t="shared" ref="BE13:BE17" si="3">J13</f>
        <v>640</v>
      </c>
      <c r="BF13" s="1257"/>
      <c r="BG13" s="1188"/>
      <c r="BI13" s="1048"/>
      <c r="BJ13" s="1048"/>
      <c r="BK13" s="1048"/>
    </row>
    <row r="14" s="1053" customFormat="1" ht="31" customHeight="1" spans="1:63">
      <c r="A14" s="1100">
        <v>45602</v>
      </c>
      <c r="B14" s="1101" t="s">
        <v>90</v>
      </c>
      <c r="C14" s="1102" t="s">
        <v>91</v>
      </c>
      <c r="D14" s="1101">
        <v>4500150356</v>
      </c>
      <c r="E14" s="2332" t="s">
        <v>2067</v>
      </c>
      <c r="F14" s="1101" t="s">
        <v>2068</v>
      </c>
      <c r="G14" s="1104" t="s">
        <v>2044</v>
      </c>
      <c r="H14" s="1101" t="s">
        <v>2044</v>
      </c>
      <c r="I14" s="1098" t="s">
        <v>2045</v>
      </c>
      <c r="J14" s="1101">
        <v>4</v>
      </c>
      <c r="K14" s="1097">
        <v>0</v>
      </c>
      <c r="L14" s="1097">
        <v>1</v>
      </c>
      <c r="M14" s="1114">
        <f t="shared" si="0"/>
        <v>4</v>
      </c>
      <c r="N14" s="1117">
        <v>45636</v>
      </c>
      <c r="O14" s="1117">
        <v>45632</v>
      </c>
      <c r="P14" s="1118" t="s">
        <v>2046</v>
      </c>
      <c r="Q14" s="1119" t="s">
        <v>1480</v>
      </c>
      <c r="R14" s="1135" t="s">
        <v>2069</v>
      </c>
      <c r="S14" s="1144" t="s">
        <v>2036</v>
      </c>
      <c r="T14" s="1137" t="s">
        <v>58</v>
      </c>
      <c r="U14" s="1138">
        <v>45621</v>
      </c>
      <c r="V14" s="1139" t="s">
        <v>2048</v>
      </c>
      <c r="W14" s="1145" t="s">
        <v>2056</v>
      </c>
      <c r="X14" s="1146" t="s">
        <v>101</v>
      </c>
      <c r="Y14" s="1165">
        <v>968.44</v>
      </c>
      <c r="Z14" s="1166">
        <f>Y14*M14</f>
        <v>3873.76</v>
      </c>
      <c r="AA14" s="1167" t="s">
        <v>2070</v>
      </c>
      <c r="AB14" s="1137" t="s">
        <v>63</v>
      </c>
      <c r="AC14" s="1137" t="s">
        <v>2040</v>
      </c>
      <c r="AD14" s="1168">
        <v>1280</v>
      </c>
      <c r="AE14" s="1168">
        <f>AD14-J15</f>
        <v>0</v>
      </c>
      <c r="AF14" s="1170"/>
      <c r="AG14" s="1173"/>
      <c r="AH14" s="1188"/>
      <c r="AI14" s="1188"/>
      <c r="AJ14" s="1188"/>
      <c r="AK14" s="1192"/>
      <c r="AL14" s="1193"/>
      <c r="AM14" s="1193"/>
      <c r="AN14" s="1193"/>
      <c r="AO14" s="1193"/>
      <c r="AP14" s="1193"/>
      <c r="AQ14" s="1193"/>
      <c r="AR14" s="1214"/>
      <c r="AS14" s="1215"/>
      <c r="AT14" s="1216"/>
      <c r="AU14" s="1193"/>
      <c r="AV14" s="1193"/>
      <c r="AW14" s="1214"/>
      <c r="AX14" s="1193"/>
      <c r="AY14" s="1193"/>
      <c r="AZ14" s="1193"/>
      <c r="BA14" s="1214"/>
      <c r="BB14" s="1214"/>
      <c r="BC14" s="1189"/>
      <c r="BD14" s="1214"/>
      <c r="BE14" s="1257"/>
      <c r="BF14" s="1257"/>
      <c r="BG14" s="1188"/>
      <c r="BI14" s="1048"/>
      <c r="BJ14" s="1048"/>
      <c r="BK14" s="1048"/>
    </row>
    <row r="15" s="1053" customFormat="1" ht="31" customHeight="1" spans="1:63">
      <c r="A15" s="1100">
        <v>45602</v>
      </c>
      <c r="B15" s="1101" t="s">
        <v>90</v>
      </c>
      <c r="C15" s="1102" t="s">
        <v>91</v>
      </c>
      <c r="D15" s="1101">
        <v>4500150356</v>
      </c>
      <c r="E15" s="2332" t="s">
        <v>2067</v>
      </c>
      <c r="F15" s="1101" t="s">
        <v>2068</v>
      </c>
      <c r="G15" s="1101"/>
      <c r="H15" s="1101" t="s">
        <v>2051</v>
      </c>
      <c r="I15" s="1098" t="s">
        <v>2052</v>
      </c>
      <c r="J15" s="1101">
        <v>1280</v>
      </c>
      <c r="K15" s="1097">
        <v>0</v>
      </c>
      <c r="L15" s="1097">
        <v>320</v>
      </c>
      <c r="M15" s="1114">
        <f t="shared" si="0"/>
        <v>4</v>
      </c>
      <c r="N15" s="1117">
        <v>45636</v>
      </c>
      <c r="O15" s="1117">
        <v>45632</v>
      </c>
      <c r="P15" s="1119"/>
      <c r="Q15" s="1119" t="s">
        <v>1480</v>
      </c>
      <c r="R15" s="1142"/>
      <c r="S15" s="1147"/>
      <c r="T15" s="1137" t="s">
        <v>58</v>
      </c>
      <c r="U15" s="1137"/>
      <c r="V15" s="1143"/>
      <c r="W15" s="1148"/>
      <c r="X15" s="1146" t="s">
        <v>101</v>
      </c>
      <c r="Y15" s="1165">
        <v>0</v>
      </c>
      <c r="Z15" s="1166">
        <f>Y15*M15</f>
        <v>0</v>
      </c>
      <c r="AA15" s="1167" t="s">
        <v>2070</v>
      </c>
      <c r="AB15" s="1137" t="s">
        <v>63</v>
      </c>
      <c r="AC15" s="1137" t="s">
        <v>2040</v>
      </c>
      <c r="AD15" s="1172"/>
      <c r="AE15" s="1172"/>
      <c r="AF15" s="1173"/>
      <c r="AG15" s="1173"/>
      <c r="AH15" s="1188">
        <f>J15</f>
        <v>1280</v>
      </c>
      <c r="AI15" s="1188"/>
      <c r="AJ15" s="1188"/>
      <c r="AK15" s="1192"/>
      <c r="AL15" s="1193"/>
      <c r="AM15" s="1193"/>
      <c r="AN15" s="1193"/>
      <c r="AO15" s="1193"/>
      <c r="AP15" s="1193"/>
      <c r="AQ15" s="1193"/>
      <c r="AR15" s="1214">
        <f t="shared" si="2"/>
        <v>1280</v>
      </c>
      <c r="AS15" s="1215"/>
      <c r="AT15" s="1216"/>
      <c r="AU15" s="1193"/>
      <c r="AV15" s="1193"/>
      <c r="AW15" s="1214"/>
      <c r="AX15" s="1193"/>
      <c r="AY15" s="1193"/>
      <c r="AZ15" s="1193"/>
      <c r="BA15" s="1214"/>
      <c r="BB15" s="1214"/>
      <c r="BC15" s="1189"/>
      <c r="BD15" s="1214"/>
      <c r="BE15" s="1257">
        <f>J15</f>
        <v>1280</v>
      </c>
      <c r="BF15" s="1257"/>
      <c r="BG15" s="1188"/>
      <c r="BI15" s="1048"/>
      <c r="BJ15" s="1048"/>
      <c r="BK15" s="1048"/>
    </row>
    <row r="16" s="1053" customFormat="1" ht="31" customHeight="1" spans="1:63">
      <c r="A16" s="1100">
        <v>45602</v>
      </c>
      <c r="B16" s="1101" t="s">
        <v>90</v>
      </c>
      <c r="C16" s="1102" t="s">
        <v>91</v>
      </c>
      <c r="D16" s="1101">
        <v>4500150356</v>
      </c>
      <c r="E16" s="2332" t="s">
        <v>2067</v>
      </c>
      <c r="F16" s="1101" t="s">
        <v>2071</v>
      </c>
      <c r="G16" s="1104" t="s">
        <v>2059</v>
      </c>
      <c r="H16" s="1101" t="s">
        <v>2059</v>
      </c>
      <c r="I16" s="1098" t="s">
        <v>2060</v>
      </c>
      <c r="J16" s="1101">
        <v>3</v>
      </c>
      <c r="K16" s="1097">
        <v>0</v>
      </c>
      <c r="L16" s="1097">
        <v>1</v>
      </c>
      <c r="M16" s="1114">
        <f t="shared" si="0"/>
        <v>3</v>
      </c>
      <c r="N16" s="1117">
        <v>45636</v>
      </c>
      <c r="O16" s="1117">
        <v>45632</v>
      </c>
      <c r="P16" s="1118" t="s">
        <v>2046</v>
      </c>
      <c r="Q16" s="1119" t="s">
        <v>1480</v>
      </c>
      <c r="R16" s="1135" t="s">
        <v>2069</v>
      </c>
      <c r="S16" s="1144" t="s">
        <v>2036</v>
      </c>
      <c r="T16" s="1137" t="s">
        <v>58</v>
      </c>
      <c r="U16" s="1138">
        <v>45621</v>
      </c>
      <c r="V16" s="1139" t="s">
        <v>2048</v>
      </c>
      <c r="W16" s="1145" t="s">
        <v>2061</v>
      </c>
      <c r="X16" s="1146" t="s">
        <v>101</v>
      </c>
      <c r="Y16" s="1165">
        <v>1006.68</v>
      </c>
      <c r="Z16" s="1166">
        <f>Y16*J16</f>
        <v>3020.04</v>
      </c>
      <c r="AA16" s="1167" t="s">
        <v>2070</v>
      </c>
      <c r="AB16" s="1137" t="s">
        <v>63</v>
      </c>
      <c r="AC16" s="1137" t="s">
        <v>2040</v>
      </c>
      <c r="AD16" s="1168">
        <v>960</v>
      </c>
      <c r="AE16" s="1168">
        <f>AD16-J17</f>
        <v>0</v>
      </c>
      <c r="AF16" s="1170"/>
      <c r="AG16" s="1173"/>
      <c r="AH16" s="1188"/>
      <c r="AI16" s="1188"/>
      <c r="AJ16" s="1188"/>
      <c r="AK16" s="1192"/>
      <c r="AL16" s="1193"/>
      <c r="AM16" s="1193"/>
      <c r="AN16" s="1193"/>
      <c r="AO16" s="1193"/>
      <c r="AP16" s="1193"/>
      <c r="AQ16" s="1193"/>
      <c r="AR16" s="1214"/>
      <c r="AS16" s="1215"/>
      <c r="AT16" s="1216"/>
      <c r="AU16" s="1193"/>
      <c r="AV16" s="1193"/>
      <c r="AW16" s="1214"/>
      <c r="AX16" s="1193"/>
      <c r="AY16" s="1193"/>
      <c r="AZ16" s="1193"/>
      <c r="BA16" s="1214"/>
      <c r="BB16" s="1214"/>
      <c r="BC16" s="1189"/>
      <c r="BD16" s="1214"/>
      <c r="BE16" s="1257"/>
      <c r="BF16" s="1257"/>
      <c r="BG16" s="1188"/>
      <c r="BI16" s="1048"/>
      <c r="BJ16" s="1048"/>
      <c r="BK16" s="1048"/>
    </row>
    <row r="17" s="1053" customFormat="1" ht="31" customHeight="1" spans="1:63">
      <c r="A17" s="1100">
        <v>45602</v>
      </c>
      <c r="B17" s="1101" t="s">
        <v>90</v>
      </c>
      <c r="C17" s="1102" t="s">
        <v>91</v>
      </c>
      <c r="D17" s="1101">
        <v>4500150356</v>
      </c>
      <c r="E17" s="2332" t="s">
        <v>2067</v>
      </c>
      <c r="F17" s="1101" t="s">
        <v>2071</v>
      </c>
      <c r="G17" s="1101"/>
      <c r="H17" s="1101" t="s">
        <v>2062</v>
      </c>
      <c r="I17" s="1098" t="s">
        <v>2063</v>
      </c>
      <c r="J17" s="1101">
        <v>960</v>
      </c>
      <c r="K17" s="1097">
        <v>0</v>
      </c>
      <c r="L17" s="1097">
        <v>320</v>
      </c>
      <c r="M17" s="1114">
        <f t="shared" si="0"/>
        <v>3</v>
      </c>
      <c r="N17" s="1117">
        <v>45636</v>
      </c>
      <c r="O17" s="1117">
        <v>45632</v>
      </c>
      <c r="P17" s="1119"/>
      <c r="Q17" s="1119" t="s">
        <v>1480</v>
      </c>
      <c r="R17" s="1142"/>
      <c r="S17" s="1147"/>
      <c r="T17" s="1137" t="s">
        <v>58</v>
      </c>
      <c r="U17" s="1137"/>
      <c r="V17" s="1143"/>
      <c r="W17" s="1148"/>
      <c r="X17" s="1146" t="s">
        <v>101</v>
      </c>
      <c r="Y17" s="1165">
        <v>0</v>
      </c>
      <c r="Z17" s="1166">
        <f>Y17*J17</f>
        <v>0</v>
      </c>
      <c r="AA17" s="1167" t="s">
        <v>2070</v>
      </c>
      <c r="AB17" s="1137" t="s">
        <v>63</v>
      </c>
      <c r="AC17" s="1137" t="s">
        <v>2040</v>
      </c>
      <c r="AD17" s="1172"/>
      <c r="AE17" s="1172"/>
      <c r="AF17" s="1173"/>
      <c r="AG17" s="1173"/>
      <c r="AH17" s="1188"/>
      <c r="AI17" s="1188">
        <f>J17</f>
        <v>960</v>
      </c>
      <c r="AJ17" s="1188"/>
      <c r="AK17" s="1192"/>
      <c r="AL17" s="1193"/>
      <c r="AM17" s="1193"/>
      <c r="AN17" s="1193"/>
      <c r="AO17" s="1193"/>
      <c r="AP17" s="1193"/>
      <c r="AQ17" s="1193"/>
      <c r="AR17" s="1214">
        <f>J17</f>
        <v>960</v>
      </c>
      <c r="AS17" s="1215"/>
      <c r="AT17" s="1216"/>
      <c r="AU17" s="1193"/>
      <c r="AV17" s="1193"/>
      <c r="AW17" s="1214"/>
      <c r="AX17" s="1193"/>
      <c r="AY17" s="1193"/>
      <c r="AZ17" s="1193"/>
      <c r="BA17" s="1214"/>
      <c r="BB17" s="1214"/>
      <c r="BC17" s="1189"/>
      <c r="BD17" s="1214"/>
      <c r="BE17" s="1257">
        <f t="shared" si="3"/>
        <v>960</v>
      </c>
      <c r="BF17" s="1257"/>
      <c r="BG17" s="1188"/>
      <c r="BI17" s="1048"/>
      <c r="BJ17" s="1048"/>
      <c r="BK17" s="1048"/>
    </row>
    <row r="18" s="1053" customFormat="1" ht="31" customHeight="1" spans="1:63">
      <c r="A18" s="1100">
        <v>45602</v>
      </c>
      <c r="B18" s="1101" t="s">
        <v>90</v>
      </c>
      <c r="C18" s="1102" t="s">
        <v>91</v>
      </c>
      <c r="D18" s="1101">
        <v>4500150355</v>
      </c>
      <c r="E18" s="2332" t="s">
        <v>2072</v>
      </c>
      <c r="F18" s="1101" t="s">
        <v>2073</v>
      </c>
      <c r="G18" s="1104" t="s">
        <v>2044</v>
      </c>
      <c r="H18" s="1101" t="s">
        <v>2044</v>
      </c>
      <c r="I18" s="1098" t="s">
        <v>2045</v>
      </c>
      <c r="J18" s="1101">
        <v>3</v>
      </c>
      <c r="K18" s="1097">
        <v>0</v>
      </c>
      <c r="L18" s="1097">
        <v>1</v>
      </c>
      <c r="M18" s="1114">
        <f t="shared" si="0"/>
        <v>3</v>
      </c>
      <c r="N18" s="1117">
        <v>45636</v>
      </c>
      <c r="O18" s="1117">
        <v>45632</v>
      </c>
      <c r="P18" s="1118" t="s">
        <v>2046</v>
      </c>
      <c r="Q18" s="1119" t="s">
        <v>1480</v>
      </c>
      <c r="R18" s="1135" t="s">
        <v>2074</v>
      </c>
      <c r="S18" s="1144" t="s">
        <v>2036</v>
      </c>
      <c r="T18" s="1137" t="s">
        <v>58</v>
      </c>
      <c r="U18" s="1138">
        <v>45621</v>
      </c>
      <c r="V18" s="1139" t="s">
        <v>2048</v>
      </c>
      <c r="W18" s="1145" t="s">
        <v>2049</v>
      </c>
      <c r="X18" s="1146" t="s">
        <v>101</v>
      </c>
      <c r="Y18" s="1165">
        <v>1008.088</v>
      </c>
      <c r="Z18" s="1166">
        <f>Y18*M18</f>
        <v>3024.264</v>
      </c>
      <c r="AA18" s="1167" t="s">
        <v>2075</v>
      </c>
      <c r="AB18" s="1137" t="s">
        <v>63</v>
      </c>
      <c r="AC18" s="1137" t="s">
        <v>2040</v>
      </c>
      <c r="AD18" s="1168">
        <v>960</v>
      </c>
      <c r="AE18" s="1168">
        <f>AD18-J19</f>
        <v>0</v>
      </c>
      <c r="AF18" s="1170"/>
      <c r="AG18" s="1173"/>
      <c r="AH18" s="1188"/>
      <c r="AI18" s="1188"/>
      <c r="AJ18" s="1188"/>
      <c r="AK18" s="1192"/>
      <c r="AL18" s="1193"/>
      <c r="AM18" s="1193"/>
      <c r="AN18" s="1193"/>
      <c r="AO18" s="1193"/>
      <c r="AP18" s="1193"/>
      <c r="AQ18" s="1193"/>
      <c r="AR18" s="1214"/>
      <c r="AS18" s="1215"/>
      <c r="AT18" s="1216"/>
      <c r="AU18" s="1193"/>
      <c r="AV18" s="1193"/>
      <c r="AW18" s="1214"/>
      <c r="AX18" s="1193"/>
      <c r="AY18" s="1193"/>
      <c r="AZ18" s="1193"/>
      <c r="BA18" s="1214"/>
      <c r="BB18" s="1214"/>
      <c r="BC18" s="1189"/>
      <c r="BD18" s="1214"/>
      <c r="BE18" s="1257"/>
      <c r="BF18" s="1257"/>
      <c r="BG18" s="1188"/>
      <c r="BI18" s="1048"/>
      <c r="BJ18" s="1048"/>
      <c r="BK18" s="1048"/>
    </row>
    <row r="19" s="1053" customFormat="1" ht="31" customHeight="1" spans="1:63">
      <c r="A19" s="1100">
        <v>45602</v>
      </c>
      <c r="B19" s="1101" t="s">
        <v>90</v>
      </c>
      <c r="C19" s="1102" t="s">
        <v>91</v>
      </c>
      <c r="D19" s="1101">
        <v>4500150355</v>
      </c>
      <c r="E19" s="2332" t="s">
        <v>2072</v>
      </c>
      <c r="F19" s="1101" t="s">
        <v>2073</v>
      </c>
      <c r="G19" s="1101"/>
      <c r="H19" s="1101" t="s">
        <v>2051</v>
      </c>
      <c r="I19" s="1098" t="s">
        <v>2052</v>
      </c>
      <c r="J19" s="1101">
        <v>960</v>
      </c>
      <c r="K19" s="1097">
        <v>0</v>
      </c>
      <c r="L19" s="1097">
        <v>320</v>
      </c>
      <c r="M19" s="1114">
        <f t="shared" si="0"/>
        <v>3</v>
      </c>
      <c r="N19" s="1117">
        <v>45636</v>
      </c>
      <c r="O19" s="1117">
        <v>45632</v>
      </c>
      <c r="P19" s="1119"/>
      <c r="Q19" s="1119" t="s">
        <v>1480</v>
      </c>
      <c r="R19" s="1142"/>
      <c r="S19" s="1147"/>
      <c r="T19" s="1137" t="s">
        <v>58</v>
      </c>
      <c r="U19" s="1137"/>
      <c r="V19" s="1143"/>
      <c r="W19" s="1148"/>
      <c r="X19" s="1146" t="s">
        <v>101</v>
      </c>
      <c r="Y19" s="1165">
        <v>0</v>
      </c>
      <c r="Z19" s="1166">
        <f>Y19*M19</f>
        <v>0</v>
      </c>
      <c r="AA19" s="1167" t="s">
        <v>2075</v>
      </c>
      <c r="AB19" s="1137" t="s">
        <v>63</v>
      </c>
      <c r="AC19" s="1137" t="s">
        <v>2040</v>
      </c>
      <c r="AD19" s="1172"/>
      <c r="AE19" s="1172"/>
      <c r="AF19" s="1173"/>
      <c r="AG19" s="1173"/>
      <c r="AH19" s="1188">
        <f>J19</f>
        <v>960</v>
      </c>
      <c r="AI19" s="1188"/>
      <c r="AJ19" s="1188"/>
      <c r="AK19" s="1194"/>
      <c r="AL19" s="1195"/>
      <c r="AM19" s="1195"/>
      <c r="AN19" s="1195"/>
      <c r="AO19" s="1195"/>
      <c r="AP19" s="1195"/>
      <c r="AQ19" s="1195"/>
      <c r="AR19" s="1214">
        <f>J19</f>
        <v>960</v>
      </c>
      <c r="AS19" s="1217"/>
      <c r="AT19" s="1218"/>
      <c r="AU19" s="1195"/>
      <c r="AV19" s="1195"/>
      <c r="AW19" s="1214"/>
      <c r="AX19" s="1195"/>
      <c r="AY19" s="1195"/>
      <c r="AZ19" s="1195"/>
      <c r="BA19" s="1214"/>
      <c r="BB19" s="1214"/>
      <c r="BC19" s="1189"/>
      <c r="BD19" s="1214"/>
      <c r="BE19" s="1257">
        <f>J19</f>
        <v>960</v>
      </c>
      <c r="BF19" s="1257"/>
      <c r="BG19" s="1188"/>
      <c r="BI19" s="1052"/>
      <c r="BJ19" s="1052"/>
      <c r="BK19" s="1052"/>
    </row>
    <row r="20" s="1053" customFormat="1" ht="31" customHeight="1" spans="1:63">
      <c r="A20" s="1100">
        <v>45638</v>
      </c>
      <c r="B20" s="1101" t="s">
        <v>2076</v>
      </c>
      <c r="C20" s="1102" t="s">
        <v>91</v>
      </c>
      <c r="D20" s="1101">
        <v>4500153786</v>
      </c>
      <c r="E20" s="1103">
        <v>4551343579</v>
      </c>
      <c r="F20" s="1101" t="s">
        <v>2077</v>
      </c>
      <c r="G20" s="1101" t="s">
        <v>2078</v>
      </c>
      <c r="H20" s="1101" t="s">
        <v>2079</v>
      </c>
      <c r="I20" s="1098" t="s">
        <v>2080</v>
      </c>
      <c r="J20" s="1120">
        <v>1332</v>
      </c>
      <c r="K20" s="1097">
        <v>0</v>
      </c>
      <c r="L20" s="1097">
        <v>6</v>
      </c>
      <c r="M20" s="1114">
        <f t="shared" si="0"/>
        <v>222</v>
      </c>
      <c r="N20" s="1117">
        <v>45670</v>
      </c>
      <c r="O20" s="1117">
        <v>45666</v>
      </c>
      <c r="P20" s="1118" t="s">
        <v>2081</v>
      </c>
      <c r="Q20" s="1119" t="s">
        <v>1480</v>
      </c>
      <c r="R20" s="1142" t="s">
        <v>2082</v>
      </c>
      <c r="S20" s="1147">
        <v>45603</v>
      </c>
      <c r="T20" s="1137" t="s">
        <v>58</v>
      </c>
      <c r="U20" s="1137">
        <v>45603</v>
      </c>
      <c r="V20" s="1143" t="s">
        <v>2083</v>
      </c>
      <c r="W20" s="1148" t="s">
        <v>2084</v>
      </c>
      <c r="X20" s="1149" t="s">
        <v>737</v>
      </c>
      <c r="Y20" s="1174">
        <v>2.8633</v>
      </c>
      <c r="Z20" s="1166">
        <f>Y20*J20</f>
        <v>3813.9156</v>
      </c>
      <c r="AA20" s="1167" t="s">
        <v>2085</v>
      </c>
      <c r="AB20" s="1137" t="s">
        <v>63</v>
      </c>
      <c r="AC20" s="1137" t="s">
        <v>2040</v>
      </c>
      <c r="AD20" s="1175">
        <v>1332</v>
      </c>
      <c r="AE20" s="1167">
        <v>0</v>
      </c>
      <c r="AF20" s="1173"/>
      <c r="AG20" s="1173"/>
      <c r="AH20" s="1188">
        <f>J20/3</f>
        <v>444</v>
      </c>
      <c r="AI20" s="1188">
        <f>J20/3</f>
        <v>444</v>
      </c>
      <c r="AJ20" s="1188">
        <f>J20/3</f>
        <v>444</v>
      </c>
      <c r="AK20" s="1196"/>
      <c r="AL20" s="1197"/>
      <c r="AM20" s="1197"/>
      <c r="AN20" s="1197"/>
      <c r="AO20" s="1197"/>
      <c r="AP20" s="1197"/>
      <c r="AQ20" s="1197"/>
      <c r="AR20" s="1214">
        <f>J20</f>
        <v>1332</v>
      </c>
      <c r="AS20" s="1219"/>
      <c r="AT20" s="1220"/>
      <c r="AU20" s="1197"/>
      <c r="AV20" s="1197"/>
      <c r="AW20" s="1214">
        <f>J20</f>
        <v>1332</v>
      </c>
      <c r="AX20" s="1197"/>
      <c r="AY20" s="1197"/>
      <c r="AZ20" s="1197"/>
      <c r="BA20" s="1214"/>
      <c r="BB20" s="1214"/>
      <c r="BC20" s="1189"/>
      <c r="BD20" s="1214"/>
      <c r="BE20" s="1257"/>
      <c r="BF20" s="1257"/>
      <c r="BG20" s="1188"/>
      <c r="BI20" s="1261"/>
      <c r="BJ20" s="1261"/>
      <c r="BK20" s="1261"/>
    </row>
    <row r="21" s="1053" customFormat="1" ht="31" customHeight="1" spans="1:63">
      <c r="A21" s="1100">
        <v>45638</v>
      </c>
      <c r="B21" s="1101" t="s">
        <v>2076</v>
      </c>
      <c r="C21" s="1102" t="s">
        <v>91</v>
      </c>
      <c r="D21" s="1101">
        <v>4500153786</v>
      </c>
      <c r="E21" s="1103">
        <v>4551343131</v>
      </c>
      <c r="F21" s="1101" t="s">
        <v>2086</v>
      </c>
      <c r="G21" s="1101" t="s">
        <v>2078</v>
      </c>
      <c r="H21" s="1101" t="s">
        <v>2079</v>
      </c>
      <c r="I21" s="1098" t="s">
        <v>2080</v>
      </c>
      <c r="J21" s="1120">
        <v>1794</v>
      </c>
      <c r="K21" s="1097">
        <v>0</v>
      </c>
      <c r="L21" s="1097">
        <v>6</v>
      </c>
      <c r="M21" s="1114">
        <f t="shared" si="0"/>
        <v>299</v>
      </c>
      <c r="N21" s="1117">
        <v>45670</v>
      </c>
      <c r="O21" s="1117">
        <v>45666</v>
      </c>
      <c r="P21" s="1118"/>
      <c r="Q21" s="1119" t="s">
        <v>1480</v>
      </c>
      <c r="R21" s="1142" t="s">
        <v>2082</v>
      </c>
      <c r="S21" s="1147">
        <v>45603</v>
      </c>
      <c r="T21" s="1137" t="s">
        <v>58</v>
      </c>
      <c r="U21" s="1137">
        <v>45603</v>
      </c>
      <c r="V21" s="1143" t="s">
        <v>2083</v>
      </c>
      <c r="W21" s="1148" t="s">
        <v>2084</v>
      </c>
      <c r="X21" s="1149" t="s">
        <v>737</v>
      </c>
      <c r="Y21" s="1174">
        <v>2.8633</v>
      </c>
      <c r="Z21" s="1166">
        <f>Y21*J21</f>
        <v>5136.7602</v>
      </c>
      <c r="AA21" s="1167" t="s">
        <v>2087</v>
      </c>
      <c r="AB21" s="1137" t="s">
        <v>63</v>
      </c>
      <c r="AC21" s="1137" t="s">
        <v>2040</v>
      </c>
      <c r="AD21" s="1175">
        <v>1794</v>
      </c>
      <c r="AE21" s="1167">
        <v>0</v>
      </c>
      <c r="AF21" s="1173"/>
      <c r="AG21" s="1173"/>
      <c r="AH21" s="1188">
        <f>J21/3</f>
        <v>598</v>
      </c>
      <c r="AI21" s="1188">
        <f>J21/3</f>
        <v>598</v>
      </c>
      <c r="AJ21" s="1188">
        <f>J21/3</f>
        <v>598</v>
      </c>
      <c r="AK21" s="1196"/>
      <c r="AL21" s="1197"/>
      <c r="AM21" s="1197"/>
      <c r="AN21" s="1197"/>
      <c r="AO21" s="1197"/>
      <c r="AP21" s="1197"/>
      <c r="AQ21" s="1197"/>
      <c r="AR21" s="1214">
        <f>J21</f>
        <v>1794</v>
      </c>
      <c r="AS21" s="1219"/>
      <c r="AT21" s="1220"/>
      <c r="AU21" s="1197"/>
      <c r="AV21" s="1197"/>
      <c r="AW21" s="1214">
        <f>J21</f>
        <v>1794</v>
      </c>
      <c r="AX21" s="1197"/>
      <c r="AY21" s="1197"/>
      <c r="AZ21" s="1197"/>
      <c r="BA21" s="1214"/>
      <c r="BB21" s="1214"/>
      <c r="BC21" s="1189"/>
      <c r="BD21" s="1214"/>
      <c r="BE21" s="1257"/>
      <c r="BF21" s="1257"/>
      <c r="BG21" s="1188"/>
      <c r="BI21" s="1261"/>
      <c r="BJ21" s="1261"/>
      <c r="BK21" s="1261"/>
    </row>
    <row r="22" s="1053" customFormat="1" ht="31" customHeight="1" spans="1:63">
      <c r="A22" s="1100">
        <v>45638</v>
      </c>
      <c r="B22" s="1101" t="s">
        <v>2076</v>
      </c>
      <c r="C22" s="1102" t="s">
        <v>91</v>
      </c>
      <c r="D22" s="1101">
        <v>4500153786</v>
      </c>
      <c r="E22" s="1103">
        <v>4551343197</v>
      </c>
      <c r="F22" s="2333" t="s">
        <v>2088</v>
      </c>
      <c r="G22" s="1101" t="s">
        <v>2078</v>
      </c>
      <c r="H22" s="1101" t="s">
        <v>2079</v>
      </c>
      <c r="I22" s="1098" t="s">
        <v>2080</v>
      </c>
      <c r="J22" s="1120">
        <v>492</v>
      </c>
      <c r="K22" s="1097">
        <v>0</v>
      </c>
      <c r="L22" s="1097">
        <v>6</v>
      </c>
      <c r="M22" s="1114">
        <f t="shared" si="0"/>
        <v>82</v>
      </c>
      <c r="N22" s="1117">
        <v>45670</v>
      </c>
      <c r="O22" s="1117">
        <v>45666</v>
      </c>
      <c r="P22" s="1119"/>
      <c r="Q22" s="1119" t="s">
        <v>1480</v>
      </c>
      <c r="R22" s="1142" t="s">
        <v>2082</v>
      </c>
      <c r="S22" s="1147">
        <v>45603</v>
      </c>
      <c r="T22" s="1137" t="s">
        <v>58</v>
      </c>
      <c r="U22" s="1137">
        <v>45603</v>
      </c>
      <c r="V22" s="1143" t="s">
        <v>2083</v>
      </c>
      <c r="W22" s="1148" t="s">
        <v>2084</v>
      </c>
      <c r="X22" s="1149" t="s">
        <v>737</v>
      </c>
      <c r="Y22" s="1174">
        <v>2.9872</v>
      </c>
      <c r="Z22" s="1166">
        <f>Y22*J22</f>
        <v>1469.7024</v>
      </c>
      <c r="AA22" s="1167" t="s">
        <v>2085</v>
      </c>
      <c r="AB22" s="1137" t="s">
        <v>63</v>
      </c>
      <c r="AC22" s="1137" t="s">
        <v>2040</v>
      </c>
      <c r="AD22" s="1175">
        <v>492</v>
      </c>
      <c r="AE22" s="1167">
        <v>0</v>
      </c>
      <c r="AF22" s="1173"/>
      <c r="AG22" s="1173"/>
      <c r="AH22" s="1188">
        <f>J22/3</f>
        <v>164</v>
      </c>
      <c r="AI22" s="1188">
        <f>J22/3</f>
        <v>164</v>
      </c>
      <c r="AJ22" s="1188">
        <f>J22/3</f>
        <v>164</v>
      </c>
      <c r="AK22" s="1196"/>
      <c r="AL22" s="1197"/>
      <c r="AM22" s="1197"/>
      <c r="AN22" s="1197"/>
      <c r="AO22" s="1197"/>
      <c r="AP22" s="1197"/>
      <c r="AQ22" s="1197"/>
      <c r="AR22" s="1214">
        <f>J22</f>
        <v>492</v>
      </c>
      <c r="AS22" s="1219"/>
      <c r="AT22" s="1220"/>
      <c r="AU22" s="1197"/>
      <c r="AV22" s="1197"/>
      <c r="AW22" s="1214">
        <f>J22</f>
        <v>492</v>
      </c>
      <c r="AX22" s="1197"/>
      <c r="AY22" s="1197"/>
      <c r="AZ22" s="1197"/>
      <c r="BA22" s="1214"/>
      <c r="BB22" s="1214"/>
      <c r="BC22" s="1189"/>
      <c r="BD22" s="1214"/>
      <c r="BE22" s="1257"/>
      <c r="BF22" s="1257"/>
      <c r="BG22" s="1188"/>
      <c r="BI22" s="1261"/>
      <c r="BJ22" s="1261"/>
      <c r="BK22" s="1261"/>
    </row>
    <row r="23" s="1053" customFormat="1" ht="31" customHeight="1" spans="1:63">
      <c r="A23" s="1100">
        <v>45615</v>
      </c>
      <c r="B23" s="1101" t="s">
        <v>90</v>
      </c>
      <c r="C23" s="1102" t="s">
        <v>91</v>
      </c>
      <c r="D23" s="1101">
        <v>4500151651</v>
      </c>
      <c r="E23" s="2332" t="s">
        <v>2089</v>
      </c>
      <c r="F23" s="1101" t="s">
        <v>2090</v>
      </c>
      <c r="G23" s="1104" t="s">
        <v>2059</v>
      </c>
      <c r="H23" s="1101" t="s">
        <v>2059</v>
      </c>
      <c r="I23" s="1098" t="s">
        <v>2060</v>
      </c>
      <c r="J23" s="1101">
        <v>3</v>
      </c>
      <c r="K23" s="1097">
        <v>0</v>
      </c>
      <c r="L23" s="1097">
        <v>1</v>
      </c>
      <c r="M23" s="1114">
        <f t="shared" si="0"/>
        <v>3</v>
      </c>
      <c r="N23" s="1117">
        <v>45650</v>
      </c>
      <c r="O23" s="1117">
        <v>45646</v>
      </c>
      <c r="P23" s="1118" t="s">
        <v>2091</v>
      </c>
      <c r="Q23" s="1119" t="s">
        <v>1480</v>
      </c>
      <c r="R23" s="1135" t="s">
        <v>2092</v>
      </c>
      <c r="S23" s="1144" t="s">
        <v>2036</v>
      </c>
      <c r="T23" s="1137" t="s">
        <v>58</v>
      </c>
      <c r="U23" s="1138">
        <v>45621</v>
      </c>
      <c r="V23" s="1139" t="s">
        <v>2093</v>
      </c>
      <c r="W23" s="1145" t="s">
        <v>2094</v>
      </c>
      <c r="X23" s="1149" t="s">
        <v>101</v>
      </c>
      <c r="Y23" s="1165">
        <v>987.6073</v>
      </c>
      <c r="Z23" s="1166">
        <f>Y23*J23</f>
        <v>2962.8219</v>
      </c>
      <c r="AA23" s="1167" t="s">
        <v>2095</v>
      </c>
      <c r="AB23" s="1137" t="s">
        <v>63</v>
      </c>
      <c r="AC23" s="1137" t="s">
        <v>2040</v>
      </c>
      <c r="AD23" s="1168">
        <v>960</v>
      </c>
      <c r="AE23" s="1168">
        <f>AD23-J24</f>
        <v>0</v>
      </c>
      <c r="AF23" s="1170"/>
      <c r="AG23" s="1173"/>
      <c r="AH23" s="1188"/>
      <c r="AI23" s="1188"/>
      <c r="AJ23" s="1188"/>
      <c r="AK23" s="1192"/>
      <c r="AL23" s="1193"/>
      <c r="AM23" s="1193"/>
      <c r="AN23" s="1193"/>
      <c r="AO23" s="1193"/>
      <c r="AP23" s="1193"/>
      <c r="AQ23" s="1193"/>
      <c r="AR23" s="1214"/>
      <c r="AS23" s="1215"/>
      <c r="AT23" s="1216"/>
      <c r="AU23" s="1193"/>
      <c r="AV23" s="1193"/>
      <c r="AW23" s="1214"/>
      <c r="AX23" s="1193"/>
      <c r="AY23" s="1193"/>
      <c r="AZ23" s="1193"/>
      <c r="BA23" s="1214"/>
      <c r="BB23" s="1214"/>
      <c r="BC23" s="1189"/>
      <c r="BD23" s="1214"/>
      <c r="BE23" s="1257"/>
      <c r="BF23" s="1257"/>
      <c r="BG23" s="1188"/>
      <c r="BI23" s="1048"/>
      <c r="BJ23" s="1048"/>
      <c r="BK23" s="1048"/>
    </row>
    <row r="24" s="1053" customFormat="1" ht="31" customHeight="1" spans="1:63">
      <c r="A24" s="1100">
        <v>45615</v>
      </c>
      <c r="B24" s="1101" t="s">
        <v>90</v>
      </c>
      <c r="C24" s="1102" t="s">
        <v>91</v>
      </c>
      <c r="D24" s="1101">
        <v>4500151651</v>
      </c>
      <c r="E24" s="2332" t="s">
        <v>2089</v>
      </c>
      <c r="F24" s="1101" t="s">
        <v>2090</v>
      </c>
      <c r="G24" s="1101"/>
      <c r="H24" s="1101" t="s">
        <v>2062</v>
      </c>
      <c r="I24" s="1098" t="s">
        <v>2063</v>
      </c>
      <c r="J24" s="1101">
        <v>960</v>
      </c>
      <c r="K24" s="1097">
        <v>0</v>
      </c>
      <c r="L24" s="1097">
        <v>320</v>
      </c>
      <c r="M24" s="1114">
        <f t="shared" si="0"/>
        <v>3</v>
      </c>
      <c r="N24" s="1117">
        <v>45650</v>
      </c>
      <c r="O24" s="1117">
        <v>45646</v>
      </c>
      <c r="P24" s="1119"/>
      <c r="Q24" s="1119" t="s">
        <v>1480</v>
      </c>
      <c r="R24" s="1142"/>
      <c r="S24" s="1147"/>
      <c r="T24" s="1137" t="s">
        <v>58</v>
      </c>
      <c r="U24" s="1137"/>
      <c r="V24" s="1143"/>
      <c r="W24" s="1148"/>
      <c r="X24" s="1149" t="s">
        <v>101</v>
      </c>
      <c r="Y24" s="1165">
        <v>0</v>
      </c>
      <c r="Z24" s="1166">
        <f>Y24*M24</f>
        <v>0</v>
      </c>
      <c r="AA24" s="1167" t="s">
        <v>2095</v>
      </c>
      <c r="AB24" s="1137" t="s">
        <v>63</v>
      </c>
      <c r="AC24" s="1137" t="s">
        <v>2040</v>
      </c>
      <c r="AD24" s="1172"/>
      <c r="AE24" s="1172"/>
      <c r="AF24" s="1173"/>
      <c r="AG24" s="1173"/>
      <c r="AH24" s="1188"/>
      <c r="AI24" s="1188">
        <f>J24</f>
        <v>960</v>
      </c>
      <c r="AJ24" s="1188"/>
      <c r="AK24" s="1192"/>
      <c r="AL24" s="1193"/>
      <c r="AM24" s="1193"/>
      <c r="AN24" s="1193"/>
      <c r="AO24" s="1193"/>
      <c r="AP24" s="1193"/>
      <c r="AQ24" s="1193"/>
      <c r="AR24" s="1214">
        <f>J24</f>
        <v>960</v>
      </c>
      <c r="AS24" s="1215"/>
      <c r="AT24" s="1216"/>
      <c r="AU24" s="1193"/>
      <c r="AV24" s="1193"/>
      <c r="AW24" s="1214"/>
      <c r="AX24" s="1193"/>
      <c r="AY24" s="1193"/>
      <c r="AZ24" s="1193"/>
      <c r="BA24" s="1214"/>
      <c r="BB24" s="1214"/>
      <c r="BC24" s="1189"/>
      <c r="BD24" s="1214"/>
      <c r="BE24" s="1257">
        <f>J24</f>
        <v>960</v>
      </c>
      <c r="BF24" s="1257"/>
      <c r="BG24" s="1188"/>
      <c r="BI24" s="1048"/>
      <c r="BJ24" s="1048"/>
      <c r="BK24" s="1048"/>
    </row>
    <row r="25" s="1053" customFormat="1" ht="31" customHeight="1" spans="1:63">
      <c r="A25" s="1100">
        <v>45615</v>
      </c>
      <c r="B25" s="1101" t="s">
        <v>90</v>
      </c>
      <c r="C25" s="1102" t="s">
        <v>91</v>
      </c>
      <c r="D25" s="1101">
        <v>4500151662</v>
      </c>
      <c r="E25" s="2332" t="s">
        <v>2096</v>
      </c>
      <c r="F25" s="1101" t="s">
        <v>2097</v>
      </c>
      <c r="G25" s="1104" t="s">
        <v>2044</v>
      </c>
      <c r="H25" s="1101" t="s">
        <v>2044</v>
      </c>
      <c r="I25" s="1098" t="s">
        <v>2045</v>
      </c>
      <c r="J25" s="1101">
        <v>2</v>
      </c>
      <c r="K25" s="1097">
        <v>0</v>
      </c>
      <c r="L25" s="1097">
        <v>1</v>
      </c>
      <c r="M25" s="1114">
        <f t="shared" si="0"/>
        <v>2</v>
      </c>
      <c r="N25" s="1117">
        <v>45650</v>
      </c>
      <c r="O25" s="1117">
        <v>45646</v>
      </c>
      <c r="P25" s="1118" t="s">
        <v>2091</v>
      </c>
      <c r="Q25" s="1119" t="s">
        <v>1480</v>
      </c>
      <c r="R25" s="1135" t="s">
        <v>2098</v>
      </c>
      <c r="S25" s="1144" t="s">
        <v>2036</v>
      </c>
      <c r="T25" s="1137" t="s">
        <v>58</v>
      </c>
      <c r="U25" s="1138">
        <v>45621</v>
      </c>
      <c r="V25" s="1139" t="s">
        <v>2037</v>
      </c>
      <c r="W25" s="1145" t="s">
        <v>2099</v>
      </c>
      <c r="X25" s="1149" t="s">
        <v>101</v>
      </c>
      <c r="Y25" s="1165">
        <v>1008.088</v>
      </c>
      <c r="Z25" s="1166">
        <f t="shared" ref="Z25:Z28" si="4">Y25*M25</f>
        <v>2016.176</v>
      </c>
      <c r="AA25" s="1167" t="s">
        <v>2100</v>
      </c>
      <c r="AB25" s="1137" t="s">
        <v>63</v>
      </c>
      <c r="AC25" s="1137" t="s">
        <v>2040</v>
      </c>
      <c r="AD25" s="1168">
        <v>640</v>
      </c>
      <c r="AE25" s="1168">
        <f>AD25-J26</f>
        <v>0</v>
      </c>
      <c r="AF25" s="1170"/>
      <c r="AG25" s="1173"/>
      <c r="AH25" s="1188"/>
      <c r="AI25" s="1188"/>
      <c r="AJ25" s="1188"/>
      <c r="AK25" s="1192"/>
      <c r="AL25" s="1193"/>
      <c r="AM25" s="1193"/>
      <c r="AN25" s="1193"/>
      <c r="AO25" s="1193"/>
      <c r="AP25" s="1193"/>
      <c r="AQ25" s="1193"/>
      <c r="AR25" s="1214"/>
      <c r="AS25" s="1215"/>
      <c r="AT25" s="1216"/>
      <c r="AU25" s="1193"/>
      <c r="AV25" s="1193"/>
      <c r="AW25" s="1214"/>
      <c r="AX25" s="1193"/>
      <c r="AY25" s="1193"/>
      <c r="AZ25" s="1193"/>
      <c r="BA25" s="1214"/>
      <c r="BB25" s="1214"/>
      <c r="BC25" s="1189"/>
      <c r="BD25" s="1214"/>
      <c r="BE25" s="1257"/>
      <c r="BF25" s="1257"/>
      <c r="BG25" s="1188"/>
      <c r="BI25" s="1048"/>
      <c r="BJ25" s="1048"/>
      <c r="BK25" s="1048"/>
    </row>
    <row r="26" s="1053" customFormat="1" ht="31" customHeight="1" spans="1:63">
      <c r="A26" s="1100">
        <v>45615</v>
      </c>
      <c r="B26" s="1101" t="s">
        <v>90</v>
      </c>
      <c r="C26" s="1102" t="s">
        <v>91</v>
      </c>
      <c r="D26" s="1101">
        <v>4500151662</v>
      </c>
      <c r="E26" s="2332" t="s">
        <v>2096</v>
      </c>
      <c r="F26" s="1101" t="s">
        <v>2097</v>
      </c>
      <c r="G26" s="1101"/>
      <c r="H26" s="1101" t="s">
        <v>2051</v>
      </c>
      <c r="I26" s="1098" t="s">
        <v>2052</v>
      </c>
      <c r="J26" s="1101">
        <v>640</v>
      </c>
      <c r="K26" s="1097">
        <v>0</v>
      </c>
      <c r="L26" s="1097">
        <v>320</v>
      </c>
      <c r="M26" s="1114">
        <f t="shared" si="0"/>
        <v>2</v>
      </c>
      <c r="N26" s="1117">
        <v>45650</v>
      </c>
      <c r="O26" s="1117">
        <v>45646</v>
      </c>
      <c r="P26" s="1119"/>
      <c r="Q26" s="1119" t="s">
        <v>1480</v>
      </c>
      <c r="R26" s="1142"/>
      <c r="S26" s="1147"/>
      <c r="T26" s="1137" t="s">
        <v>58</v>
      </c>
      <c r="U26" s="1137"/>
      <c r="V26" s="1143"/>
      <c r="W26" s="1148"/>
      <c r="X26" s="1149" t="s">
        <v>101</v>
      </c>
      <c r="Y26" s="1165">
        <v>0</v>
      </c>
      <c r="Z26" s="1166">
        <f t="shared" si="4"/>
        <v>0</v>
      </c>
      <c r="AA26" s="1167" t="s">
        <v>2100</v>
      </c>
      <c r="AB26" s="1137" t="s">
        <v>63</v>
      </c>
      <c r="AC26" s="1137" t="s">
        <v>2040</v>
      </c>
      <c r="AD26" s="1172"/>
      <c r="AE26" s="1172"/>
      <c r="AF26" s="1173"/>
      <c r="AG26" s="1173"/>
      <c r="AH26" s="1188">
        <f>J26</f>
        <v>640</v>
      </c>
      <c r="AI26" s="1188"/>
      <c r="AJ26" s="1188"/>
      <c r="AK26" s="1192"/>
      <c r="AL26" s="1193"/>
      <c r="AM26" s="1193"/>
      <c r="AN26" s="1193"/>
      <c r="AO26" s="1193"/>
      <c r="AP26" s="1193"/>
      <c r="AQ26" s="1193"/>
      <c r="AR26" s="1214">
        <f>J26</f>
        <v>640</v>
      </c>
      <c r="AS26" s="1215"/>
      <c r="AT26" s="1216"/>
      <c r="AU26" s="1193"/>
      <c r="AV26" s="1193"/>
      <c r="AW26" s="1214"/>
      <c r="AX26" s="1193"/>
      <c r="AY26" s="1193"/>
      <c r="AZ26" s="1193"/>
      <c r="BA26" s="1214"/>
      <c r="BB26" s="1214"/>
      <c r="BC26" s="1189"/>
      <c r="BD26" s="1214"/>
      <c r="BE26" s="1257">
        <f>J26</f>
        <v>640</v>
      </c>
      <c r="BF26" s="1257"/>
      <c r="BG26" s="1188"/>
      <c r="BI26" s="1048"/>
      <c r="BJ26" s="1048"/>
      <c r="BK26" s="1048"/>
    </row>
    <row r="27" s="1053" customFormat="1" ht="31" customHeight="1" spans="1:63">
      <c r="A27" s="1100">
        <v>45615</v>
      </c>
      <c r="B27" s="1101" t="s">
        <v>90</v>
      </c>
      <c r="C27" s="1102" t="s">
        <v>91</v>
      </c>
      <c r="D27" s="1101">
        <v>4500151662</v>
      </c>
      <c r="E27" s="2332" t="s">
        <v>2096</v>
      </c>
      <c r="F27" s="1101" t="s">
        <v>2101</v>
      </c>
      <c r="G27" s="1104" t="s">
        <v>2059</v>
      </c>
      <c r="H27" s="1101" t="s">
        <v>2059</v>
      </c>
      <c r="I27" s="1098" t="s">
        <v>2060</v>
      </c>
      <c r="J27" s="1101">
        <v>7</v>
      </c>
      <c r="K27" s="1097">
        <v>0</v>
      </c>
      <c r="L27" s="1097">
        <v>1</v>
      </c>
      <c r="M27" s="1114">
        <f t="shared" ref="M27:M90" si="5">J27/L27</f>
        <v>7</v>
      </c>
      <c r="N27" s="1117">
        <v>45650</v>
      </c>
      <c r="O27" s="1117">
        <v>45646</v>
      </c>
      <c r="P27" s="1118" t="s">
        <v>2091</v>
      </c>
      <c r="Q27" s="1119" t="s">
        <v>1480</v>
      </c>
      <c r="R27" s="1135" t="s">
        <v>2098</v>
      </c>
      <c r="S27" s="1144" t="s">
        <v>2036</v>
      </c>
      <c r="T27" s="1137" t="s">
        <v>58</v>
      </c>
      <c r="U27" s="1138">
        <v>45621</v>
      </c>
      <c r="V27" s="1139" t="s">
        <v>2037</v>
      </c>
      <c r="W27" s="1145" t="s">
        <v>2102</v>
      </c>
      <c r="X27" s="1149" t="s">
        <v>101</v>
      </c>
      <c r="Y27" s="1165">
        <v>944.728</v>
      </c>
      <c r="Z27" s="1166">
        <f>Y27*J27</f>
        <v>6613.096</v>
      </c>
      <c r="AA27" s="1167" t="s">
        <v>2100</v>
      </c>
      <c r="AB27" s="1137" t="s">
        <v>63</v>
      </c>
      <c r="AC27" s="1137" t="s">
        <v>2040</v>
      </c>
      <c r="AD27" s="1168">
        <v>2240</v>
      </c>
      <c r="AE27" s="1168">
        <f>AD27-J28</f>
        <v>0</v>
      </c>
      <c r="AF27" s="1170"/>
      <c r="AG27" s="1173"/>
      <c r="AH27" s="1188"/>
      <c r="AI27" s="1188"/>
      <c r="AJ27" s="1188"/>
      <c r="AK27" s="1192"/>
      <c r="AL27" s="1193"/>
      <c r="AM27" s="1193"/>
      <c r="AN27" s="1193"/>
      <c r="AO27" s="1193"/>
      <c r="AP27" s="1193"/>
      <c r="AQ27" s="1193"/>
      <c r="AR27" s="1214"/>
      <c r="AS27" s="1215"/>
      <c r="AT27" s="1216"/>
      <c r="AU27" s="1193"/>
      <c r="AV27" s="1193"/>
      <c r="AW27" s="1214"/>
      <c r="AX27" s="1193"/>
      <c r="AY27" s="1193"/>
      <c r="AZ27" s="1193"/>
      <c r="BA27" s="1214"/>
      <c r="BB27" s="1214"/>
      <c r="BC27" s="1189"/>
      <c r="BD27" s="1214"/>
      <c r="BE27" s="1257"/>
      <c r="BF27" s="1257"/>
      <c r="BG27" s="1188"/>
      <c r="BI27" s="1048"/>
      <c r="BJ27" s="1048"/>
      <c r="BK27" s="1048"/>
    </row>
    <row r="28" s="1053" customFormat="1" ht="31" customHeight="1" spans="1:63">
      <c r="A28" s="1100">
        <v>45615</v>
      </c>
      <c r="B28" s="1101" t="s">
        <v>90</v>
      </c>
      <c r="C28" s="1102" t="s">
        <v>91</v>
      </c>
      <c r="D28" s="1101">
        <v>4500151662</v>
      </c>
      <c r="E28" s="2332" t="s">
        <v>2096</v>
      </c>
      <c r="F28" s="1101" t="s">
        <v>2101</v>
      </c>
      <c r="G28" s="1101"/>
      <c r="H28" s="1101" t="s">
        <v>2062</v>
      </c>
      <c r="I28" s="1098" t="s">
        <v>2063</v>
      </c>
      <c r="J28" s="1101">
        <v>2240</v>
      </c>
      <c r="K28" s="1097">
        <v>0</v>
      </c>
      <c r="L28" s="1097">
        <v>320</v>
      </c>
      <c r="M28" s="1114">
        <f t="shared" si="5"/>
        <v>7</v>
      </c>
      <c r="N28" s="1117">
        <v>45650</v>
      </c>
      <c r="O28" s="1117">
        <v>45646</v>
      </c>
      <c r="P28" s="1119"/>
      <c r="Q28" s="1119" t="s">
        <v>1480</v>
      </c>
      <c r="R28" s="1142"/>
      <c r="S28" s="1147"/>
      <c r="T28" s="1137" t="s">
        <v>58</v>
      </c>
      <c r="U28" s="1137"/>
      <c r="V28" s="1143"/>
      <c r="W28" s="1148"/>
      <c r="X28" s="1149" t="s">
        <v>101</v>
      </c>
      <c r="Y28" s="1165">
        <v>0</v>
      </c>
      <c r="Z28" s="1166">
        <f t="shared" si="4"/>
        <v>0</v>
      </c>
      <c r="AA28" s="1167" t="s">
        <v>2100</v>
      </c>
      <c r="AB28" s="1137" t="s">
        <v>63</v>
      </c>
      <c r="AC28" s="1137" t="s">
        <v>2040</v>
      </c>
      <c r="AD28" s="1172"/>
      <c r="AE28" s="1172"/>
      <c r="AF28" s="1173"/>
      <c r="AG28" s="1173"/>
      <c r="AH28" s="1188"/>
      <c r="AI28" s="1188">
        <f>J28</f>
        <v>2240</v>
      </c>
      <c r="AJ28" s="1188"/>
      <c r="AK28" s="1192"/>
      <c r="AL28" s="1193"/>
      <c r="AM28" s="1193"/>
      <c r="AN28" s="1193"/>
      <c r="AO28" s="1193"/>
      <c r="AP28" s="1193"/>
      <c r="AQ28" s="1193"/>
      <c r="AR28" s="1214">
        <f>J28</f>
        <v>2240</v>
      </c>
      <c r="AS28" s="1215"/>
      <c r="AT28" s="1216"/>
      <c r="AU28" s="1193"/>
      <c r="AV28" s="1193"/>
      <c r="AW28" s="1214"/>
      <c r="AX28" s="1193"/>
      <c r="AY28" s="1193"/>
      <c r="AZ28" s="1193"/>
      <c r="BA28" s="1214"/>
      <c r="BB28" s="1214"/>
      <c r="BC28" s="1189"/>
      <c r="BD28" s="1214"/>
      <c r="BE28" s="1257">
        <f>J28</f>
        <v>2240</v>
      </c>
      <c r="BF28" s="1257"/>
      <c r="BG28" s="1188"/>
      <c r="BI28" s="1048"/>
      <c r="BJ28" s="1048"/>
      <c r="BK28" s="1048"/>
    </row>
    <row r="29" s="1053" customFormat="1" ht="31" customHeight="1" spans="1:63">
      <c r="A29" s="1100">
        <v>45615</v>
      </c>
      <c r="B29" s="1101" t="s">
        <v>90</v>
      </c>
      <c r="C29" s="1102" t="s">
        <v>91</v>
      </c>
      <c r="D29" s="1101">
        <v>4500151663</v>
      </c>
      <c r="E29" s="2332" t="s">
        <v>2103</v>
      </c>
      <c r="F29" s="1101" t="s">
        <v>2104</v>
      </c>
      <c r="G29" s="1104" t="s">
        <v>2059</v>
      </c>
      <c r="H29" s="1101" t="s">
        <v>2059</v>
      </c>
      <c r="I29" s="1098" t="s">
        <v>2060</v>
      </c>
      <c r="J29" s="1101">
        <v>3</v>
      </c>
      <c r="K29" s="1097">
        <v>0</v>
      </c>
      <c r="L29" s="1097">
        <v>1</v>
      </c>
      <c r="M29" s="1114">
        <f t="shared" si="5"/>
        <v>3</v>
      </c>
      <c r="N29" s="1117">
        <v>45650</v>
      </c>
      <c r="O29" s="1117">
        <v>45646</v>
      </c>
      <c r="P29" s="1118" t="s">
        <v>2091</v>
      </c>
      <c r="Q29" s="1119" t="s">
        <v>1480</v>
      </c>
      <c r="R29" s="1135" t="s">
        <v>2105</v>
      </c>
      <c r="S29" s="1144" t="s">
        <v>2036</v>
      </c>
      <c r="T29" s="1137" t="s">
        <v>58</v>
      </c>
      <c r="U29" s="1138">
        <v>45621</v>
      </c>
      <c r="V29" s="1139" t="s">
        <v>2037</v>
      </c>
      <c r="W29" s="1145" t="s">
        <v>2094</v>
      </c>
      <c r="X29" s="1149" t="s">
        <v>101</v>
      </c>
      <c r="Y29" s="1165">
        <v>1006.68</v>
      </c>
      <c r="Z29" s="1166">
        <f>Y29*J29</f>
        <v>3020.04</v>
      </c>
      <c r="AA29" s="1167"/>
      <c r="AB29" s="1137" t="s">
        <v>63</v>
      </c>
      <c r="AC29" s="1137" t="s">
        <v>2040</v>
      </c>
      <c r="AD29" s="1168">
        <v>960</v>
      </c>
      <c r="AE29" s="1168">
        <f>AD29-J30</f>
        <v>0</v>
      </c>
      <c r="AF29" s="1170"/>
      <c r="AG29" s="1173"/>
      <c r="AH29" s="1188"/>
      <c r="AI29" s="1188"/>
      <c r="AJ29" s="1188"/>
      <c r="AK29" s="1192"/>
      <c r="AL29" s="1193"/>
      <c r="AM29" s="1193"/>
      <c r="AN29" s="1193"/>
      <c r="AO29" s="1193"/>
      <c r="AP29" s="1193"/>
      <c r="AQ29" s="1193"/>
      <c r="AR29" s="1214"/>
      <c r="AS29" s="1215"/>
      <c r="AT29" s="1216"/>
      <c r="AU29" s="1193"/>
      <c r="AV29" s="1193"/>
      <c r="AW29" s="1214"/>
      <c r="AX29" s="1193"/>
      <c r="AY29" s="1193"/>
      <c r="AZ29" s="1193"/>
      <c r="BA29" s="1214"/>
      <c r="BB29" s="1214"/>
      <c r="BC29" s="1189"/>
      <c r="BD29" s="1214"/>
      <c r="BE29" s="1257"/>
      <c r="BF29" s="1257"/>
      <c r="BG29" s="1188"/>
      <c r="BI29" s="1048"/>
      <c r="BJ29" s="1048"/>
      <c r="BK29" s="1048"/>
    </row>
    <row r="30" s="1053" customFormat="1" ht="31" customHeight="1" spans="1:63">
      <c r="A30" s="1100">
        <v>45615</v>
      </c>
      <c r="B30" s="1101" t="s">
        <v>90</v>
      </c>
      <c r="C30" s="1102" t="s">
        <v>91</v>
      </c>
      <c r="D30" s="1101">
        <v>4500151663</v>
      </c>
      <c r="E30" s="2332" t="s">
        <v>2103</v>
      </c>
      <c r="F30" s="1101" t="s">
        <v>2104</v>
      </c>
      <c r="G30" s="1101"/>
      <c r="H30" s="1101" t="s">
        <v>2062</v>
      </c>
      <c r="I30" s="1098" t="s">
        <v>2063</v>
      </c>
      <c r="J30" s="1101">
        <v>960</v>
      </c>
      <c r="K30" s="1097">
        <v>0</v>
      </c>
      <c r="L30" s="1097">
        <v>320</v>
      </c>
      <c r="M30" s="1114">
        <f t="shared" si="5"/>
        <v>3</v>
      </c>
      <c r="N30" s="1117">
        <v>45650</v>
      </c>
      <c r="O30" s="1117">
        <v>45646</v>
      </c>
      <c r="P30" s="1119"/>
      <c r="Q30" s="1119" t="s">
        <v>1480</v>
      </c>
      <c r="R30" s="1142"/>
      <c r="S30" s="1147"/>
      <c r="T30" s="1137" t="s">
        <v>58</v>
      </c>
      <c r="U30" s="1137"/>
      <c r="V30" s="1143"/>
      <c r="W30" s="1148"/>
      <c r="X30" s="1149" t="s">
        <v>101</v>
      </c>
      <c r="Y30" s="1165">
        <v>0</v>
      </c>
      <c r="Z30" s="1166">
        <f>Y30*M30</f>
        <v>0</v>
      </c>
      <c r="AA30" s="1167"/>
      <c r="AB30" s="1137" t="s">
        <v>63</v>
      </c>
      <c r="AC30" s="1137" t="s">
        <v>2040</v>
      </c>
      <c r="AD30" s="1172"/>
      <c r="AE30" s="1172"/>
      <c r="AF30" s="1173"/>
      <c r="AG30" s="1173"/>
      <c r="AH30" s="1188"/>
      <c r="AI30" s="1188">
        <f>J30</f>
        <v>960</v>
      </c>
      <c r="AJ30" s="1188"/>
      <c r="AK30" s="1192"/>
      <c r="AL30" s="1193"/>
      <c r="AM30" s="1193"/>
      <c r="AN30" s="1193"/>
      <c r="AO30" s="1193"/>
      <c r="AP30" s="1193"/>
      <c r="AQ30" s="1193"/>
      <c r="AR30" s="1214">
        <f>J30</f>
        <v>960</v>
      </c>
      <c r="AS30" s="1215"/>
      <c r="AT30" s="1216"/>
      <c r="AU30" s="1193"/>
      <c r="AV30" s="1193"/>
      <c r="AW30" s="1214"/>
      <c r="AX30" s="1193"/>
      <c r="AY30" s="1193"/>
      <c r="AZ30" s="1193"/>
      <c r="BA30" s="1214"/>
      <c r="BB30" s="1214"/>
      <c r="BC30" s="1189"/>
      <c r="BD30" s="1214"/>
      <c r="BE30" s="1257">
        <f>J30</f>
        <v>960</v>
      </c>
      <c r="BF30" s="1257"/>
      <c r="BG30" s="1188"/>
      <c r="BI30" s="1048"/>
      <c r="BJ30" s="1048"/>
      <c r="BK30" s="1048"/>
    </row>
    <row r="31" s="1053" customFormat="1" ht="31" customHeight="1" spans="1:63">
      <c r="A31" s="1100">
        <v>45595</v>
      </c>
      <c r="B31" s="1101" t="s">
        <v>2106</v>
      </c>
      <c r="C31" s="1102" t="s">
        <v>123</v>
      </c>
      <c r="D31" s="1101">
        <v>4500149496</v>
      </c>
      <c r="E31" s="1103" t="s">
        <v>2107</v>
      </c>
      <c r="F31" s="1101" t="s">
        <v>2108</v>
      </c>
      <c r="G31" s="1101" t="s">
        <v>2109</v>
      </c>
      <c r="H31" s="1101" t="s">
        <v>2109</v>
      </c>
      <c r="I31" s="1098" t="s">
        <v>2042</v>
      </c>
      <c r="J31" s="1120">
        <v>504</v>
      </c>
      <c r="K31" s="1097">
        <v>0</v>
      </c>
      <c r="L31" s="1097">
        <v>24</v>
      </c>
      <c r="M31" s="1114">
        <f t="shared" si="5"/>
        <v>21</v>
      </c>
      <c r="N31" s="1117">
        <v>45651</v>
      </c>
      <c r="O31" s="1117">
        <v>45647</v>
      </c>
      <c r="P31" s="1119"/>
      <c r="Q31" s="1119" t="s">
        <v>1480</v>
      </c>
      <c r="R31" s="1142" t="s">
        <v>2110</v>
      </c>
      <c r="S31" s="1147" t="s">
        <v>2111</v>
      </c>
      <c r="T31" s="1137" t="s">
        <v>2112</v>
      </c>
      <c r="U31" s="1137">
        <v>45625</v>
      </c>
      <c r="V31" s="1143" t="s">
        <v>2113</v>
      </c>
      <c r="W31" s="1148" t="s">
        <v>2114</v>
      </c>
      <c r="X31" s="1146" t="s">
        <v>2115</v>
      </c>
      <c r="Y31" s="1165">
        <v>2.8799</v>
      </c>
      <c r="Z31" s="1166">
        <f>Y31*J31</f>
        <v>1451.4696</v>
      </c>
      <c r="AA31" s="1167" t="s">
        <v>2116</v>
      </c>
      <c r="AB31" s="1137" t="s">
        <v>63</v>
      </c>
      <c r="AC31" s="1137" t="s">
        <v>2040</v>
      </c>
      <c r="AD31" s="1175">
        <v>504</v>
      </c>
      <c r="AE31" s="1167">
        <f>AD31-J31</f>
        <v>0</v>
      </c>
      <c r="AF31" s="1173" t="s">
        <v>327</v>
      </c>
      <c r="AG31" s="1173"/>
      <c r="AH31" s="1188"/>
      <c r="AI31" s="1188"/>
      <c r="AJ31" s="1188">
        <f>J31</f>
        <v>504</v>
      </c>
      <c r="AK31" s="1198"/>
      <c r="AL31" s="1199"/>
      <c r="AM31" s="1199"/>
      <c r="AN31" s="1199"/>
      <c r="AO31" s="1199"/>
      <c r="AP31" s="1199"/>
      <c r="AQ31" s="1199"/>
      <c r="AR31" s="1214">
        <f>J31</f>
        <v>504</v>
      </c>
      <c r="AS31" s="1221"/>
      <c r="AT31" s="1222"/>
      <c r="AU31" s="1199"/>
      <c r="AV31" s="1199"/>
      <c r="AW31" s="1214"/>
      <c r="AX31" s="1199"/>
      <c r="AY31" s="1199"/>
      <c r="AZ31" s="1199"/>
      <c r="BA31" s="1214"/>
      <c r="BB31" s="1214"/>
      <c r="BC31" s="1189"/>
      <c r="BD31" s="1214"/>
      <c r="BE31" s="1257"/>
      <c r="BF31" s="1257">
        <f>J31</f>
        <v>504</v>
      </c>
      <c r="BG31" s="1188"/>
      <c r="BI31" s="1262"/>
      <c r="BJ31" s="1262"/>
      <c r="BK31" s="1262"/>
    </row>
    <row r="32" s="1053" customFormat="1" ht="31" customHeight="1" spans="1:63">
      <c r="A32" s="1100">
        <v>45603</v>
      </c>
      <c r="B32" s="1101" t="s">
        <v>230</v>
      </c>
      <c r="C32" s="1102" t="s">
        <v>91</v>
      </c>
      <c r="D32" s="1101">
        <v>4500150300</v>
      </c>
      <c r="E32" s="1103">
        <v>60188336</v>
      </c>
      <c r="F32" s="1101" t="s">
        <v>2117</v>
      </c>
      <c r="G32" s="1101" t="s">
        <v>2118</v>
      </c>
      <c r="H32" s="1101" t="s">
        <v>2118</v>
      </c>
      <c r="I32" s="1098" t="s">
        <v>2119</v>
      </c>
      <c r="J32" s="1120">
        <v>4992</v>
      </c>
      <c r="K32" s="1097">
        <v>0</v>
      </c>
      <c r="L32" s="1097">
        <v>12</v>
      </c>
      <c r="M32" s="1114">
        <f t="shared" si="5"/>
        <v>416</v>
      </c>
      <c r="N32" s="1117">
        <v>45664</v>
      </c>
      <c r="O32" s="1117">
        <v>45660</v>
      </c>
      <c r="P32" s="1119"/>
      <c r="Q32" s="1119" t="s">
        <v>1480</v>
      </c>
      <c r="R32" s="1142"/>
      <c r="S32" s="1147" t="s">
        <v>2120</v>
      </c>
      <c r="T32" s="1137" t="s">
        <v>58</v>
      </c>
      <c r="U32" s="1137">
        <v>45628</v>
      </c>
      <c r="V32" s="1143" t="s">
        <v>235</v>
      </c>
      <c r="W32" s="1148" t="s">
        <v>2121</v>
      </c>
      <c r="X32" s="1146" t="s">
        <v>237</v>
      </c>
      <c r="Y32" s="1165">
        <v>2.8705</v>
      </c>
      <c r="Z32" s="1166">
        <f>Y32*J32</f>
        <v>14329.536</v>
      </c>
      <c r="AA32" s="1167" t="s">
        <v>238</v>
      </c>
      <c r="AB32" s="1137" t="s">
        <v>63</v>
      </c>
      <c r="AC32" s="1137" t="s">
        <v>2040</v>
      </c>
      <c r="AD32" s="1175">
        <v>4992</v>
      </c>
      <c r="AE32" s="1167">
        <f>AD32-J32</f>
        <v>0</v>
      </c>
      <c r="AF32" s="1173" t="s">
        <v>327</v>
      </c>
      <c r="AG32" s="1173"/>
      <c r="AH32" s="1188">
        <f>J32/3</f>
        <v>1664</v>
      </c>
      <c r="AI32" s="1188">
        <f>J32/3</f>
        <v>1664</v>
      </c>
      <c r="AJ32" s="1188">
        <f>J32/3</f>
        <v>1664</v>
      </c>
      <c r="AK32" s="1200"/>
      <c r="AL32" s="1201"/>
      <c r="AM32" s="1201"/>
      <c r="AN32" s="1201"/>
      <c r="AO32" s="1201"/>
      <c r="AP32" s="1201"/>
      <c r="AQ32" s="1201"/>
      <c r="AR32" s="1214">
        <f>J32</f>
        <v>4992</v>
      </c>
      <c r="AS32" s="1223"/>
      <c r="AT32" s="1224"/>
      <c r="AU32" s="1225"/>
      <c r="AV32" s="1225"/>
      <c r="AW32" s="1214">
        <f>J32</f>
        <v>4992</v>
      </c>
      <c r="AX32" s="1201"/>
      <c r="AY32" s="1201"/>
      <c r="AZ32" s="1201"/>
      <c r="BA32" s="1214"/>
      <c r="BB32" s="1214"/>
      <c r="BC32" s="1189"/>
      <c r="BD32" s="1214"/>
      <c r="BE32" s="1257"/>
      <c r="BF32" s="1257"/>
      <c r="BG32" s="1188"/>
      <c r="BI32" s="1054"/>
      <c r="BJ32" s="1054"/>
      <c r="BK32" s="1054"/>
    </row>
    <row r="33" s="1053" customFormat="1" ht="31" customHeight="1" spans="1:63">
      <c r="A33" s="1100">
        <v>45610</v>
      </c>
      <c r="B33" s="1101" t="s">
        <v>2106</v>
      </c>
      <c r="C33" s="1102" t="s">
        <v>123</v>
      </c>
      <c r="D33" s="1101">
        <v>4500151302</v>
      </c>
      <c r="E33" s="1103" t="s">
        <v>2122</v>
      </c>
      <c r="F33" s="1101" t="s">
        <v>2123</v>
      </c>
      <c r="G33" s="1101" t="s">
        <v>2109</v>
      </c>
      <c r="H33" s="1101" t="s">
        <v>2109</v>
      </c>
      <c r="I33" s="1098" t="s">
        <v>2042</v>
      </c>
      <c r="J33" s="1120">
        <v>504</v>
      </c>
      <c r="K33" s="1097">
        <v>0</v>
      </c>
      <c r="L33" s="1097">
        <v>24</v>
      </c>
      <c r="M33" s="1114">
        <f t="shared" si="5"/>
        <v>21</v>
      </c>
      <c r="N33" s="1117">
        <v>45667</v>
      </c>
      <c r="O33" s="1117">
        <v>45663</v>
      </c>
      <c r="P33" s="1119"/>
      <c r="Q33" s="1119" t="s">
        <v>1480</v>
      </c>
      <c r="R33" s="1142" t="s">
        <v>2124</v>
      </c>
      <c r="S33" s="1147" t="s">
        <v>2111</v>
      </c>
      <c r="T33" s="1137" t="s">
        <v>2112</v>
      </c>
      <c r="U33" s="1137">
        <v>45635</v>
      </c>
      <c r="V33" s="1143" t="s">
        <v>2125</v>
      </c>
      <c r="W33" s="1148" t="s">
        <v>2126</v>
      </c>
      <c r="X33" s="1146" t="s">
        <v>2115</v>
      </c>
      <c r="Y33" s="1165">
        <v>2.8799</v>
      </c>
      <c r="Z33" s="1166">
        <f>Y33*J33</f>
        <v>1451.4696</v>
      </c>
      <c r="AA33" s="1167" t="s">
        <v>2127</v>
      </c>
      <c r="AB33" s="1137" t="s">
        <v>63</v>
      </c>
      <c r="AC33" s="1137" t="s">
        <v>2040</v>
      </c>
      <c r="AD33" s="1175">
        <v>504</v>
      </c>
      <c r="AE33" s="1167">
        <f>AD33-J33</f>
        <v>0</v>
      </c>
      <c r="AF33" s="1173" t="s">
        <v>327</v>
      </c>
      <c r="AG33" s="1173"/>
      <c r="AH33" s="1188"/>
      <c r="AI33" s="1188"/>
      <c r="AJ33" s="1188">
        <f>J33</f>
        <v>504</v>
      </c>
      <c r="AK33" s="1202"/>
      <c r="AL33" s="1203"/>
      <c r="AM33" s="1203"/>
      <c r="AN33" s="1203"/>
      <c r="AO33" s="1203"/>
      <c r="AP33" s="1203"/>
      <c r="AQ33" s="1203"/>
      <c r="AR33" s="1214">
        <f>J33</f>
        <v>504</v>
      </c>
      <c r="AS33" s="1226"/>
      <c r="AT33" s="1227"/>
      <c r="AU33" s="1228"/>
      <c r="AV33" s="1228"/>
      <c r="AW33" s="1214"/>
      <c r="AX33" s="1203"/>
      <c r="AY33" s="1203"/>
      <c r="AZ33" s="1203"/>
      <c r="BA33" s="1214"/>
      <c r="BB33" s="1214"/>
      <c r="BC33" s="1189"/>
      <c r="BD33" s="1214"/>
      <c r="BE33" s="1257"/>
      <c r="BF33" s="1257">
        <f>J33</f>
        <v>504</v>
      </c>
      <c r="BG33" s="1188"/>
      <c r="BI33" s="1263"/>
      <c r="BJ33" s="1263"/>
      <c r="BK33" s="1263"/>
    </row>
    <row r="34" s="1053" customFormat="1" ht="31" customHeight="1" spans="1:63">
      <c r="A34" s="1100">
        <v>45638</v>
      </c>
      <c r="B34" s="1101" t="s">
        <v>2076</v>
      </c>
      <c r="C34" s="1102" t="s">
        <v>91</v>
      </c>
      <c r="D34" s="1101">
        <v>4500153786</v>
      </c>
      <c r="E34" s="1103">
        <v>4551343317</v>
      </c>
      <c r="F34" s="1101" t="s">
        <v>2128</v>
      </c>
      <c r="G34" s="1101" t="s">
        <v>2079</v>
      </c>
      <c r="H34" s="1101" t="s">
        <v>2079</v>
      </c>
      <c r="I34" s="1098" t="s">
        <v>2080</v>
      </c>
      <c r="J34" s="1120">
        <v>2748</v>
      </c>
      <c r="K34" s="1097">
        <v>0</v>
      </c>
      <c r="L34" s="1097">
        <v>6</v>
      </c>
      <c r="M34" s="1114">
        <f t="shared" si="5"/>
        <v>458</v>
      </c>
      <c r="N34" s="1117">
        <v>45670</v>
      </c>
      <c r="O34" s="1117">
        <v>45666</v>
      </c>
      <c r="P34" s="1121" t="s">
        <v>2129</v>
      </c>
      <c r="Q34" s="1119" t="s">
        <v>1480</v>
      </c>
      <c r="R34" s="1142" t="s">
        <v>2082</v>
      </c>
      <c r="S34" s="1147">
        <v>45603</v>
      </c>
      <c r="T34" s="1137" t="s">
        <v>58</v>
      </c>
      <c r="U34" s="1137">
        <v>45603</v>
      </c>
      <c r="V34" s="1143" t="s">
        <v>2130</v>
      </c>
      <c r="W34" s="1148" t="s">
        <v>2084</v>
      </c>
      <c r="X34" s="1149" t="s">
        <v>737</v>
      </c>
      <c r="Y34" s="1174">
        <v>2.9784</v>
      </c>
      <c r="Z34" s="1166">
        <f t="shared" ref="Z34:Z45" si="6">Y34*J34</f>
        <v>8184.6432</v>
      </c>
      <c r="AA34" s="1167" t="s">
        <v>2087</v>
      </c>
      <c r="AB34" s="1137" t="s">
        <v>63</v>
      </c>
      <c r="AC34" s="1137" t="s">
        <v>2040</v>
      </c>
      <c r="AD34" s="1175">
        <v>2748</v>
      </c>
      <c r="AE34" s="1167">
        <f t="shared" ref="AE34:AE44" si="7">AD34-J34</f>
        <v>0</v>
      </c>
      <c r="AF34" s="1173" t="s">
        <v>327</v>
      </c>
      <c r="AG34" s="1173"/>
      <c r="AH34" s="1188">
        <f t="shared" ref="AH34:AH40" si="8">J34/3</f>
        <v>916</v>
      </c>
      <c r="AI34" s="1188">
        <f t="shared" ref="AI34:AI40" si="9">J34/3</f>
        <v>916</v>
      </c>
      <c r="AJ34" s="1188">
        <f t="shared" ref="AJ34:AJ40" si="10">J34/3</f>
        <v>916</v>
      </c>
      <c r="AK34" s="1198"/>
      <c r="AL34" s="1199"/>
      <c r="AM34" s="1199"/>
      <c r="AN34" s="1199"/>
      <c r="AO34" s="1199"/>
      <c r="AP34" s="1199"/>
      <c r="AQ34" s="1199"/>
      <c r="AR34" s="1214">
        <f t="shared" ref="AR34:AR45" si="11">J34</f>
        <v>2748</v>
      </c>
      <c r="AS34" s="1221"/>
      <c r="AT34" s="1222"/>
      <c r="AU34" s="1199"/>
      <c r="AV34" s="1199"/>
      <c r="AW34" s="1214">
        <f t="shared" ref="AW34:AW40" si="12">J34</f>
        <v>2748</v>
      </c>
      <c r="AX34" s="1199"/>
      <c r="AY34" s="1199"/>
      <c r="AZ34" s="1199"/>
      <c r="BA34" s="1214"/>
      <c r="BB34" s="1214"/>
      <c r="BC34" s="1189"/>
      <c r="BD34" s="1214"/>
      <c r="BE34" s="1257"/>
      <c r="BF34" s="1257"/>
      <c r="BG34" s="1188"/>
      <c r="BI34" s="1262"/>
      <c r="BJ34" s="1262"/>
      <c r="BK34" s="1262"/>
    </row>
    <row r="35" s="1053" customFormat="1" ht="31" customHeight="1" spans="1:63">
      <c r="A35" s="1100">
        <v>45638</v>
      </c>
      <c r="B35" s="1101" t="s">
        <v>2076</v>
      </c>
      <c r="C35" s="1102" t="s">
        <v>91</v>
      </c>
      <c r="D35" s="1101">
        <v>4500153786</v>
      </c>
      <c r="E35" s="1103">
        <v>4551343009</v>
      </c>
      <c r="F35" s="1101" t="s">
        <v>2131</v>
      </c>
      <c r="G35" s="1101" t="s">
        <v>2079</v>
      </c>
      <c r="H35" s="1101" t="s">
        <v>2079</v>
      </c>
      <c r="I35" s="1098" t="s">
        <v>2080</v>
      </c>
      <c r="J35" s="1120">
        <v>1212</v>
      </c>
      <c r="K35" s="1097">
        <v>0</v>
      </c>
      <c r="L35" s="1097">
        <v>6</v>
      </c>
      <c r="M35" s="1114">
        <f t="shared" si="5"/>
        <v>202</v>
      </c>
      <c r="N35" s="1117">
        <v>45670</v>
      </c>
      <c r="O35" s="1117">
        <v>45666</v>
      </c>
      <c r="P35" s="1118"/>
      <c r="Q35" s="1119" t="s">
        <v>1480</v>
      </c>
      <c r="R35" s="1142" t="s">
        <v>2082</v>
      </c>
      <c r="S35" s="1147">
        <v>45603</v>
      </c>
      <c r="T35" s="1137" t="s">
        <v>58</v>
      </c>
      <c r="U35" s="1137">
        <v>45603</v>
      </c>
      <c r="V35" s="1143" t="s">
        <v>2130</v>
      </c>
      <c r="W35" s="1148" t="s">
        <v>2084</v>
      </c>
      <c r="X35" s="1149" t="s">
        <v>737</v>
      </c>
      <c r="Y35" s="1174">
        <v>2.8633</v>
      </c>
      <c r="Z35" s="1166">
        <f t="shared" si="6"/>
        <v>3470.3196</v>
      </c>
      <c r="AA35" s="1167" t="s">
        <v>2085</v>
      </c>
      <c r="AB35" s="1137" t="s">
        <v>63</v>
      </c>
      <c r="AC35" s="1137" t="s">
        <v>2040</v>
      </c>
      <c r="AD35" s="1175">
        <v>1212</v>
      </c>
      <c r="AE35" s="1167">
        <f t="shared" si="7"/>
        <v>0</v>
      </c>
      <c r="AF35" s="1173" t="s">
        <v>327</v>
      </c>
      <c r="AG35" s="1173"/>
      <c r="AH35" s="1188">
        <f t="shared" si="8"/>
        <v>404</v>
      </c>
      <c r="AI35" s="1188">
        <f t="shared" si="9"/>
        <v>404</v>
      </c>
      <c r="AJ35" s="1188">
        <f t="shared" si="10"/>
        <v>404</v>
      </c>
      <c r="AK35" s="1198"/>
      <c r="AL35" s="1199"/>
      <c r="AM35" s="1199"/>
      <c r="AN35" s="1199"/>
      <c r="AO35" s="1199"/>
      <c r="AP35" s="1199"/>
      <c r="AQ35" s="1199"/>
      <c r="AR35" s="1214">
        <f t="shared" si="11"/>
        <v>1212</v>
      </c>
      <c r="AS35" s="1221"/>
      <c r="AT35" s="1222"/>
      <c r="AU35" s="1199"/>
      <c r="AV35" s="1199"/>
      <c r="AW35" s="1214">
        <f t="shared" si="12"/>
        <v>1212</v>
      </c>
      <c r="AX35" s="1199"/>
      <c r="AY35" s="1199"/>
      <c r="AZ35" s="1199"/>
      <c r="BA35" s="1214"/>
      <c r="BB35" s="1214"/>
      <c r="BC35" s="1189"/>
      <c r="BD35" s="1214"/>
      <c r="BE35" s="1257"/>
      <c r="BF35" s="1257"/>
      <c r="BG35" s="1188"/>
      <c r="BI35" s="1262"/>
      <c r="BJ35" s="1262"/>
      <c r="BK35" s="1262"/>
    </row>
    <row r="36" s="1053" customFormat="1" ht="31" customHeight="1" spans="1:63">
      <c r="A36" s="1100">
        <v>45638</v>
      </c>
      <c r="B36" s="1101" t="s">
        <v>2076</v>
      </c>
      <c r="C36" s="1102" t="s">
        <v>91</v>
      </c>
      <c r="D36" s="1101">
        <v>4500153786</v>
      </c>
      <c r="E36" s="1103">
        <v>4551343249</v>
      </c>
      <c r="F36" s="1101" t="s">
        <v>2132</v>
      </c>
      <c r="G36" s="1101" t="s">
        <v>2079</v>
      </c>
      <c r="H36" s="1101" t="s">
        <v>2079</v>
      </c>
      <c r="I36" s="1098" t="s">
        <v>2080</v>
      </c>
      <c r="J36" s="1120">
        <v>2724</v>
      </c>
      <c r="K36" s="1097">
        <v>0</v>
      </c>
      <c r="L36" s="1097">
        <v>6</v>
      </c>
      <c r="M36" s="1114">
        <f t="shared" si="5"/>
        <v>454</v>
      </c>
      <c r="N36" s="1117">
        <v>45670</v>
      </c>
      <c r="O36" s="1117">
        <v>45666</v>
      </c>
      <c r="P36" s="1118"/>
      <c r="Q36" s="1119" t="s">
        <v>1480</v>
      </c>
      <c r="R36" s="1142" t="s">
        <v>2082</v>
      </c>
      <c r="S36" s="1147">
        <v>45603</v>
      </c>
      <c r="T36" s="1137" t="s">
        <v>58</v>
      </c>
      <c r="U36" s="1137">
        <v>45603</v>
      </c>
      <c r="V36" s="1143" t="s">
        <v>2130</v>
      </c>
      <c r="W36" s="1148" t="s">
        <v>2084</v>
      </c>
      <c r="X36" s="1149" t="s">
        <v>737</v>
      </c>
      <c r="Y36" s="1174">
        <v>2.7936</v>
      </c>
      <c r="Z36" s="1166">
        <f t="shared" si="6"/>
        <v>7609.7664</v>
      </c>
      <c r="AA36" s="1167" t="s">
        <v>2085</v>
      </c>
      <c r="AB36" s="1137" t="s">
        <v>63</v>
      </c>
      <c r="AC36" s="1137" t="s">
        <v>2040</v>
      </c>
      <c r="AD36" s="1175">
        <v>2724</v>
      </c>
      <c r="AE36" s="1167">
        <f t="shared" si="7"/>
        <v>0</v>
      </c>
      <c r="AF36" s="1173" t="s">
        <v>327</v>
      </c>
      <c r="AG36" s="1173"/>
      <c r="AH36" s="1188">
        <f t="shared" si="8"/>
        <v>908</v>
      </c>
      <c r="AI36" s="1188">
        <f t="shared" si="9"/>
        <v>908</v>
      </c>
      <c r="AJ36" s="1188">
        <f t="shared" si="10"/>
        <v>908</v>
      </c>
      <c r="AK36" s="1198"/>
      <c r="AL36" s="1199"/>
      <c r="AM36" s="1199"/>
      <c r="AN36" s="1199"/>
      <c r="AO36" s="1199"/>
      <c r="AP36" s="1199"/>
      <c r="AQ36" s="1199"/>
      <c r="AR36" s="1214">
        <f t="shared" si="11"/>
        <v>2724</v>
      </c>
      <c r="AS36" s="1221"/>
      <c r="AT36" s="1222"/>
      <c r="AU36" s="1199"/>
      <c r="AV36" s="1199"/>
      <c r="AW36" s="1214">
        <f t="shared" si="12"/>
        <v>2724</v>
      </c>
      <c r="AX36" s="1199"/>
      <c r="AY36" s="1199"/>
      <c r="AZ36" s="1199"/>
      <c r="BA36" s="1214"/>
      <c r="BB36" s="1214"/>
      <c r="BC36" s="1189"/>
      <c r="BD36" s="1214"/>
      <c r="BE36" s="1257"/>
      <c r="BF36" s="1257"/>
      <c r="BG36" s="1188"/>
      <c r="BI36" s="1262"/>
      <c r="BJ36" s="1262"/>
      <c r="BK36" s="1262"/>
    </row>
    <row r="37" s="1053" customFormat="1" ht="31" customHeight="1" spans="1:63">
      <c r="A37" s="1100">
        <v>45638</v>
      </c>
      <c r="B37" s="1101" t="s">
        <v>2076</v>
      </c>
      <c r="C37" s="1102" t="s">
        <v>91</v>
      </c>
      <c r="D37" s="1101">
        <v>4500153786</v>
      </c>
      <c r="E37" s="1103">
        <v>4551343701</v>
      </c>
      <c r="F37" s="1101" t="s">
        <v>2133</v>
      </c>
      <c r="G37" s="1101" t="s">
        <v>2079</v>
      </c>
      <c r="H37" s="1101" t="s">
        <v>2079</v>
      </c>
      <c r="I37" s="1098" t="s">
        <v>2080</v>
      </c>
      <c r="J37" s="1120">
        <v>2358</v>
      </c>
      <c r="K37" s="1097">
        <v>0</v>
      </c>
      <c r="L37" s="1097">
        <v>6</v>
      </c>
      <c r="M37" s="1114">
        <f t="shared" si="5"/>
        <v>393</v>
      </c>
      <c r="N37" s="1117">
        <v>45670</v>
      </c>
      <c r="O37" s="1117">
        <v>45666</v>
      </c>
      <c r="P37" s="1118"/>
      <c r="Q37" s="1119" t="s">
        <v>1480</v>
      </c>
      <c r="R37" s="1142" t="s">
        <v>2082</v>
      </c>
      <c r="S37" s="1147">
        <v>45603</v>
      </c>
      <c r="T37" s="1137" t="s">
        <v>58</v>
      </c>
      <c r="U37" s="1137">
        <v>45603</v>
      </c>
      <c r="V37" s="1143" t="s">
        <v>2130</v>
      </c>
      <c r="W37" s="1148" t="s">
        <v>2084</v>
      </c>
      <c r="X37" s="1149" t="s">
        <v>737</v>
      </c>
      <c r="Y37" s="1174">
        <v>2.7936</v>
      </c>
      <c r="Z37" s="1166">
        <f t="shared" si="6"/>
        <v>6587.3088</v>
      </c>
      <c r="AA37" s="1167" t="s">
        <v>2085</v>
      </c>
      <c r="AB37" s="1137" t="s">
        <v>63</v>
      </c>
      <c r="AC37" s="1137" t="s">
        <v>2040</v>
      </c>
      <c r="AD37" s="1175">
        <v>2358</v>
      </c>
      <c r="AE37" s="1167">
        <f t="shared" si="7"/>
        <v>0</v>
      </c>
      <c r="AF37" s="1173" t="s">
        <v>327</v>
      </c>
      <c r="AG37" s="1173"/>
      <c r="AH37" s="1188">
        <f t="shared" si="8"/>
        <v>786</v>
      </c>
      <c r="AI37" s="1188">
        <f t="shared" si="9"/>
        <v>786</v>
      </c>
      <c r="AJ37" s="1188">
        <f t="shared" si="10"/>
        <v>786</v>
      </c>
      <c r="AK37" s="1198"/>
      <c r="AL37" s="1199"/>
      <c r="AM37" s="1199"/>
      <c r="AN37" s="1199"/>
      <c r="AO37" s="1199"/>
      <c r="AP37" s="1199"/>
      <c r="AQ37" s="1199"/>
      <c r="AR37" s="1214">
        <f t="shared" si="11"/>
        <v>2358</v>
      </c>
      <c r="AS37" s="1221"/>
      <c r="AT37" s="1222"/>
      <c r="AU37" s="1199"/>
      <c r="AV37" s="1199"/>
      <c r="AW37" s="1214">
        <f t="shared" si="12"/>
        <v>2358</v>
      </c>
      <c r="AX37" s="1199"/>
      <c r="AY37" s="1199"/>
      <c r="AZ37" s="1199"/>
      <c r="BA37" s="1214"/>
      <c r="BB37" s="1214"/>
      <c r="BC37" s="1189"/>
      <c r="BD37" s="1214"/>
      <c r="BE37" s="1257"/>
      <c r="BF37" s="1257"/>
      <c r="BG37" s="1188"/>
      <c r="BI37" s="1262"/>
      <c r="BJ37" s="1262"/>
      <c r="BK37" s="1262"/>
    </row>
    <row r="38" s="1053" customFormat="1" ht="31" customHeight="1" spans="1:63">
      <c r="A38" s="1100">
        <v>45638</v>
      </c>
      <c r="B38" s="1101" t="s">
        <v>2076</v>
      </c>
      <c r="C38" s="1102" t="s">
        <v>91</v>
      </c>
      <c r="D38" s="1101">
        <v>4500153786</v>
      </c>
      <c r="E38" s="1103">
        <v>4551343761</v>
      </c>
      <c r="F38" s="1101" t="s">
        <v>2134</v>
      </c>
      <c r="G38" s="1101" t="s">
        <v>2079</v>
      </c>
      <c r="H38" s="1101" t="s">
        <v>2079</v>
      </c>
      <c r="I38" s="1098" t="s">
        <v>2080</v>
      </c>
      <c r="J38" s="1120">
        <v>1638</v>
      </c>
      <c r="K38" s="1097">
        <v>0</v>
      </c>
      <c r="L38" s="1097">
        <v>6</v>
      </c>
      <c r="M38" s="1114">
        <f t="shared" si="5"/>
        <v>273</v>
      </c>
      <c r="N38" s="1117">
        <v>45670</v>
      </c>
      <c r="O38" s="1117">
        <v>45666</v>
      </c>
      <c r="P38" s="1118"/>
      <c r="Q38" s="1119" t="s">
        <v>1480</v>
      </c>
      <c r="R38" s="1142" t="s">
        <v>2082</v>
      </c>
      <c r="S38" s="1147">
        <v>45603</v>
      </c>
      <c r="T38" s="1137" t="s">
        <v>58</v>
      </c>
      <c r="U38" s="1137">
        <v>45603</v>
      </c>
      <c r="V38" s="1143" t="s">
        <v>2130</v>
      </c>
      <c r="W38" s="1148" t="s">
        <v>2084</v>
      </c>
      <c r="X38" s="1149" t="s">
        <v>737</v>
      </c>
      <c r="Y38" s="1174">
        <v>3.0481</v>
      </c>
      <c r="Z38" s="1166">
        <f t="shared" si="6"/>
        <v>4992.7878</v>
      </c>
      <c r="AA38" s="1167" t="s">
        <v>2085</v>
      </c>
      <c r="AB38" s="1137" t="s">
        <v>63</v>
      </c>
      <c r="AC38" s="1137" t="s">
        <v>2040</v>
      </c>
      <c r="AD38" s="1175">
        <v>1638</v>
      </c>
      <c r="AE38" s="1167">
        <f t="shared" si="7"/>
        <v>0</v>
      </c>
      <c r="AF38" s="1173" t="s">
        <v>327</v>
      </c>
      <c r="AG38" s="1173"/>
      <c r="AH38" s="1188">
        <f t="shared" si="8"/>
        <v>546</v>
      </c>
      <c r="AI38" s="1188">
        <f t="shared" si="9"/>
        <v>546</v>
      </c>
      <c r="AJ38" s="1188">
        <f t="shared" si="10"/>
        <v>546</v>
      </c>
      <c r="AK38" s="1198"/>
      <c r="AL38" s="1199"/>
      <c r="AM38" s="1199"/>
      <c r="AN38" s="1199"/>
      <c r="AO38" s="1199"/>
      <c r="AP38" s="1199"/>
      <c r="AQ38" s="1199"/>
      <c r="AR38" s="1214">
        <f t="shared" si="11"/>
        <v>1638</v>
      </c>
      <c r="AS38" s="1221"/>
      <c r="AT38" s="1222"/>
      <c r="AU38" s="1199"/>
      <c r="AV38" s="1199"/>
      <c r="AW38" s="1214">
        <f t="shared" si="12"/>
        <v>1638</v>
      </c>
      <c r="AX38" s="1199"/>
      <c r="AY38" s="1199"/>
      <c r="AZ38" s="1199"/>
      <c r="BA38" s="1214"/>
      <c r="BB38" s="1214"/>
      <c r="BC38" s="1189"/>
      <c r="BD38" s="1214"/>
      <c r="BE38" s="1257"/>
      <c r="BF38" s="1257"/>
      <c r="BG38" s="1188"/>
      <c r="BI38" s="1262"/>
      <c r="BJ38" s="1262"/>
      <c r="BK38" s="1262"/>
    </row>
    <row r="39" s="1053" customFormat="1" ht="31" customHeight="1" spans="1:63">
      <c r="A39" s="1100">
        <v>45638</v>
      </c>
      <c r="B39" s="1101" t="s">
        <v>2076</v>
      </c>
      <c r="C39" s="1102" t="s">
        <v>91</v>
      </c>
      <c r="D39" s="1101">
        <v>4500153786</v>
      </c>
      <c r="E39" s="1103">
        <v>4551343114</v>
      </c>
      <c r="F39" s="1101" t="s">
        <v>2135</v>
      </c>
      <c r="G39" s="1101" t="s">
        <v>2079</v>
      </c>
      <c r="H39" s="1101" t="s">
        <v>2079</v>
      </c>
      <c r="I39" s="1098" t="s">
        <v>2080</v>
      </c>
      <c r="J39" s="1120">
        <v>1992</v>
      </c>
      <c r="K39" s="1097">
        <v>0</v>
      </c>
      <c r="L39" s="1097">
        <v>6</v>
      </c>
      <c r="M39" s="1114">
        <f t="shared" si="5"/>
        <v>332</v>
      </c>
      <c r="N39" s="1117">
        <v>45670</v>
      </c>
      <c r="O39" s="1117">
        <v>45666</v>
      </c>
      <c r="P39" s="1118"/>
      <c r="Q39" s="1119" t="s">
        <v>1480</v>
      </c>
      <c r="R39" s="1142" t="s">
        <v>2082</v>
      </c>
      <c r="S39" s="1147">
        <v>45603</v>
      </c>
      <c r="T39" s="1137" t="s">
        <v>58</v>
      </c>
      <c r="U39" s="1137">
        <v>45603</v>
      </c>
      <c r="V39" s="1143" t="s">
        <v>2130</v>
      </c>
      <c r="W39" s="1148" t="s">
        <v>2084</v>
      </c>
      <c r="X39" s="1149" t="s">
        <v>737</v>
      </c>
      <c r="Y39" s="1174">
        <v>3.0481</v>
      </c>
      <c r="Z39" s="1166">
        <f t="shared" si="6"/>
        <v>6071.8152</v>
      </c>
      <c r="AA39" s="1167" t="s">
        <v>2085</v>
      </c>
      <c r="AB39" s="1137" t="s">
        <v>63</v>
      </c>
      <c r="AC39" s="1137" t="s">
        <v>2040</v>
      </c>
      <c r="AD39" s="1175">
        <v>1992</v>
      </c>
      <c r="AE39" s="1167">
        <f t="shared" si="7"/>
        <v>0</v>
      </c>
      <c r="AF39" s="1173" t="s">
        <v>327</v>
      </c>
      <c r="AG39" s="1173"/>
      <c r="AH39" s="1188">
        <f t="shared" si="8"/>
        <v>664</v>
      </c>
      <c r="AI39" s="1188">
        <f t="shared" si="9"/>
        <v>664</v>
      </c>
      <c r="AJ39" s="1188">
        <f t="shared" si="10"/>
        <v>664</v>
      </c>
      <c r="AK39" s="1192"/>
      <c r="AL39" s="1193"/>
      <c r="AM39" s="1193"/>
      <c r="AN39" s="1193"/>
      <c r="AO39" s="1193"/>
      <c r="AP39" s="1193"/>
      <c r="AQ39" s="1193"/>
      <c r="AR39" s="1214">
        <f t="shared" si="11"/>
        <v>1992</v>
      </c>
      <c r="AS39" s="1215"/>
      <c r="AT39" s="1216"/>
      <c r="AU39" s="1193"/>
      <c r="AV39" s="1193"/>
      <c r="AW39" s="1214">
        <f t="shared" si="12"/>
        <v>1992</v>
      </c>
      <c r="AX39" s="1193"/>
      <c r="AY39" s="1193"/>
      <c r="AZ39" s="1193"/>
      <c r="BA39" s="1214"/>
      <c r="BB39" s="1214"/>
      <c r="BC39" s="1189"/>
      <c r="BD39" s="1214"/>
      <c r="BE39" s="1257"/>
      <c r="BF39" s="1257"/>
      <c r="BG39" s="1188"/>
      <c r="BI39" s="1048"/>
      <c r="BJ39" s="1048"/>
      <c r="BK39" s="1048"/>
    </row>
    <row r="40" s="1053" customFormat="1" ht="31" customHeight="1" spans="1:63">
      <c r="A40" s="1100">
        <v>45638</v>
      </c>
      <c r="B40" s="1101" t="s">
        <v>2076</v>
      </c>
      <c r="C40" s="1102" t="s">
        <v>91</v>
      </c>
      <c r="D40" s="1101">
        <v>4500153786</v>
      </c>
      <c r="E40" s="1103">
        <v>4551343541</v>
      </c>
      <c r="F40" s="1101" t="s">
        <v>2136</v>
      </c>
      <c r="G40" s="1101" t="s">
        <v>2079</v>
      </c>
      <c r="H40" s="1101" t="s">
        <v>2079</v>
      </c>
      <c r="I40" s="1098" t="s">
        <v>2080</v>
      </c>
      <c r="J40" s="1120">
        <v>1776</v>
      </c>
      <c r="K40" s="1097">
        <v>0</v>
      </c>
      <c r="L40" s="1097">
        <v>6</v>
      </c>
      <c r="M40" s="1114">
        <f t="shared" si="5"/>
        <v>296</v>
      </c>
      <c r="N40" s="1117">
        <v>45670</v>
      </c>
      <c r="O40" s="1117">
        <v>45666</v>
      </c>
      <c r="P40" s="1118"/>
      <c r="Q40" s="1119" t="s">
        <v>1480</v>
      </c>
      <c r="R40" s="1142" t="s">
        <v>2082</v>
      </c>
      <c r="S40" s="1147">
        <v>45603</v>
      </c>
      <c r="T40" s="1137" t="s">
        <v>58</v>
      </c>
      <c r="U40" s="1137">
        <v>45603</v>
      </c>
      <c r="V40" s="1143" t="s">
        <v>2130</v>
      </c>
      <c r="W40" s="1148" t="s">
        <v>2084</v>
      </c>
      <c r="X40" s="1149" t="s">
        <v>737</v>
      </c>
      <c r="Y40" s="1174">
        <v>2.8633</v>
      </c>
      <c r="Z40" s="1166">
        <f t="shared" si="6"/>
        <v>5085.2208</v>
      </c>
      <c r="AA40" s="1167" t="s">
        <v>2085</v>
      </c>
      <c r="AB40" s="1137" t="s">
        <v>63</v>
      </c>
      <c r="AC40" s="1137" t="s">
        <v>2040</v>
      </c>
      <c r="AD40" s="1175">
        <v>1776</v>
      </c>
      <c r="AE40" s="1167">
        <f t="shared" si="7"/>
        <v>0</v>
      </c>
      <c r="AF40" s="1173" t="s">
        <v>327</v>
      </c>
      <c r="AG40" s="1173"/>
      <c r="AH40" s="1188">
        <f t="shared" si="8"/>
        <v>592</v>
      </c>
      <c r="AI40" s="1188">
        <f t="shared" si="9"/>
        <v>592</v>
      </c>
      <c r="AJ40" s="1188">
        <f t="shared" si="10"/>
        <v>592</v>
      </c>
      <c r="AK40" s="1192"/>
      <c r="AL40" s="1193"/>
      <c r="AM40" s="1193"/>
      <c r="AN40" s="1193"/>
      <c r="AO40" s="1193"/>
      <c r="AP40" s="1193"/>
      <c r="AQ40" s="1193"/>
      <c r="AR40" s="1214">
        <f t="shared" si="11"/>
        <v>1776</v>
      </c>
      <c r="AS40" s="1215"/>
      <c r="AT40" s="1216"/>
      <c r="AU40" s="1193"/>
      <c r="AV40" s="1193"/>
      <c r="AW40" s="1214">
        <f t="shared" si="12"/>
        <v>1776</v>
      </c>
      <c r="AX40" s="1193"/>
      <c r="AY40" s="1193"/>
      <c r="AZ40" s="1193"/>
      <c r="BA40" s="1214"/>
      <c r="BB40" s="1214"/>
      <c r="BC40" s="1189"/>
      <c r="BD40" s="1214"/>
      <c r="BE40" s="1257"/>
      <c r="BF40" s="1257"/>
      <c r="BG40" s="1188"/>
      <c r="BI40" s="1048"/>
      <c r="BJ40" s="1048"/>
      <c r="BK40" s="1048"/>
    </row>
    <row r="41" s="1053" customFormat="1" ht="31" customHeight="1" spans="1:63">
      <c r="A41" s="1100">
        <v>45618</v>
      </c>
      <c r="B41" s="1101" t="s">
        <v>2137</v>
      </c>
      <c r="C41" s="1102" t="s">
        <v>1613</v>
      </c>
      <c r="D41" s="1101">
        <v>4500152011</v>
      </c>
      <c r="E41" s="1103" t="s">
        <v>2138</v>
      </c>
      <c r="F41" s="1101" t="s">
        <v>2139</v>
      </c>
      <c r="G41" s="1101" t="s">
        <v>2109</v>
      </c>
      <c r="H41" s="1101" t="s">
        <v>2109</v>
      </c>
      <c r="I41" s="1098" t="s">
        <v>2042</v>
      </c>
      <c r="J41" s="1120">
        <v>504</v>
      </c>
      <c r="K41" s="1097">
        <v>0</v>
      </c>
      <c r="L41" s="1097">
        <v>24</v>
      </c>
      <c r="M41" s="1114">
        <f t="shared" si="5"/>
        <v>21</v>
      </c>
      <c r="N41" s="1117">
        <v>45667</v>
      </c>
      <c r="O41" s="1117">
        <v>45663</v>
      </c>
      <c r="P41" s="1119"/>
      <c r="Q41" s="1119" t="s">
        <v>1480</v>
      </c>
      <c r="R41" s="1142" t="s">
        <v>2140</v>
      </c>
      <c r="S41" s="1147" t="s">
        <v>2141</v>
      </c>
      <c r="T41" s="1137" t="s">
        <v>2112</v>
      </c>
      <c r="U41" s="1137">
        <v>45644</v>
      </c>
      <c r="V41" s="1143" t="s">
        <v>2142</v>
      </c>
      <c r="W41" s="1148" t="s">
        <v>2143</v>
      </c>
      <c r="X41" s="1146" t="s">
        <v>2144</v>
      </c>
      <c r="Y41" s="1165">
        <v>2.8799</v>
      </c>
      <c r="Z41" s="1166">
        <f t="shared" si="6"/>
        <v>1451.4696</v>
      </c>
      <c r="AA41" s="1167" t="s">
        <v>2145</v>
      </c>
      <c r="AB41" s="1137" t="s">
        <v>63</v>
      </c>
      <c r="AC41" s="1137" t="s">
        <v>2040</v>
      </c>
      <c r="AD41" s="1175">
        <v>504</v>
      </c>
      <c r="AE41" s="1167">
        <f t="shared" si="7"/>
        <v>0</v>
      </c>
      <c r="AF41" s="1173"/>
      <c r="AG41" s="1173"/>
      <c r="AH41" s="1188"/>
      <c r="AI41" s="1188"/>
      <c r="AJ41" s="1188">
        <f>J41</f>
        <v>504</v>
      </c>
      <c r="AK41" s="1202"/>
      <c r="AL41" s="1203"/>
      <c r="AM41" s="1203"/>
      <c r="AN41" s="1203"/>
      <c r="AO41" s="1203"/>
      <c r="AP41" s="1203"/>
      <c r="AQ41" s="1203"/>
      <c r="AR41" s="1214">
        <f t="shared" si="11"/>
        <v>504</v>
      </c>
      <c r="AS41" s="1226"/>
      <c r="AT41" s="1227"/>
      <c r="AU41" s="1228"/>
      <c r="AV41" s="1228"/>
      <c r="AW41" s="1214"/>
      <c r="AX41" s="1203"/>
      <c r="AY41" s="1203"/>
      <c r="AZ41" s="1203"/>
      <c r="BA41" s="1214"/>
      <c r="BB41" s="1214"/>
      <c r="BC41" s="1189"/>
      <c r="BD41" s="1214"/>
      <c r="BE41" s="1257"/>
      <c r="BF41" s="1257">
        <f>J41</f>
        <v>504</v>
      </c>
      <c r="BG41" s="1188"/>
      <c r="BI41" s="1263"/>
      <c r="BJ41" s="1263"/>
      <c r="BK41" s="1263"/>
    </row>
    <row r="42" s="1053" customFormat="1" ht="31" customHeight="1" spans="1:63">
      <c r="A42" s="1100">
        <v>45622</v>
      </c>
      <c r="B42" s="1101" t="s">
        <v>2146</v>
      </c>
      <c r="C42" s="1102" t="s">
        <v>91</v>
      </c>
      <c r="D42" s="1101">
        <v>4500152523</v>
      </c>
      <c r="E42" s="1103" t="s">
        <v>2147</v>
      </c>
      <c r="F42" s="1101" t="s">
        <v>2148</v>
      </c>
      <c r="G42" s="1101" t="s">
        <v>2149</v>
      </c>
      <c r="H42" s="1101" t="s">
        <v>2149</v>
      </c>
      <c r="I42" s="1098" t="s">
        <v>2052</v>
      </c>
      <c r="J42" s="1120">
        <v>10032</v>
      </c>
      <c r="K42" s="1097">
        <v>0</v>
      </c>
      <c r="L42" s="1097">
        <v>6</v>
      </c>
      <c r="M42" s="1114">
        <f t="shared" si="5"/>
        <v>1672</v>
      </c>
      <c r="N42" s="1117">
        <v>45657</v>
      </c>
      <c r="O42" s="1117">
        <v>45653</v>
      </c>
      <c r="P42" s="1119"/>
      <c r="Q42" s="1119" t="s">
        <v>1480</v>
      </c>
      <c r="R42" s="1142" t="s">
        <v>2105</v>
      </c>
      <c r="S42" s="1147">
        <v>45622</v>
      </c>
      <c r="T42" s="1137" t="s">
        <v>2112</v>
      </c>
      <c r="U42" s="1137">
        <v>45632</v>
      </c>
      <c r="V42" s="1143" t="s">
        <v>2150</v>
      </c>
      <c r="W42" s="1148" t="s">
        <v>2151</v>
      </c>
      <c r="X42" s="1150" t="s">
        <v>2152</v>
      </c>
      <c r="Y42" s="1165">
        <v>2.6901</v>
      </c>
      <c r="Z42" s="1166">
        <f t="shared" si="6"/>
        <v>26987.0832</v>
      </c>
      <c r="AA42" s="1167" t="s">
        <v>2153</v>
      </c>
      <c r="AB42" s="1137" t="s">
        <v>63</v>
      </c>
      <c r="AC42" s="1137" t="s">
        <v>2040</v>
      </c>
      <c r="AD42" s="1175">
        <f>10002+30</f>
        <v>10032</v>
      </c>
      <c r="AE42" s="1167">
        <f t="shared" si="7"/>
        <v>0</v>
      </c>
      <c r="AF42" s="1173" t="s">
        <v>327</v>
      </c>
      <c r="AG42" s="1173"/>
      <c r="AH42" s="1188">
        <f>J42</f>
        <v>10032</v>
      </c>
      <c r="AI42" s="1188"/>
      <c r="AJ42" s="1188"/>
      <c r="AK42" s="1202"/>
      <c r="AL42" s="1203"/>
      <c r="AM42" s="1203"/>
      <c r="AN42" s="1203"/>
      <c r="AO42" s="1203"/>
      <c r="AP42" s="1203"/>
      <c r="AQ42" s="1203"/>
      <c r="AR42" s="1214">
        <f t="shared" si="11"/>
        <v>10032</v>
      </c>
      <c r="AS42" s="1229"/>
      <c r="AT42" s="1230"/>
      <c r="AU42" s="1203"/>
      <c r="AV42" s="1203"/>
      <c r="AW42" s="1214"/>
      <c r="AX42" s="1203"/>
      <c r="AY42" s="1203"/>
      <c r="AZ42" s="1203"/>
      <c r="BA42" s="1214"/>
      <c r="BB42" s="1214"/>
      <c r="BC42" s="1189"/>
      <c r="BD42" s="1214"/>
      <c r="BE42" s="1257"/>
      <c r="BF42" s="1257">
        <f>J42</f>
        <v>10032</v>
      </c>
      <c r="BG42" s="1188"/>
      <c r="BI42" s="1263"/>
      <c r="BJ42" s="1263"/>
      <c r="BK42" s="1263"/>
    </row>
    <row r="43" s="1053" customFormat="1" ht="31" customHeight="1" spans="1:63">
      <c r="A43" s="1100">
        <v>45629</v>
      </c>
      <c r="B43" s="1101" t="s">
        <v>2154</v>
      </c>
      <c r="C43" s="1102" t="s">
        <v>258</v>
      </c>
      <c r="D43" s="1101">
        <v>4500153185</v>
      </c>
      <c r="E43" s="1103">
        <v>11187</v>
      </c>
      <c r="F43" s="1101" t="s">
        <v>2155</v>
      </c>
      <c r="G43" s="1101" t="s">
        <v>2118</v>
      </c>
      <c r="H43" s="1101" t="s">
        <v>2118</v>
      </c>
      <c r="I43" s="1098" t="s">
        <v>2119</v>
      </c>
      <c r="J43" s="1120">
        <v>600</v>
      </c>
      <c r="K43" s="1097">
        <v>0</v>
      </c>
      <c r="L43" s="1097">
        <v>12</v>
      </c>
      <c r="M43" s="1114">
        <f t="shared" si="5"/>
        <v>50</v>
      </c>
      <c r="N43" s="1117">
        <v>45664</v>
      </c>
      <c r="O43" s="1117">
        <v>45660</v>
      </c>
      <c r="P43" s="1119"/>
      <c r="Q43" s="1119" t="s">
        <v>1480</v>
      </c>
      <c r="R43" s="1142" t="s">
        <v>2156</v>
      </c>
      <c r="S43" s="1147">
        <v>45629</v>
      </c>
      <c r="T43" s="1151" t="s">
        <v>58</v>
      </c>
      <c r="U43" s="1151" t="s">
        <v>58</v>
      </c>
      <c r="V43" s="1143" t="s">
        <v>261</v>
      </c>
      <c r="W43" s="1148" t="s">
        <v>2157</v>
      </c>
      <c r="X43" s="1146" t="s">
        <v>263</v>
      </c>
      <c r="Y43" s="1165">
        <v>3.0668</v>
      </c>
      <c r="Z43" s="1166">
        <f t="shared" si="6"/>
        <v>1840.08</v>
      </c>
      <c r="AA43" s="1167" t="s">
        <v>2158</v>
      </c>
      <c r="AB43" s="1137" t="s">
        <v>63</v>
      </c>
      <c r="AC43" s="1137" t="s">
        <v>2040</v>
      </c>
      <c r="AD43" s="1175">
        <v>600</v>
      </c>
      <c r="AE43" s="1167">
        <f t="shared" si="7"/>
        <v>0</v>
      </c>
      <c r="AF43" s="1173" t="s">
        <v>58</v>
      </c>
      <c r="AG43" s="1173"/>
      <c r="AH43" s="1188">
        <f>J43/3</f>
        <v>200</v>
      </c>
      <c r="AI43" s="1188">
        <f>J43/3</f>
        <v>200</v>
      </c>
      <c r="AJ43" s="1188">
        <f>J43/3</f>
        <v>200</v>
      </c>
      <c r="AK43" s="1200"/>
      <c r="AL43" s="1201"/>
      <c r="AM43" s="1201"/>
      <c r="AN43" s="1201"/>
      <c r="AO43" s="1201"/>
      <c r="AP43" s="1201"/>
      <c r="AQ43" s="1201"/>
      <c r="AR43" s="1214">
        <f t="shared" si="11"/>
        <v>600</v>
      </c>
      <c r="AS43" s="1223"/>
      <c r="AT43" s="1224"/>
      <c r="AU43" s="1225"/>
      <c r="AV43" s="1225"/>
      <c r="AW43" s="1214">
        <f>J43</f>
        <v>600</v>
      </c>
      <c r="AX43" s="1201"/>
      <c r="AY43" s="1201"/>
      <c r="AZ43" s="1201"/>
      <c r="BA43" s="1214"/>
      <c r="BB43" s="1214"/>
      <c r="BC43" s="1189"/>
      <c r="BD43" s="1214"/>
      <c r="BE43" s="1257"/>
      <c r="BF43" s="1257"/>
      <c r="BG43" s="1188"/>
      <c r="BI43" s="1054"/>
      <c r="BJ43" s="1054"/>
      <c r="BK43" s="1054"/>
    </row>
    <row r="44" s="1053" customFormat="1" ht="31" customHeight="1" spans="1:63">
      <c r="A44" s="1100">
        <v>45603</v>
      </c>
      <c r="B44" s="1101" t="s">
        <v>2159</v>
      </c>
      <c r="C44" s="1102" t="s">
        <v>91</v>
      </c>
      <c r="D44" s="1101">
        <v>4500150306</v>
      </c>
      <c r="E44" s="1103">
        <v>70052803</v>
      </c>
      <c r="F44" s="1101" t="s">
        <v>2160</v>
      </c>
      <c r="G44" s="1101" t="s">
        <v>2118</v>
      </c>
      <c r="H44" s="1101" t="s">
        <v>2118</v>
      </c>
      <c r="I44" s="1098" t="s">
        <v>2119</v>
      </c>
      <c r="J44" s="1120">
        <v>1200</v>
      </c>
      <c r="K44" s="1097">
        <v>0</v>
      </c>
      <c r="L44" s="1097">
        <v>12</v>
      </c>
      <c r="M44" s="1114">
        <f t="shared" si="5"/>
        <v>100</v>
      </c>
      <c r="N44" s="1117">
        <v>45670</v>
      </c>
      <c r="O44" s="1117">
        <v>45666</v>
      </c>
      <c r="P44" s="1119"/>
      <c r="Q44" s="1119" t="s">
        <v>1480</v>
      </c>
      <c r="R44" s="1142" t="s">
        <v>2161</v>
      </c>
      <c r="S44" s="1147" t="s">
        <v>2120</v>
      </c>
      <c r="T44" s="1137" t="s">
        <v>58</v>
      </c>
      <c r="U44" s="1137">
        <v>45628</v>
      </c>
      <c r="V44" s="1143" t="s">
        <v>235</v>
      </c>
      <c r="W44" s="1148" t="s">
        <v>359</v>
      </c>
      <c r="X44" s="1146" t="s">
        <v>237</v>
      </c>
      <c r="Y44" s="1165">
        <v>2.9055</v>
      </c>
      <c r="Z44" s="1166">
        <f t="shared" si="6"/>
        <v>3486.6</v>
      </c>
      <c r="AA44" s="1167"/>
      <c r="AB44" s="1137" t="s">
        <v>63</v>
      </c>
      <c r="AC44" s="1137" t="s">
        <v>2040</v>
      </c>
      <c r="AD44" s="1175">
        <v>1200</v>
      </c>
      <c r="AE44" s="1167">
        <f t="shared" si="7"/>
        <v>0</v>
      </c>
      <c r="AF44" s="1173" t="s">
        <v>327</v>
      </c>
      <c r="AG44" s="1173"/>
      <c r="AH44" s="1188">
        <f>J44/3</f>
        <v>400</v>
      </c>
      <c r="AI44" s="1188">
        <f>J44/3</f>
        <v>400</v>
      </c>
      <c r="AJ44" s="1188">
        <f>J44/3</f>
        <v>400</v>
      </c>
      <c r="AK44" s="1200"/>
      <c r="AL44" s="1201"/>
      <c r="AM44" s="1201"/>
      <c r="AN44" s="1201"/>
      <c r="AO44" s="1201"/>
      <c r="AP44" s="1201"/>
      <c r="AQ44" s="1201"/>
      <c r="AR44" s="1214">
        <f t="shared" si="11"/>
        <v>1200</v>
      </c>
      <c r="AS44" s="1223"/>
      <c r="AT44" s="1224"/>
      <c r="AU44" s="1225"/>
      <c r="AV44" s="1225"/>
      <c r="AW44" s="1214">
        <f>J44</f>
        <v>1200</v>
      </c>
      <c r="AX44" s="1201"/>
      <c r="AY44" s="1201"/>
      <c r="AZ44" s="1201"/>
      <c r="BA44" s="1214"/>
      <c r="BB44" s="1214"/>
      <c r="BC44" s="1189"/>
      <c r="BD44" s="1214"/>
      <c r="BE44" s="1257"/>
      <c r="BF44" s="1257"/>
      <c r="BG44" s="1188"/>
      <c r="BI44" s="1054"/>
      <c r="BJ44" s="1054"/>
      <c r="BK44" s="1054"/>
    </row>
    <row r="45" s="1053" customFormat="1" ht="31" customHeight="1" spans="1:63">
      <c r="A45" s="1100">
        <v>45630</v>
      </c>
      <c r="B45" s="1101" t="s">
        <v>90</v>
      </c>
      <c r="C45" s="1102" t="s">
        <v>91</v>
      </c>
      <c r="D45" s="1101">
        <v>4500153248</v>
      </c>
      <c r="E45" s="2332" t="s">
        <v>2162</v>
      </c>
      <c r="F45" s="1101" t="s">
        <v>2163</v>
      </c>
      <c r="G45" s="1104" t="s">
        <v>2044</v>
      </c>
      <c r="H45" s="1101" t="s">
        <v>2044</v>
      </c>
      <c r="I45" s="1098" t="s">
        <v>2045</v>
      </c>
      <c r="J45" s="1101">
        <v>3</v>
      </c>
      <c r="K45" s="1097">
        <v>0</v>
      </c>
      <c r="L45" s="1097">
        <v>1</v>
      </c>
      <c r="M45" s="1114">
        <f t="shared" si="5"/>
        <v>3</v>
      </c>
      <c r="N45" s="1117">
        <v>45670</v>
      </c>
      <c r="O45" s="1117">
        <v>45666</v>
      </c>
      <c r="P45" s="1118" t="s">
        <v>2164</v>
      </c>
      <c r="Q45" s="1119" t="s">
        <v>1480</v>
      </c>
      <c r="R45" s="1135" t="s">
        <v>2165</v>
      </c>
      <c r="S45" s="1144" t="s">
        <v>2036</v>
      </c>
      <c r="T45" s="1137" t="s">
        <v>58</v>
      </c>
      <c r="U45" s="1138">
        <v>45640</v>
      </c>
      <c r="V45" s="1139" t="s">
        <v>2037</v>
      </c>
      <c r="W45" s="1145" t="s">
        <v>2166</v>
      </c>
      <c r="X45" s="1149" t="s">
        <v>101</v>
      </c>
      <c r="Y45" s="1165">
        <v>1008.088</v>
      </c>
      <c r="Z45" s="1166">
        <f>Y45*M45</f>
        <v>3024.264</v>
      </c>
      <c r="AA45" s="1167" t="s">
        <v>2167</v>
      </c>
      <c r="AB45" s="1137" t="s">
        <v>63</v>
      </c>
      <c r="AC45" s="1137" t="s">
        <v>2040</v>
      </c>
      <c r="AD45" s="1168">
        <v>960</v>
      </c>
      <c r="AE45" s="1168">
        <f>AD45-J46</f>
        <v>0</v>
      </c>
      <c r="AF45" s="1170"/>
      <c r="AG45" s="1173"/>
      <c r="AH45" s="1188"/>
      <c r="AI45" s="1188"/>
      <c r="AJ45" s="1188"/>
      <c r="AK45" s="1200"/>
      <c r="AL45" s="1201"/>
      <c r="AM45" s="1201"/>
      <c r="AN45" s="1201"/>
      <c r="AO45" s="1201"/>
      <c r="AP45" s="1201"/>
      <c r="AQ45" s="1201"/>
      <c r="AR45" s="1214"/>
      <c r="AS45" s="1231"/>
      <c r="AT45" s="1232"/>
      <c r="AU45" s="1201"/>
      <c r="AV45" s="1201"/>
      <c r="AW45" s="1214"/>
      <c r="AX45" s="1201"/>
      <c r="AY45" s="1201"/>
      <c r="AZ45" s="1201"/>
      <c r="BA45" s="1214"/>
      <c r="BB45" s="1214"/>
      <c r="BC45" s="1189"/>
      <c r="BD45" s="1214"/>
      <c r="BE45" s="1257"/>
      <c r="BF45" s="1257"/>
      <c r="BG45" s="1188"/>
      <c r="BI45" s="1054"/>
      <c r="BJ45" s="1054"/>
      <c r="BK45" s="1054"/>
    </row>
    <row r="46" s="1053" customFormat="1" ht="31" customHeight="1" spans="1:63">
      <c r="A46" s="1100">
        <v>45630</v>
      </c>
      <c r="B46" s="1101" t="s">
        <v>90</v>
      </c>
      <c r="C46" s="1102" t="s">
        <v>91</v>
      </c>
      <c r="D46" s="1101">
        <v>4500153248</v>
      </c>
      <c r="E46" s="2332" t="s">
        <v>2162</v>
      </c>
      <c r="F46" s="1101" t="s">
        <v>2163</v>
      </c>
      <c r="G46" s="1101"/>
      <c r="H46" s="1101" t="s">
        <v>2051</v>
      </c>
      <c r="I46" s="1098" t="s">
        <v>2052</v>
      </c>
      <c r="J46" s="1101">
        <v>960</v>
      </c>
      <c r="K46" s="1097">
        <v>0</v>
      </c>
      <c r="L46" s="1097">
        <v>320</v>
      </c>
      <c r="M46" s="1114">
        <f t="shared" si="5"/>
        <v>3</v>
      </c>
      <c r="N46" s="1117">
        <v>45670</v>
      </c>
      <c r="O46" s="1117">
        <v>45666</v>
      </c>
      <c r="P46" s="1119"/>
      <c r="Q46" s="1119" t="s">
        <v>1480</v>
      </c>
      <c r="R46" s="1142"/>
      <c r="S46" s="1147"/>
      <c r="T46" s="1137" t="s">
        <v>58</v>
      </c>
      <c r="U46" s="1137"/>
      <c r="V46" s="1143"/>
      <c r="W46" s="1148"/>
      <c r="X46" s="1149" t="s">
        <v>101</v>
      </c>
      <c r="Y46" s="1165">
        <v>0</v>
      </c>
      <c r="Z46" s="1166">
        <f>Y46*M46</f>
        <v>0</v>
      </c>
      <c r="AA46" s="1167" t="s">
        <v>2167</v>
      </c>
      <c r="AB46" s="1137" t="s">
        <v>63</v>
      </c>
      <c r="AC46" s="1137" t="s">
        <v>2040</v>
      </c>
      <c r="AD46" s="1172"/>
      <c r="AE46" s="1172"/>
      <c r="AF46" s="1173"/>
      <c r="AG46" s="1173"/>
      <c r="AH46" s="1188">
        <f>J46</f>
        <v>960</v>
      </c>
      <c r="AI46" s="1188"/>
      <c r="AJ46" s="1188"/>
      <c r="AK46" s="1200"/>
      <c r="AL46" s="1201"/>
      <c r="AM46" s="1201"/>
      <c r="AN46" s="1201"/>
      <c r="AO46" s="1201"/>
      <c r="AP46" s="1201"/>
      <c r="AQ46" s="1201"/>
      <c r="AR46" s="1214">
        <f t="shared" ref="AR46:AR52" si="13">J46</f>
        <v>960</v>
      </c>
      <c r="AS46" s="1231"/>
      <c r="AT46" s="1232"/>
      <c r="AU46" s="1201"/>
      <c r="AV46" s="1201"/>
      <c r="AW46" s="1214"/>
      <c r="AX46" s="1201"/>
      <c r="AY46" s="1201"/>
      <c r="AZ46" s="1201"/>
      <c r="BA46" s="1214"/>
      <c r="BB46" s="1214"/>
      <c r="BC46" s="1189"/>
      <c r="BD46" s="1214"/>
      <c r="BE46" s="1257">
        <f>J46</f>
        <v>960</v>
      </c>
      <c r="BF46" s="1257"/>
      <c r="BG46" s="1188"/>
      <c r="BI46" s="1054"/>
      <c r="BJ46" s="1054"/>
      <c r="BK46" s="1054"/>
    </row>
    <row r="47" s="1053" customFormat="1" ht="31" customHeight="1" spans="1:63">
      <c r="A47" s="1100">
        <v>45558</v>
      </c>
      <c r="B47" s="1101" t="s">
        <v>1516</v>
      </c>
      <c r="C47" s="1102" t="s">
        <v>91</v>
      </c>
      <c r="D47" s="1101">
        <v>4500145922</v>
      </c>
      <c r="E47" s="1103">
        <v>10858878</v>
      </c>
      <c r="F47" s="1101" t="s">
        <v>2168</v>
      </c>
      <c r="G47" s="1101" t="s">
        <v>2169</v>
      </c>
      <c r="H47" s="1101" t="s">
        <v>2118</v>
      </c>
      <c r="I47" s="1098" t="s">
        <v>2119</v>
      </c>
      <c r="J47" s="1120">
        <v>420</v>
      </c>
      <c r="K47" s="1097">
        <v>0</v>
      </c>
      <c r="L47" s="1097">
        <v>12</v>
      </c>
      <c r="M47" s="1114">
        <f t="shared" si="5"/>
        <v>35</v>
      </c>
      <c r="N47" s="1117">
        <v>45693</v>
      </c>
      <c r="O47" s="1117">
        <v>45671</v>
      </c>
      <c r="P47" s="1119"/>
      <c r="Q47" s="1119" t="s">
        <v>1480</v>
      </c>
      <c r="R47" s="1142"/>
      <c r="S47" s="1147">
        <v>45597</v>
      </c>
      <c r="T47" s="1137" t="s">
        <v>2112</v>
      </c>
      <c r="U47" s="1137">
        <v>45651</v>
      </c>
      <c r="V47" s="1143" t="s">
        <v>2170</v>
      </c>
      <c r="W47" s="1148" t="s">
        <v>2171</v>
      </c>
      <c r="X47" s="1146" t="s">
        <v>407</v>
      </c>
      <c r="Y47" s="1165">
        <v>3.0294</v>
      </c>
      <c r="Z47" s="1166">
        <f t="shared" ref="Z47:Z52" si="14">Y47*J47</f>
        <v>1272.348</v>
      </c>
      <c r="AA47" s="1167" t="s">
        <v>1524</v>
      </c>
      <c r="AB47" s="1137" t="s">
        <v>63</v>
      </c>
      <c r="AC47" s="1137" t="s">
        <v>2040</v>
      </c>
      <c r="AD47" s="1175">
        <v>420</v>
      </c>
      <c r="AE47" s="1167">
        <f t="shared" ref="AE47:AE52" si="15">AD47-J47</f>
        <v>0</v>
      </c>
      <c r="AF47" s="1173" t="s">
        <v>327</v>
      </c>
      <c r="AG47" s="1173"/>
      <c r="AH47" s="1188">
        <f>J47/3</f>
        <v>140</v>
      </c>
      <c r="AI47" s="1188">
        <f>J47/3</f>
        <v>140</v>
      </c>
      <c r="AJ47" s="1188">
        <f>J47/3</f>
        <v>140</v>
      </c>
      <c r="AK47" s="1196"/>
      <c r="AL47" s="1197"/>
      <c r="AM47" s="1197"/>
      <c r="AN47" s="1197"/>
      <c r="AO47" s="1197"/>
      <c r="AP47" s="1197"/>
      <c r="AQ47" s="1197"/>
      <c r="AR47" s="1214">
        <f t="shared" si="13"/>
        <v>420</v>
      </c>
      <c r="AS47" s="1233"/>
      <c r="AT47" s="1234"/>
      <c r="AU47" s="1235"/>
      <c r="AV47" s="1235"/>
      <c r="AW47" s="1214"/>
      <c r="AX47" s="1197"/>
      <c r="AY47" s="1197"/>
      <c r="AZ47" s="1197"/>
      <c r="BA47" s="1214"/>
      <c r="BB47" s="1214"/>
      <c r="BC47" s="1189"/>
      <c r="BD47" s="1214">
        <f>J47</f>
        <v>420</v>
      </c>
      <c r="BE47" s="1257"/>
      <c r="BF47" s="1257"/>
      <c r="BG47" s="1188"/>
      <c r="BI47" s="1261"/>
      <c r="BJ47" s="1261"/>
      <c r="BK47" s="1261"/>
    </row>
    <row r="48" s="1053" customFormat="1" ht="31" customHeight="1" spans="1:63">
      <c r="A48" s="1100">
        <v>45558</v>
      </c>
      <c r="B48" s="1101" t="s">
        <v>1516</v>
      </c>
      <c r="C48" s="1102" t="s">
        <v>91</v>
      </c>
      <c r="D48" s="1101">
        <v>4500145919</v>
      </c>
      <c r="E48" s="1103">
        <v>10858879</v>
      </c>
      <c r="F48" s="1101" t="s">
        <v>2172</v>
      </c>
      <c r="G48" s="1101" t="s">
        <v>2169</v>
      </c>
      <c r="H48" s="1101" t="s">
        <v>2118</v>
      </c>
      <c r="I48" s="1098" t="s">
        <v>2119</v>
      </c>
      <c r="J48" s="1120">
        <v>456</v>
      </c>
      <c r="K48" s="1097">
        <v>0</v>
      </c>
      <c r="L48" s="1097">
        <v>12</v>
      </c>
      <c r="M48" s="1114">
        <f t="shared" si="5"/>
        <v>38</v>
      </c>
      <c r="N48" s="1117">
        <v>45693</v>
      </c>
      <c r="O48" s="1117">
        <v>45671</v>
      </c>
      <c r="P48" s="1119"/>
      <c r="Q48" s="1119" t="s">
        <v>1480</v>
      </c>
      <c r="R48" s="1142" t="s">
        <v>2173</v>
      </c>
      <c r="S48" s="1147">
        <v>45597</v>
      </c>
      <c r="T48" s="1137" t="s">
        <v>2112</v>
      </c>
      <c r="U48" s="1137">
        <v>45651</v>
      </c>
      <c r="V48" s="1143" t="s">
        <v>2170</v>
      </c>
      <c r="W48" s="1148" t="s">
        <v>2174</v>
      </c>
      <c r="X48" s="1146" t="s">
        <v>407</v>
      </c>
      <c r="Y48" s="1165">
        <v>3.0294</v>
      </c>
      <c r="Z48" s="1166">
        <f t="shared" si="14"/>
        <v>1381.4064</v>
      </c>
      <c r="AA48" s="1167" t="s">
        <v>1527</v>
      </c>
      <c r="AB48" s="1137" t="s">
        <v>63</v>
      </c>
      <c r="AC48" s="1137" t="s">
        <v>2040</v>
      </c>
      <c r="AD48" s="1175">
        <f>456</f>
        <v>456</v>
      </c>
      <c r="AE48" s="1167">
        <f t="shared" si="15"/>
        <v>0</v>
      </c>
      <c r="AF48" s="1173" t="s">
        <v>327</v>
      </c>
      <c r="AG48" s="1173"/>
      <c r="AH48" s="1188">
        <f>J48/3</f>
        <v>152</v>
      </c>
      <c r="AI48" s="1188">
        <f>J48/3</f>
        <v>152</v>
      </c>
      <c r="AJ48" s="1188">
        <f>J48/3</f>
        <v>152</v>
      </c>
      <c r="AK48" s="1196"/>
      <c r="AL48" s="1197"/>
      <c r="AM48" s="1197"/>
      <c r="AN48" s="1197"/>
      <c r="AO48" s="1197"/>
      <c r="AP48" s="1197"/>
      <c r="AQ48" s="1197"/>
      <c r="AR48" s="1214">
        <f t="shared" si="13"/>
        <v>456</v>
      </c>
      <c r="AS48" s="1233"/>
      <c r="AT48" s="1234"/>
      <c r="AU48" s="1235"/>
      <c r="AV48" s="1235"/>
      <c r="AW48" s="1214"/>
      <c r="AX48" s="1197"/>
      <c r="AY48" s="1197"/>
      <c r="AZ48" s="1197"/>
      <c r="BA48" s="1214"/>
      <c r="BB48" s="1214"/>
      <c r="BC48" s="1189"/>
      <c r="BD48" s="1214">
        <f>J48</f>
        <v>456</v>
      </c>
      <c r="BE48" s="1257"/>
      <c r="BF48" s="1257"/>
      <c r="BG48" s="1188"/>
      <c r="BI48" s="1261"/>
      <c r="BJ48" s="1261"/>
      <c r="BK48" s="1261"/>
    </row>
    <row r="49" s="1053" customFormat="1" ht="31" customHeight="1" spans="1:63">
      <c r="A49" s="1100">
        <v>45558</v>
      </c>
      <c r="B49" s="1101" t="s">
        <v>1516</v>
      </c>
      <c r="C49" s="1102" t="s">
        <v>91</v>
      </c>
      <c r="D49" s="1101">
        <v>4500145925</v>
      </c>
      <c r="E49" s="1103">
        <v>10858877</v>
      </c>
      <c r="F49" s="1101" t="s">
        <v>2175</v>
      </c>
      <c r="G49" s="1101" t="s">
        <v>2169</v>
      </c>
      <c r="H49" s="1101" t="s">
        <v>2118</v>
      </c>
      <c r="I49" s="1098" t="s">
        <v>2119</v>
      </c>
      <c r="J49" s="1120">
        <v>924</v>
      </c>
      <c r="K49" s="1097">
        <v>0</v>
      </c>
      <c r="L49" s="1097">
        <v>12</v>
      </c>
      <c r="M49" s="1114">
        <f t="shared" si="5"/>
        <v>77</v>
      </c>
      <c r="N49" s="1117">
        <v>45699</v>
      </c>
      <c r="O49" s="1117">
        <v>45673</v>
      </c>
      <c r="P49" s="1119"/>
      <c r="Q49" s="1119" t="s">
        <v>1480</v>
      </c>
      <c r="R49" s="1142" t="s">
        <v>2173</v>
      </c>
      <c r="S49" s="1147">
        <v>45653</v>
      </c>
      <c r="T49" s="1137" t="s">
        <v>2112</v>
      </c>
      <c r="U49" s="1137">
        <v>45653</v>
      </c>
      <c r="V49" s="1143" t="s">
        <v>2170</v>
      </c>
      <c r="W49" s="1148" t="s">
        <v>2171</v>
      </c>
      <c r="X49" s="1149" t="s">
        <v>407</v>
      </c>
      <c r="Y49" s="1165">
        <v>3.0294</v>
      </c>
      <c r="Z49" s="1166">
        <f t="shared" si="14"/>
        <v>2799.1656</v>
      </c>
      <c r="AA49" s="1167" t="s">
        <v>1529</v>
      </c>
      <c r="AB49" s="1137" t="s">
        <v>63</v>
      </c>
      <c r="AC49" s="1137" t="s">
        <v>2040</v>
      </c>
      <c r="AD49" s="1175">
        <v>924</v>
      </c>
      <c r="AE49" s="1167">
        <f t="shared" si="15"/>
        <v>0</v>
      </c>
      <c r="AF49" s="1173" t="s">
        <v>327</v>
      </c>
      <c r="AG49" s="1173"/>
      <c r="AH49" s="1188">
        <f>J49/3</f>
        <v>308</v>
      </c>
      <c r="AI49" s="1188">
        <f>J49/3</f>
        <v>308</v>
      </c>
      <c r="AJ49" s="1188">
        <f>J49/3</f>
        <v>308</v>
      </c>
      <c r="AK49" s="1196"/>
      <c r="AL49" s="1197"/>
      <c r="AM49" s="1197"/>
      <c r="AN49" s="1197"/>
      <c r="AO49" s="1197"/>
      <c r="AP49" s="1197"/>
      <c r="AQ49" s="1197"/>
      <c r="AR49" s="1214">
        <f t="shared" si="13"/>
        <v>924</v>
      </c>
      <c r="AS49" s="1219"/>
      <c r="AT49" s="1220"/>
      <c r="AU49" s="1197"/>
      <c r="AV49" s="1197"/>
      <c r="AW49" s="1214"/>
      <c r="AX49" s="1197"/>
      <c r="AY49" s="1197"/>
      <c r="AZ49" s="1197"/>
      <c r="BA49" s="1214"/>
      <c r="BB49" s="1214"/>
      <c r="BC49" s="1189"/>
      <c r="BD49" s="1214">
        <f>J49</f>
        <v>924</v>
      </c>
      <c r="BE49" s="1257"/>
      <c r="BF49" s="1257"/>
      <c r="BG49" s="1188"/>
      <c r="BI49" s="1261"/>
      <c r="BJ49" s="1261"/>
      <c r="BK49" s="1261"/>
    </row>
    <row r="50" s="1053" customFormat="1" ht="31" customHeight="1" spans="1:63">
      <c r="A50" s="1100">
        <v>45615</v>
      </c>
      <c r="B50" s="1101" t="s">
        <v>2159</v>
      </c>
      <c r="C50" s="1102" t="s">
        <v>91</v>
      </c>
      <c r="D50" s="1101">
        <v>4500151536</v>
      </c>
      <c r="E50" s="1103">
        <v>70052805</v>
      </c>
      <c r="F50" s="1101" t="s">
        <v>2176</v>
      </c>
      <c r="G50" s="1101" t="s">
        <v>2118</v>
      </c>
      <c r="H50" s="1101" t="s">
        <v>2118</v>
      </c>
      <c r="I50" s="1098" t="s">
        <v>2119</v>
      </c>
      <c r="J50" s="1120">
        <v>1200</v>
      </c>
      <c r="K50" s="1097">
        <v>0</v>
      </c>
      <c r="L50" s="1097">
        <v>12</v>
      </c>
      <c r="M50" s="1114">
        <f t="shared" si="5"/>
        <v>100</v>
      </c>
      <c r="N50" s="1117">
        <v>45705</v>
      </c>
      <c r="O50" s="1117">
        <v>45673</v>
      </c>
      <c r="P50" s="1119"/>
      <c r="Q50" s="1119" t="s">
        <v>1480</v>
      </c>
      <c r="R50" s="1142"/>
      <c r="S50" s="1147" t="s">
        <v>2120</v>
      </c>
      <c r="T50" s="1137" t="s">
        <v>58</v>
      </c>
      <c r="U50" s="1138">
        <v>45660</v>
      </c>
      <c r="V50" s="1143" t="s">
        <v>235</v>
      </c>
      <c r="W50" s="1148" t="s">
        <v>359</v>
      </c>
      <c r="X50" s="1149" t="s">
        <v>237</v>
      </c>
      <c r="Y50" s="1165">
        <v>2.9055</v>
      </c>
      <c r="Z50" s="1166">
        <f t="shared" si="14"/>
        <v>3486.6</v>
      </c>
      <c r="AA50" s="1167" t="s">
        <v>2177</v>
      </c>
      <c r="AB50" s="1137" t="s">
        <v>63</v>
      </c>
      <c r="AC50" s="1137" t="s">
        <v>2040</v>
      </c>
      <c r="AD50" s="1175">
        <v>1200</v>
      </c>
      <c r="AE50" s="1167">
        <f t="shared" si="15"/>
        <v>0</v>
      </c>
      <c r="AF50" s="1173" t="s">
        <v>327</v>
      </c>
      <c r="AG50" s="1173"/>
      <c r="AH50" s="1188">
        <f>J50/3</f>
        <v>400</v>
      </c>
      <c r="AI50" s="1188">
        <f>J50/3</f>
        <v>400</v>
      </c>
      <c r="AJ50" s="1188">
        <f>J50/3</f>
        <v>400</v>
      </c>
      <c r="AK50" s="1196"/>
      <c r="AL50" s="1197"/>
      <c r="AM50" s="1197"/>
      <c r="AN50" s="1197"/>
      <c r="AO50" s="1197"/>
      <c r="AP50" s="1197"/>
      <c r="AQ50" s="1197"/>
      <c r="AR50" s="1214">
        <f t="shared" si="13"/>
        <v>1200</v>
      </c>
      <c r="AS50" s="1219"/>
      <c r="AT50" s="1220"/>
      <c r="AU50" s="1197"/>
      <c r="AV50" s="1197"/>
      <c r="AW50" s="1214">
        <f>J50</f>
        <v>1200</v>
      </c>
      <c r="AX50" s="1197"/>
      <c r="AY50" s="1197"/>
      <c r="AZ50" s="1197"/>
      <c r="BA50" s="1214"/>
      <c r="BB50" s="1214"/>
      <c r="BC50" s="1189"/>
      <c r="BD50" s="1214"/>
      <c r="BE50" s="1257"/>
      <c r="BF50" s="1257"/>
      <c r="BG50" s="1188"/>
      <c r="BI50" s="1261"/>
      <c r="BJ50" s="1261"/>
      <c r="BK50" s="1261"/>
    </row>
    <row r="51" s="1053" customFormat="1" ht="31" customHeight="1" spans="1:63">
      <c r="A51" s="1100">
        <v>45603</v>
      </c>
      <c r="B51" s="1101" t="s">
        <v>230</v>
      </c>
      <c r="C51" s="1102" t="s">
        <v>91</v>
      </c>
      <c r="D51" s="1101">
        <v>4500150315</v>
      </c>
      <c r="E51" s="1103">
        <v>60192519</v>
      </c>
      <c r="F51" s="1101" t="s">
        <v>2178</v>
      </c>
      <c r="G51" s="1101" t="s">
        <v>2118</v>
      </c>
      <c r="H51" s="1101" t="s">
        <v>2118</v>
      </c>
      <c r="I51" s="1098" t="s">
        <v>2119</v>
      </c>
      <c r="J51" s="1120">
        <v>2328</v>
      </c>
      <c r="K51" s="1097">
        <v>0</v>
      </c>
      <c r="L51" s="1097">
        <v>12</v>
      </c>
      <c r="M51" s="1114">
        <f t="shared" si="5"/>
        <v>194</v>
      </c>
      <c r="N51" s="1117">
        <v>45670</v>
      </c>
      <c r="O51" s="1117">
        <v>45666</v>
      </c>
      <c r="P51" s="1119"/>
      <c r="Q51" s="1119" t="s">
        <v>1480</v>
      </c>
      <c r="R51" s="1142"/>
      <c r="S51" s="1147" t="s">
        <v>2120</v>
      </c>
      <c r="T51" s="1137" t="s">
        <v>58</v>
      </c>
      <c r="U51" s="1137">
        <v>45628</v>
      </c>
      <c r="V51" s="1143" t="s">
        <v>235</v>
      </c>
      <c r="W51" s="1148" t="s">
        <v>2121</v>
      </c>
      <c r="X51" s="1146" t="s">
        <v>2179</v>
      </c>
      <c r="Y51" s="1165">
        <v>2.8358</v>
      </c>
      <c r="Z51" s="1166">
        <f t="shared" si="14"/>
        <v>6601.7424</v>
      </c>
      <c r="AA51" s="1167" t="s">
        <v>2180</v>
      </c>
      <c r="AB51" s="1137" t="s">
        <v>63</v>
      </c>
      <c r="AC51" s="1137" t="s">
        <v>2040</v>
      </c>
      <c r="AD51" s="1175">
        <v>2328</v>
      </c>
      <c r="AE51" s="1167">
        <f t="shared" si="15"/>
        <v>0</v>
      </c>
      <c r="AF51" s="1173" t="s">
        <v>327</v>
      </c>
      <c r="AG51" s="1173"/>
      <c r="AH51" s="1188">
        <f>J51/3</f>
        <v>776</v>
      </c>
      <c r="AI51" s="1188">
        <f>J51/3</f>
        <v>776</v>
      </c>
      <c r="AJ51" s="1188">
        <f>J51/3</f>
        <v>776</v>
      </c>
      <c r="AK51" s="1204"/>
      <c r="AL51" s="1205"/>
      <c r="AM51" s="1205"/>
      <c r="AN51" s="1205"/>
      <c r="AO51" s="1205"/>
      <c r="AP51" s="1205"/>
      <c r="AQ51" s="1205"/>
      <c r="AR51" s="1214">
        <f t="shared" si="13"/>
        <v>2328</v>
      </c>
      <c r="AS51" s="1191"/>
      <c r="AT51" s="1236"/>
      <c r="AU51" s="1237"/>
      <c r="AV51" s="1237"/>
      <c r="AW51" s="1214">
        <f>J51</f>
        <v>2328</v>
      </c>
      <c r="AX51" s="1205"/>
      <c r="AY51" s="1205"/>
      <c r="AZ51" s="1205"/>
      <c r="BA51" s="1214"/>
      <c r="BB51" s="1214"/>
      <c r="BC51" s="1189"/>
      <c r="BD51" s="1214"/>
      <c r="BE51" s="1257"/>
      <c r="BF51" s="1257"/>
      <c r="BG51" s="1188"/>
      <c r="BI51" s="1260"/>
      <c r="BJ51" s="1260"/>
      <c r="BK51" s="1260"/>
    </row>
    <row r="52" s="1053" customFormat="1" ht="31" customHeight="1" spans="1:63">
      <c r="A52" s="1100">
        <v>45632</v>
      </c>
      <c r="B52" s="1101" t="s">
        <v>2106</v>
      </c>
      <c r="C52" s="1102" t="s">
        <v>123</v>
      </c>
      <c r="D52" s="1101">
        <v>4500153417</v>
      </c>
      <c r="E52" s="1103" t="s">
        <v>2181</v>
      </c>
      <c r="F52" s="1101" t="s">
        <v>2182</v>
      </c>
      <c r="G52" s="1101" t="s">
        <v>2109</v>
      </c>
      <c r="H52" s="1101" t="s">
        <v>2109</v>
      </c>
      <c r="I52" s="1098" t="s">
        <v>2042</v>
      </c>
      <c r="J52" s="1120">
        <v>1320</v>
      </c>
      <c r="K52" s="1097">
        <v>0</v>
      </c>
      <c r="L52" s="1097">
        <v>24</v>
      </c>
      <c r="M52" s="1114">
        <f t="shared" si="5"/>
        <v>55</v>
      </c>
      <c r="N52" s="1117">
        <v>45673</v>
      </c>
      <c r="O52" s="1117">
        <v>45670</v>
      </c>
      <c r="P52" s="1122"/>
      <c r="Q52" s="1119" t="s">
        <v>1480</v>
      </c>
      <c r="R52" s="1142"/>
      <c r="S52" s="1147" t="s">
        <v>2111</v>
      </c>
      <c r="T52" s="1137" t="s">
        <v>2112</v>
      </c>
      <c r="U52" s="1137">
        <v>45643</v>
      </c>
      <c r="V52" s="1143" t="s">
        <v>2183</v>
      </c>
      <c r="W52" s="1148" t="s">
        <v>2184</v>
      </c>
      <c r="X52" s="1146" t="s">
        <v>2115</v>
      </c>
      <c r="Y52" s="1165">
        <v>2.8411</v>
      </c>
      <c r="Z52" s="1166">
        <f t="shared" si="14"/>
        <v>3750.252</v>
      </c>
      <c r="AA52" s="1167" t="s">
        <v>2185</v>
      </c>
      <c r="AB52" s="1137" t="s">
        <v>63</v>
      </c>
      <c r="AC52" s="1137" t="s">
        <v>2040</v>
      </c>
      <c r="AD52" s="1175">
        <v>1320</v>
      </c>
      <c r="AE52" s="1167">
        <f t="shared" si="15"/>
        <v>0</v>
      </c>
      <c r="AF52" s="1173"/>
      <c r="AG52" s="1173"/>
      <c r="AH52" s="1188"/>
      <c r="AI52" s="1188"/>
      <c r="AJ52" s="1188">
        <f>J52</f>
        <v>1320</v>
      </c>
      <c r="AK52" s="1204"/>
      <c r="AL52" s="1205"/>
      <c r="AM52" s="1205"/>
      <c r="AN52" s="1205"/>
      <c r="AO52" s="1205"/>
      <c r="AP52" s="1205"/>
      <c r="AQ52" s="1205"/>
      <c r="AR52" s="1214">
        <f t="shared" si="13"/>
        <v>1320</v>
      </c>
      <c r="AS52" s="1191"/>
      <c r="AT52" s="1236"/>
      <c r="AU52" s="1237"/>
      <c r="AV52" s="1237"/>
      <c r="AW52" s="1214"/>
      <c r="AX52" s="1205"/>
      <c r="AY52" s="1205"/>
      <c r="AZ52" s="1205"/>
      <c r="BA52" s="1214"/>
      <c r="BB52" s="1214"/>
      <c r="BC52" s="1189"/>
      <c r="BD52" s="1214"/>
      <c r="BE52" s="1257"/>
      <c r="BF52" s="1257">
        <f>J52</f>
        <v>1320</v>
      </c>
      <c r="BG52" s="1188"/>
      <c r="BI52" s="1260"/>
      <c r="BJ52" s="1260"/>
      <c r="BK52" s="1260"/>
    </row>
    <row r="53" s="1053" customFormat="1" ht="31" customHeight="1" spans="1:63">
      <c r="A53" s="1100">
        <v>45630</v>
      </c>
      <c r="B53" s="1101" t="s">
        <v>90</v>
      </c>
      <c r="C53" s="1102" t="s">
        <v>91</v>
      </c>
      <c r="D53" s="1101">
        <v>4500153246</v>
      </c>
      <c r="E53" s="2332" t="s">
        <v>2186</v>
      </c>
      <c r="F53" s="1101" t="s">
        <v>2187</v>
      </c>
      <c r="G53" s="1104" t="s">
        <v>2044</v>
      </c>
      <c r="H53" s="1101" t="s">
        <v>2044</v>
      </c>
      <c r="I53" s="1098" t="s">
        <v>2045</v>
      </c>
      <c r="J53" s="1101">
        <v>4</v>
      </c>
      <c r="K53" s="1097">
        <v>0</v>
      </c>
      <c r="L53" s="1097">
        <v>1</v>
      </c>
      <c r="M53" s="1114">
        <f t="shared" si="5"/>
        <v>4</v>
      </c>
      <c r="N53" s="1117">
        <v>45672</v>
      </c>
      <c r="O53" s="1117">
        <v>45670</v>
      </c>
      <c r="P53" s="1118" t="s">
        <v>2164</v>
      </c>
      <c r="Q53" s="1119" t="s">
        <v>1480</v>
      </c>
      <c r="R53" s="1135" t="s">
        <v>2188</v>
      </c>
      <c r="S53" s="1144" t="s">
        <v>2036</v>
      </c>
      <c r="T53" s="1137" t="s">
        <v>58</v>
      </c>
      <c r="U53" s="1138">
        <v>45640</v>
      </c>
      <c r="V53" s="1139" t="s">
        <v>2037</v>
      </c>
      <c r="W53" s="1145" t="s">
        <v>2166</v>
      </c>
      <c r="X53" s="1149" t="s">
        <v>101</v>
      </c>
      <c r="Y53" s="1165">
        <v>968.44</v>
      </c>
      <c r="Z53" s="1166">
        <f>Y53*M53</f>
        <v>3873.76</v>
      </c>
      <c r="AA53" s="1167" t="s">
        <v>2189</v>
      </c>
      <c r="AB53" s="1137" t="s">
        <v>63</v>
      </c>
      <c r="AC53" s="1176" t="s">
        <v>2040</v>
      </c>
      <c r="AD53" s="1175">
        <v>1280</v>
      </c>
      <c r="AE53" s="1177">
        <f>AD53-J54</f>
        <v>0</v>
      </c>
      <c r="AF53" s="1170"/>
      <c r="AG53" s="1173"/>
      <c r="AH53" s="1188"/>
      <c r="AI53" s="1188"/>
      <c r="AJ53" s="1188"/>
      <c r="AK53" s="1196"/>
      <c r="AL53" s="1197"/>
      <c r="AM53" s="1197"/>
      <c r="AN53" s="1197"/>
      <c r="AO53" s="1197"/>
      <c r="AP53" s="1197"/>
      <c r="AQ53" s="1197"/>
      <c r="AR53" s="1214"/>
      <c r="AS53" s="1219"/>
      <c r="AT53" s="1220"/>
      <c r="AU53" s="1197"/>
      <c r="AV53" s="1197"/>
      <c r="AW53" s="1214"/>
      <c r="AX53" s="1197"/>
      <c r="AY53" s="1197"/>
      <c r="AZ53" s="1197"/>
      <c r="BA53" s="1214"/>
      <c r="BB53" s="1214"/>
      <c r="BC53" s="1189"/>
      <c r="BD53" s="1214"/>
      <c r="BE53" s="1257"/>
      <c r="BF53" s="1257"/>
      <c r="BG53" s="1188"/>
      <c r="BI53" s="1261"/>
      <c r="BJ53" s="1261"/>
      <c r="BK53" s="1261"/>
    </row>
    <row r="54" s="1053" customFormat="1" ht="31" customHeight="1" spans="1:63">
      <c r="A54" s="1100">
        <v>45630</v>
      </c>
      <c r="B54" s="1101" t="s">
        <v>90</v>
      </c>
      <c r="C54" s="1102" t="s">
        <v>91</v>
      </c>
      <c r="D54" s="1101">
        <v>4500153246</v>
      </c>
      <c r="E54" s="2332" t="s">
        <v>2186</v>
      </c>
      <c r="F54" s="1101" t="s">
        <v>2187</v>
      </c>
      <c r="G54" s="1101"/>
      <c r="H54" s="1101" t="s">
        <v>2051</v>
      </c>
      <c r="I54" s="1098" t="s">
        <v>2052</v>
      </c>
      <c r="J54" s="1101">
        <v>1280</v>
      </c>
      <c r="K54" s="1097">
        <v>0</v>
      </c>
      <c r="L54" s="1097">
        <v>320</v>
      </c>
      <c r="M54" s="1114">
        <f t="shared" si="5"/>
        <v>4</v>
      </c>
      <c r="N54" s="1117">
        <v>45672</v>
      </c>
      <c r="O54" s="1117">
        <v>45670</v>
      </c>
      <c r="P54" s="1119"/>
      <c r="Q54" s="1119" t="s">
        <v>1480</v>
      </c>
      <c r="R54" s="1142"/>
      <c r="S54" s="1147"/>
      <c r="T54" s="1137" t="s">
        <v>58</v>
      </c>
      <c r="U54" s="1137"/>
      <c r="V54" s="1143"/>
      <c r="W54" s="1148"/>
      <c r="X54" s="1149" t="s">
        <v>101</v>
      </c>
      <c r="Y54" s="1165">
        <v>0</v>
      </c>
      <c r="Z54" s="1166">
        <f>Y54*M54</f>
        <v>0</v>
      </c>
      <c r="AA54" s="1167" t="s">
        <v>2189</v>
      </c>
      <c r="AB54" s="1137" t="s">
        <v>63</v>
      </c>
      <c r="AC54" s="1176" t="s">
        <v>2040</v>
      </c>
      <c r="AD54" s="1175"/>
      <c r="AE54" s="1177"/>
      <c r="AF54" s="1173"/>
      <c r="AG54" s="1173"/>
      <c r="AH54" s="1188">
        <f>J54</f>
        <v>1280</v>
      </c>
      <c r="AI54" s="1188"/>
      <c r="AJ54" s="1188"/>
      <c r="AK54" s="1196"/>
      <c r="AL54" s="1197"/>
      <c r="AM54" s="1197"/>
      <c r="AN54" s="1197"/>
      <c r="AO54" s="1197"/>
      <c r="AP54" s="1197"/>
      <c r="AQ54" s="1197"/>
      <c r="AR54" s="1214">
        <f>J54</f>
        <v>1280</v>
      </c>
      <c r="AS54" s="1219"/>
      <c r="AT54" s="1220"/>
      <c r="AU54" s="1197"/>
      <c r="AV54" s="1197"/>
      <c r="AW54" s="1214"/>
      <c r="AX54" s="1197"/>
      <c r="AY54" s="1197"/>
      <c r="AZ54" s="1197"/>
      <c r="BA54" s="1214"/>
      <c r="BB54" s="1214"/>
      <c r="BC54" s="1189"/>
      <c r="BD54" s="1214"/>
      <c r="BE54" s="1257">
        <f>J54</f>
        <v>1280</v>
      </c>
      <c r="BF54" s="1257"/>
      <c r="BG54" s="1188"/>
      <c r="BI54" s="1261"/>
      <c r="BJ54" s="1261"/>
      <c r="BK54" s="1261"/>
    </row>
    <row r="55" s="1053" customFormat="1" ht="31" customHeight="1" spans="1:63">
      <c r="A55" s="1100">
        <v>45615</v>
      </c>
      <c r="B55" s="1101" t="s">
        <v>230</v>
      </c>
      <c r="C55" s="1102" t="s">
        <v>91</v>
      </c>
      <c r="D55" s="1101">
        <v>4500151489</v>
      </c>
      <c r="E55" s="1103">
        <v>60188340</v>
      </c>
      <c r="F55" s="1101" t="s">
        <v>2190</v>
      </c>
      <c r="G55" s="1101" t="s">
        <v>2118</v>
      </c>
      <c r="H55" s="1101" t="s">
        <v>2118</v>
      </c>
      <c r="I55" s="1098" t="s">
        <v>2119</v>
      </c>
      <c r="J55" s="1120">
        <v>3096</v>
      </c>
      <c r="K55" s="1097">
        <v>0</v>
      </c>
      <c r="L55" s="1097">
        <v>12</v>
      </c>
      <c r="M55" s="1114">
        <f t="shared" si="5"/>
        <v>258</v>
      </c>
      <c r="N55" s="1117">
        <v>45695</v>
      </c>
      <c r="O55" s="1117">
        <v>45671</v>
      </c>
      <c r="P55" s="1119"/>
      <c r="Q55" s="1119" t="s">
        <v>1480</v>
      </c>
      <c r="R55" s="1142" t="s">
        <v>2191</v>
      </c>
      <c r="S55" s="1147" t="s">
        <v>2120</v>
      </c>
      <c r="T55" s="1137" t="s">
        <v>58</v>
      </c>
      <c r="U55" s="1137">
        <v>45660</v>
      </c>
      <c r="V55" s="1143" t="s">
        <v>235</v>
      </c>
      <c r="W55" s="1148" t="s">
        <v>2192</v>
      </c>
      <c r="X55" s="1146" t="s">
        <v>237</v>
      </c>
      <c r="Y55" s="1165">
        <v>2.7478</v>
      </c>
      <c r="Z55" s="1166">
        <f>Y55*J55</f>
        <v>8507.1888</v>
      </c>
      <c r="AA55" s="1167" t="s">
        <v>285</v>
      </c>
      <c r="AB55" s="1137" t="s">
        <v>63</v>
      </c>
      <c r="AC55" s="1137" t="s">
        <v>2040</v>
      </c>
      <c r="AD55" s="1175">
        <v>3096</v>
      </c>
      <c r="AE55" s="1167">
        <f>AD55-J55</f>
        <v>0</v>
      </c>
      <c r="AF55" s="1173" t="s">
        <v>327</v>
      </c>
      <c r="AG55" s="1173"/>
      <c r="AH55" s="1188">
        <f>J55/3</f>
        <v>1032</v>
      </c>
      <c r="AI55" s="1188">
        <f>J55/3</f>
        <v>1032</v>
      </c>
      <c r="AJ55" s="1188">
        <f>J55/3</f>
        <v>1032</v>
      </c>
      <c r="AK55" s="1196"/>
      <c r="AL55" s="1197"/>
      <c r="AM55" s="1197"/>
      <c r="AN55" s="1197"/>
      <c r="AO55" s="1197"/>
      <c r="AP55" s="1197"/>
      <c r="AQ55" s="1197"/>
      <c r="AR55" s="1214">
        <f>J55</f>
        <v>3096</v>
      </c>
      <c r="AS55" s="1233"/>
      <c r="AT55" s="1234"/>
      <c r="AU55" s="1235"/>
      <c r="AV55" s="1235"/>
      <c r="AW55" s="1214">
        <f>J55</f>
        <v>3096</v>
      </c>
      <c r="AX55" s="1197"/>
      <c r="AY55" s="1197"/>
      <c r="AZ55" s="1197"/>
      <c r="BA55" s="1214"/>
      <c r="BB55" s="1214"/>
      <c r="BC55" s="1189"/>
      <c r="BD55" s="1214"/>
      <c r="BE55" s="1257"/>
      <c r="BF55" s="1257"/>
      <c r="BG55" s="1188"/>
      <c r="BI55" s="1261"/>
      <c r="BJ55" s="1261"/>
      <c r="BK55" s="1261"/>
    </row>
    <row r="56" s="1053" customFormat="1" ht="31" customHeight="1" spans="1:63">
      <c r="A56" s="1100">
        <v>45630</v>
      </c>
      <c r="B56" s="1101" t="s">
        <v>90</v>
      </c>
      <c r="C56" s="1102" t="s">
        <v>91</v>
      </c>
      <c r="D56" s="1101">
        <v>4500153242</v>
      </c>
      <c r="E56" s="2332" t="s">
        <v>2193</v>
      </c>
      <c r="F56" s="1101" t="s">
        <v>2194</v>
      </c>
      <c r="G56" s="1104" t="s">
        <v>2044</v>
      </c>
      <c r="H56" s="1101" t="s">
        <v>2044</v>
      </c>
      <c r="I56" s="1098" t="s">
        <v>2045</v>
      </c>
      <c r="J56" s="1101">
        <v>5</v>
      </c>
      <c r="K56" s="1097">
        <v>0</v>
      </c>
      <c r="L56" s="1097">
        <v>1</v>
      </c>
      <c r="M56" s="1114">
        <f t="shared" si="5"/>
        <v>5</v>
      </c>
      <c r="N56" s="1117">
        <v>45698</v>
      </c>
      <c r="O56" s="1117">
        <v>45672</v>
      </c>
      <c r="P56" s="1118" t="s">
        <v>2195</v>
      </c>
      <c r="Q56" s="1119" t="s">
        <v>1480</v>
      </c>
      <c r="R56" s="1135" t="s">
        <v>2196</v>
      </c>
      <c r="S56" s="1144" t="s">
        <v>2036</v>
      </c>
      <c r="T56" s="1137" t="s">
        <v>58</v>
      </c>
      <c r="U56" s="1138">
        <v>45640</v>
      </c>
      <c r="V56" s="1139" t="s">
        <v>2037</v>
      </c>
      <c r="W56" s="1145" t="s">
        <v>2166</v>
      </c>
      <c r="X56" s="1149" t="s">
        <v>101</v>
      </c>
      <c r="Y56" s="1165">
        <v>949.3673</v>
      </c>
      <c r="Z56" s="1166">
        <f t="shared" ref="Z56:Z61" si="16">Y56*M56</f>
        <v>4746.8365</v>
      </c>
      <c r="AA56" s="1167" t="s">
        <v>2197</v>
      </c>
      <c r="AB56" s="1137" t="s">
        <v>63</v>
      </c>
      <c r="AC56" s="1137" t="s">
        <v>2040</v>
      </c>
      <c r="AD56" s="1168">
        <v>1600</v>
      </c>
      <c r="AE56" s="1168">
        <f>AD56-J57</f>
        <v>0</v>
      </c>
      <c r="AF56" s="1170"/>
      <c r="AG56" s="1173"/>
      <c r="AH56" s="1188"/>
      <c r="AI56" s="1188"/>
      <c r="AJ56" s="1188"/>
      <c r="AK56" s="1196"/>
      <c r="AL56" s="1197"/>
      <c r="AM56" s="1197"/>
      <c r="AN56" s="1197"/>
      <c r="AO56" s="1197"/>
      <c r="AP56" s="1197"/>
      <c r="AQ56" s="1197"/>
      <c r="AR56" s="1214"/>
      <c r="AS56" s="1219"/>
      <c r="AT56" s="1220"/>
      <c r="AU56" s="1197"/>
      <c r="AV56" s="1197"/>
      <c r="AW56" s="1214"/>
      <c r="AX56" s="1197"/>
      <c r="AY56" s="1197"/>
      <c r="AZ56" s="1197"/>
      <c r="BA56" s="1214"/>
      <c r="BB56" s="1214"/>
      <c r="BC56" s="1189"/>
      <c r="BD56" s="1214"/>
      <c r="BE56" s="1257"/>
      <c r="BF56" s="1257"/>
      <c r="BG56" s="1188"/>
      <c r="BI56" s="1261"/>
      <c r="BJ56" s="1261"/>
      <c r="BK56" s="1261"/>
    </row>
    <row r="57" s="1053" customFormat="1" ht="31" customHeight="1" spans="1:63">
      <c r="A57" s="1100">
        <v>45630</v>
      </c>
      <c r="B57" s="1101" t="s">
        <v>90</v>
      </c>
      <c r="C57" s="1102" t="s">
        <v>91</v>
      </c>
      <c r="D57" s="1101">
        <v>4500153242</v>
      </c>
      <c r="E57" s="2332" t="s">
        <v>2193</v>
      </c>
      <c r="F57" s="1101" t="s">
        <v>2194</v>
      </c>
      <c r="G57" s="1101"/>
      <c r="H57" s="1101" t="s">
        <v>2051</v>
      </c>
      <c r="I57" s="1098" t="s">
        <v>2052</v>
      </c>
      <c r="J57" s="1101">
        <v>1600</v>
      </c>
      <c r="K57" s="1097">
        <v>0</v>
      </c>
      <c r="L57" s="1097">
        <v>320</v>
      </c>
      <c r="M57" s="1114">
        <f t="shared" si="5"/>
        <v>5</v>
      </c>
      <c r="N57" s="1117">
        <v>45698</v>
      </c>
      <c r="O57" s="1117">
        <v>45672</v>
      </c>
      <c r="P57" s="1119"/>
      <c r="Q57" s="1119" t="s">
        <v>1480</v>
      </c>
      <c r="R57" s="1142"/>
      <c r="S57" s="1147"/>
      <c r="T57" s="1137" t="s">
        <v>58</v>
      </c>
      <c r="U57" s="1137"/>
      <c r="V57" s="1143"/>
      <c r="W57" s="1148"/>
      <c r="X57" s="1149" t="s">
        <v>101</v>
      </c>
      <c r="Y57" s="1165">
        <v>0</v>
      </c>
      <c r="Z57" s="1166">
        <f t="shared" si="16"/>
        <v>0</v>
      </c>
      <c r="AA57" s="1167" t="s">
        <v>2197</v>
      </c>
      <c r="AB57" s="1137" t="s">
        <v>63</v>
      </c>
      <c r="AC57" s="1137" t="s">
        <v>2040</v>
      </c>
      <c r="AD57" s="1172"/>
      <c r="AE57" s="1172"/>
      <c r="AF57" s="1173"/>
      <c r="AG57" s="1173"/>
      <c r="AH57" s="1188">
        <f>J57</f>
        <v>1600</v>
      </c>
      <c r="AI57" s="1188"/>
      <c r="AJ57" s="1188"/>
      <c r="AK57" s="1196"/>
      <c r="AL57" s="1197"/>
      <c r="AM57" s="1197"/>
      <c r="AN57" s="1197"/>
      <c r="AO57" s="1197"/>
      <c r="AP57" s="1197"/>
      <c r="AQ57" s="1197"/>
      <c r="AR57" s="1214">
        <f>J57</f>
        <v>1600</v>
      </c>
      <c r="AS57" s="1219"/>
      <c r="AT57" s="1220"/>
      <c r="AU57" s="1197"/>
      <c r="AV57" s="1197"/>
      <c r="AW57" s="1214"/>
      <c r="AX57" s="1197"/>
      <c r="AY57" s="1197"/>
      <c r="AZ57" s="1197"/>
      <c r="BA57" s="1214"/>
      <c r="BB57" s="1214"/>
      <c r="BC57" s="1189"/>
      <c r="BD57" s="1214"/>
      <c r="BE57" s="1257">
        <f>J57</f>
        <v>1600</v>
      </c>
      <c r="BF57" s="1257"/>
      <c r="BG57" s="1188"/>
      <c r="BI57" s="1261"/>
      <c r="BJ57" s="1261"/>
      <c r="BK57" s="1261"/>
    </row>
    <row r="58" s="1053" customFormat="1" ht="31" customHeight="1" spans="1:63">
      <c r="A58" s="1100">
        <v>45630</v>
      </c>
      <c r="B58" s="1101" t="s">
        <v>90</v>
      </c>
      <c r="C58" s="1102" t="s">
        <v>91</v>
      </c>
      <c r="D58" s="1101">
        <v>4500153245</v>
      </c>
      <c r="E58" s="2332" t="s">
        <v>2198</v>
      </c>
      <c r="F58" s="1101" t="s">
        <v>2199</v>
      </c>
      <c r="G58" s="1104" t="s">
        <v>2044</v>
      </c>
      <c r="H58" s="1101" t="s">
        <v>2044</v>
      </c>
      <c r="I58" s="1098" t="s">
        <v>2045</v>
      </c>
      <c r="J58" s="1101">
        <v>4</v>
      </c>
      <c r="K58" s="1097">
        <v>0</v>
      </c>
      <c r="L58" s="1097">
        <v>1</v>
      </c>
      <c r="M58" s="1114">
        <f t="shared" si="5"/>
        <v>4</v>
      </c>
      <c r="N58" s="1117">
        <v>45698</v>
      </c>
      <c r="O58" s="1117">
        <v>45672</v>
      </c>
      <c r="P58" s="1118" t="s">
        <v>2195</v>
      </c>
      <c r="Q58" s="1119" t="s">
        <v>1480</v>
      </c>
      <c r="R58" s="1142" t="s">
        <v>2200</v>
      </c>
      <c r="S58" s="1144" t="s">
        <v>2036</v>
      </c>
      <c r="T58" s="1137" t="s">
        <v>58</v>
      </c>
      <c r="U58" s="1138">
        <v>45640</v>
      </c>
      <c r="V58" s="1139" t="s">
        <v>2037</v>
      </c>
      <c r="W58" s="1145" t="s">
        <v>2166</v>
      </c>
      <c r="X58" s="1149" t="s">
        <v>101</v>
      </c>
      <c r="Y58" s="1165">
        <v>968.44</v>
      </c>
      <c r="Z58" s="1166">
        <f t="shared" si="16"/>
        <v>3873.76</v>
      </c>
      <c r="AA58" s="1167" t="s">
        <v>2201</v>
      </c>
      <c r="AB58" s="1137" t="s">
        <v>63</v>
      </c>
      <c r="AC58" s="1137" t="s">
        <v>2040</v>
      </c>
      <c r="AD58" s="1168">
        <v>1280</v>
      </c>
      <c r="AE58" s="1168">
        <f>AD58-J59</f>
        <v>0</v>
      </c>
      <c r="AF58" s="1170"/>
      <c r="AG58" s="1173"/>
      <c r="AH58" s="1188"/>
      <c r="AI58" s="1188"/>
      <c r="AJ58" s="1188"/>
      <c r="AK58" s="1196"/>
      <c r="AL58" s="1197"/>
      <c r="AM58" s="1197"/>
      <c r="AN58" s="1197"/>
      <c r="AO58" s="1197"/>
      <c r="AP58" s="1197"/>
      <c r="AQ58" s="1197"/>
      <c r="AR58" s="1214"/>
      <c r="AS58" s="1219"/>
      <c r="AT58" s="1220"/>
      <c r="AU58" s="1197"/>
      <c r="AV58" s="1197"/>
      <c r="AW58" s="1214"/>
      <c r="AX58" s="1197"/>
      <c r="AY58" s="1197"/>
      <c r="AZ58" s="1197"/>
      <c r="BA58" s="1214"/>
      <c r="BB58" s="1214"/>
      <c r="BC58" s="1189"/>
      <c r="BD58" s="1214"/>
      <c r="BE58" s="1257"/>
      <c r="BF58" s="1257"/>
      <c r="BG58" s="1188"/>
      <c r="BI58" s="1261"/>
      <c r="BJ58" s="1261"/>
      <c r="BK58" s="1261"/>
    </row>
    <row r="59" s="1053" customFormat="1" ht="31" customHeight="1" spans="1:63">
      <c r="A59" s="1100">
        <v>45630</v>
      </c>
      <c r="B59" s="1101" t="s">
        <v>90</v>
      </c>
      <c r="C59" s="1102" t="s">
        <v>91</v>
      </c>
      <c r="D59" s="1101">
        <v>4500153245</v>
      </c>
      <c r="E59" s="2332" t="s">
        <v>2198</v>
      </c>
      <c r="F59" s="1101" t="s">
        <v>2199</v>
      </c>
      <c r="G59" s="1101"/>
      <c r="H59" s="1101" t="s">
        <v>2051</v>
      </c>
      <c r="I59" s="1098" t="s">
        <v>2052</v>
      </c>
      <c r="J59" s="1101">
        <v>1280</v>
      </c>
      <c r="K59" s="1097">
        <v>0</v>
      </c>
      <c r="L59" s="1097">
        <v>320</v>
      </c>
      <c r="M59" s="1114">
        <f t="shared" si="5"/>
        <v>4</v>
      </c>
      <c r="N59" s="1117">
        <v>45698</v>
      </c>
      <c r="O59" s="1117">
        <v>45672</v>
      </c>
      <c r="P59" s="1119"/>
      <c r="Q59" s="1119" t="s">
        <v>1480</v>
      </c>
      <c r="R59" s="1142"/>
      <c r="S59" s="1147"/>
      <c r="T59" s="1137" t="s">
        <v>58</v>
      </c>
      <c r="U59" s="1137"/>
      <c r="V59" s="1143"/>
      <c r="W59" s="1148"/>
      <c r="X59" s="1149" t="s">
        <v>101</v>
      </c>
      <c r="Y59" s="1165">
        <v>0</v>
      </c>
      <c r="Z59" s="1166">
        <f t="shared" si="16"/>
        <v>0</v>
      </c>
      <c r="AA59" s="1167" t="s">
        <v>2201</v>
      </c>
      <c r="AB59" s="1137" t="s">
        <v>63</v>
      </c>
      <c r="AC59" s="1137" t="s">
        <v>2040</v>
      </c>
      <c r="AD59" s="1172"/>
      <c r="AE59" s="1172"/>
      <c r="AF59" s="1173"/>
      <c r="AG59" s="1173"/>
      <c r="AH59" s="1188">
        <f>J59</f>
        <v>1280</v>
      </c>
      <c r="AI59" s="1188"/>
      <c r="AJ59" s="1188"/>
      <c r="AK59" s="1196"/>
      <c r="AL59" s="1197"/>
      <c r="AM59" s="1197"/>
      <c r="AN59" s="1197"/>
      <c r="AO59" s="1197"/>
      <c r="AP59" s="1197"/>
      <c r="AQ59" s="1197"/>
      <c r="AR59" s="1214">
        <f>J59</f>
        <v>1280</v>
      </c>
      <c r="AS59" s="1219"/>
      <c r="AT59" s="1220"/>
      <c r="AU59" s="1197"/>
      <c r="AV59" s="1197"/>
      <c r="AW59" s="1214"/>
      <c r="AX59" s="1197"/>
      <c r="AY59" s="1197"/>
      <c r="AZ59" s="1197"/>
      <c r="BA59" s="1214"/>
      <c r="BB59" s="1214"/>
      <c r="BC59" s="1189"/>
      <c r="BD59" s="1214"/>
      <c r="BE59" s="1257">
        <f>J59</f>
        <v>1280</v>
      </c>
      <c r="BF59" s="1257"/>
      <c r="BG59" s="1188"/>
      <c r="BI59" s="1261"/>
      <c r="BJ59" s="1261"/>
      <c r="BK59" s="1261"/>
    </row>
    <row r="60" s="1053" customFormat="1" ht="31" customHeight="1" spans="1:63">
      <c r="A60" s="1100">
        <v>45630</v>
      </c>
      <c r="B60" s="1101" t="s">
        <v>90</v>
      </c>
      <c r="C60" s="1102" t="s">
        <v>91</v>
      </c>
      <c r="D60" s="1101">
        <v>4500153247</v>
      </c>
      <c r="E60" s="2332" t="s">
        <v>2202</v>
      </c>
      <c r="F60" s="1101" t="s">
        <v>2203</v>
      </c>
      <c r="G60" s="1104" t="s">
        <v>2044</v>
      </c>
      <c r="H60" s="1101" t="s">
        <v>2044</v>
      </c>
      <c r="I60" s="1098" t="s">
        <v>2045</v>
      </c>
      <c r="J60" s="1101">
        <v>2</v>
      </c>
      <c r="K60" s="1097">
        <v>0</v>
      </c>
      <c r="L60" s="1097">
        <v>1</v>
      </c>
      <c r="M60" s="1114">
        <f t="shared" si="5"/>
        <v>2</v>
      </c>
      <c r="N60" s="1117">
        <v>45698</v>
      </c>
      <c r="O60" s="1117">
        <v>45672</v>
      </c>
      <c r="P60" s="1118" t="s">
        <v>2195</v>
      </c>
      <c r="Q60" s="1119" t="s">
        <v>1480</v>
      </c>
      <c r="R60" s="1135" t="s">
        <v>2165</v>
      </c>
      <c r="S60" s="1144" t="s">
        <v>2036</v>
      </c>
      <c r="T60" s="1137" t="s">
        <v>58</v>
      </c>
      <c r="U60" s="1138">
        <v>45640</v>
      </c>
      <c r="V60" s="1139" t="s">
        <v>2037</v>
      </c>
      <c r="W60" s="1145" t="s">
        <v>2166</v>
      </c>
      <c r="X60" s="1149" t="s">
        <v>101</v>
      </c>
      <c r="Y60" s="1165">
        <v>1008.088</v>
      </c>
      <c r="Z60" s="1166">
        <f t="shared" si="16"/>
        <v>2016.176</v>
      </c>
      <c r="AA60" s="1167" t="s">
        <v>2204</v>
      </c>
      <c r="AB60" s="1137" t="s">
        <v>63</v>
      </c>
      <c r="AC60" s="1137" t="s">
        <v>2040</v>
      </c>
      <c r="AD60" s="1168">
        <v>640</v>
      </c>
      <c r="AE60" s="1168">
        <f>AD60-J61</f>
        <v>0</v>
      </c>
      <c r="AF60" s="1170"/>
      <c r="AG60" s="1173"/>
      <c r="AH60" s="1188"/>
      <c r="AI60" s="1188"/>
      <c r="AJ60" s="1188"/>
      <c r="AK60" s="1196"/>
      <c r="AL60" s="1197"/>
      <c r="AM60" s="1197"/>
      <c r="AN60" s="1197"/>
      <c r="AO60" s="1197"/>
      <c r="AP60" s="1197"/>
      <c r="AQ60" s="1197"/>
      <c r="AR60" s="1214"/>
      <c r="AS60" s="1219"/>
      <c r="AT60" s="1220"/>
      <c r="AU60" s="1197"/>
      <c r="AV60" s="1197"/>
      <c r="AW60" s="1214"/>
      <c r="AX60" s="1197"/>
      <c r="AY60" s="1197"/>
      <c r="AZ60" s="1197"/>
      <c r="BA60" s="1214"/>
      <c r="BB60" s="1214"/>
      <c r="BC60" s="1189"/>
      <c r="BD60" s="1214"/>
      <c r="BE60" s="1257"/>
      <c r="BF60" s="1257"/>
      <c r="BG60" s="1188"/>
      <c r="BI60" s="1261"/>
      <c r="BJ60" s="1261"/>
      <c r="BK60" s="1261"/>
    </row>
    <row r="61" s="1053" customFormat="1" ht="31" customHeight="1" spans="1:63">
      <c r="A61" s="1100">
        <v>45630</v>
      </c>
      <c r="B61" s="1101" t="s">
        <v>90</v>
      </c>
      <c r="C61" s="1102" t="s">
        <v>91</v>
      </c>
      <c r="D61" s="1101">
        <v>4500153247</v>
      </c>
      <c r="E61" s="2332" t="s">
        <v>2202</v>
      </c>
      <c r="F61" s="1101" t="s">
        <v>2203</v>
      </c>
      <c r="G61" s="1101"/>
      <c r="H61" s="1101" t="s">
        <v>2051</v>
      </c>
      <c r="I61" s="1098" t="s">
        <v>2052</v>
      </c>
      <c r="J61" s="1101">
        <v>640</v>
      </c>
      <c r="K61" s="1097">
        <v>0</v>
      </c>
      <c r="L61" s="1097">
        <v>320</v>
      </c>
      <c r="M61" s="1114">
        <f t="shared" si="5"/>
        <v>2</v>
      </c>
      <c r="N61" s="1117">
        <v>45698</v>
      </c>
      <c r="O61" s="1117">
        <v>45672</v>
      </c>
      <c r="P61" s="1119"/>
      <c r="Q61" s="1119" t="s">
        <v>1480</v>
      </c>
      <c r="R61" s="1142"/>
      <c r="S61" s="1147"/>
      <c r="T61" s="1137" t="s">
        <v>58</v>
      </c>
      <c r="U61" s="1137"/>
      <c r="V61" s="1143"/>
      <c r="W61" s="1148"/>
      <c r="X61" s="1149" t="s">
        <v>101</v>
      </c>
      <c r="Y61" s="1165">
        <v>0</v>
      </c>
      <c r="Z61" s="1166">
        <f t="shared" si="16"/>
        <v>0</v>
      </c>
      <c r="AA61" s="1167" t="s">
        <v>2204</v>
      </c>
      <c r="AB61" s="1137" t="s">
        <v>63</v>
      </c>
      <c r="AC61" s="1137" t="s">
        <v>2040</v>
      </c>
      <c r="AD61" s="1172"/>
      <c r="AE61" s="1172"/>
      <c r="AF61" s="1173"/>
      <c r="AG61" s="1173"/>
      <c r="AH61" s="1188">
        <f>J61</f>
        <v>640</v>
      </c>
      <c r="AI61" s="1188"/>
      <c r="AJ61" s="1188"/>
      <c r="AK61" s="1196"/>
      <c r="AL61" s="1197"/>
      <c r="AM61" s="1197"/>
      <c r="AN61" s="1197"/>
      <c r="AO61" s="1197"/>
      <c r="AP61" s="1197"/>
      <c r="AQ61" s="1197"/>
      <c r="AR61" s="1214">
        <f>J61</f>
        <v>640</v>
      </c>
      <c r="AS61" s="1219"/>
      <c r="AT61" s="1220"/>
      <c r="AU61" s="1197"/>
      <c r="AV61" s="1197"/>
      <c r="AW61" s="1214"/>
      <c r="AX61" s="1197"/>
      <c r="AY61" s="1197"/>
      <c r="AZ61" s="1197"/>
      <c r="BA61" s="1214"/>
      <c r="BB61" s="1214"/>
      <c r="BC61" s="1189"/>
      <c r="BD61" s="1214"/>
      <c r="BE61" s="1257">
        <f>J61</f>
        <v>640</v>
      </c>
      <c r="BF61" s="1257"/>
      <c r="BG61" s="1188"/>
      <c r="BI61" s="1261"/>
      <c r="BJ61" s="1261"/>
      <c r="BK61" s="1261"/>
    </row>
    <row r="62" s="1053" customFormat="1" ht="31" customHeight="1" spans="1:63">
      <c r="A62" s="1100">
        <v>45517</v>
      </c>
      <c r="B62" s="1101" t="s">
        <v>2205</v>
      </c>
      <c r="C62" s="1102" t="s">
        <v>123</v>
      </c>
      <c r="D62" s="1101">
        <v>4500142850</v>
      </c>
      <c r="E62" s="1103"/>
      <c r="F62" s="1101" t="s">
        <v>2206</v>
      </c>
      <c r="G62" s="1101" t="s">
        <v>2079</v>
      </c>
      <c r="H62" s="1101" t="s">
        <v>2079</v>
      </c>
      <c r="I62" s="1098" t="s">
        <v>2080</v>
      </c>
      <c r="J62" s="1120">
        <v>810</v>
      </c>
      <c r="K62" s="1097">
        <v>0</v>
      </c>
      <c r="L62" s="1097">
        <v>6</v>
      </c>
      <c r="M62" s="1114">
        <f t="shared" si="5"/>
        <v>135</v>
      </c>
      <c r="N62" s="1117">
        <v>45702</v>
      </c>
      <c r="O62" s="1117">
        <v>45673</v>
      </c>
      <c r="P62" s="1119"/>
      <c r="Q62" s="1119" t="s">
        <v>1480</v>
      </c>
      <c r="R62" s="1142" t="s">
        <v>2207</v>
      </c>
      <c r="S62" s="1147">
        <v>45643</v>
      </c>
      <c r="T62" s="1137" t="s">
        <v>58</v>
      </c>
      <c r="U62" s="1137">
        <v>45640</v>
      </c>
      <c r="V62" s="1143" t="s">
        <v>2208</v>
      </c>
      <c r="W62" s="1148" t="s">
        <v>2209</v>
      </c>
      <c r="X62" s="1149" t="s">
        <v>490</v>
      </c>
      <c r="Y62" s="1165">
        <v>2.9872</v>
      </c>
      <c r="Z62" s="1166">
        <f>Y62*J62</f>
        <v>2419.632</v>
      </c>
      <c r="AA62" s="1167" t="s">
        <v>2210</v>
      </c>
      <c r="AB62" s="1137" t="s">
        <v>63</v>
      </c>
      <c r="AC62" s="1137" t="s">
        <v>2040</v>
      </c>
      <c r="AD62" s="1175">
        <v>810</v>
      </c>
      <c r="AE62" s="1167">
        <f>AD62-J62</f>
        <v>0</v>
      </c>
      <c r="AF62" s="1173" t="s">
        <v>327</v>
      </c>
      <c r="AG62" s="1173"/>
      <c r="AH62" s="1188">
        <f>J62/3</f>
        <v>270</v>
      </c>
      <c r="AI62" s="1188">
        <f>J62/3</f>
        <v>270</v>
      </c>
      <c r="AJ62" s="1188">
        <f>J62/3</f>
        <v>270</v>
      </c>
      <c r="AK62" s="1196"/>
      <c r="AL62" s="1197"/>
      <c r="AM62" s="1197"/>
      <c r="AN62" s="1197"/>
      <c r="AO62" s="1197"/>
      <c r="AP62" s="1197"/>
      <c r="AQ62" s="1197"/>
      <c r="AR62" s="1214">
        <f>J62</f>
        <v>810</v>
      </c>
      <c r="AS62" s="1219"/>
      <c r="AT62" s="1220"/>
      <c r="AU62" s="1197"/>
      <c r="AV62" s="1197"/>
      <c r="AW62" s="1214">
        <f>J62</f>
        <v>810</v>
      </c>
      <c r="AX62" s="1197"/>
      <c r="AY62" s="1197"/>
      <c r="AZ62" s="1197"/>
      <c r="BA62" s="1214"/>
      <c r="BB62" s="1214"/>
      <c r="BC62" s="1189"/>
      <c r="BD62" s="1214"/>
      <c r="BE62" s="1257"/>
      <c r="BF62" s="1257"/>
      <c r="BG62" s="1188"/>
      <c r="BI62" s="1261"/>
      <c r="BJ62" s="1261"/>
      <c r="BK62" s="1261"/>
    </row>
    <row r="63" s="1053" customFormat="1" ht="31" customHeight="1" spans="1:63">
      <c r="A63" s="1100">
        <v>45637</v>
      </c>
      <c r="B63" s="1101" t="s">
        <v>344</v>
      </c>
      <c r="C63" s="1102" t="s">
        <v>91</v>
      </c>
      <c r="D63" s="1101">
        <v>4500153662</v>
      </c>
      <c r="E63" s="1103">
        <v>383095201</v>
      </c>
      <c r="F63" s="1101" t="s">
        <v>2211</v>
      </c>
      <c r="G63" s="1101" t="s">
        <v>2118</v>
      </c>
      <c r="H63" s="1101" t="s">
        <v>2118</v>
      </c>
      <c r="I63" s="1098" t="s">
        <v>2119</v>
      </c>
      <c r="J63" s="1120">
        <v>11460</v>
      </c>
      <c r="K63" s="1097">
        <v>0</v>
      </c>
      <c r="L63" s="1097">
        <v>12</v>
      </c>
      <c r="M63" s="1114">
        <f t="shared" si="5"/>
        <v>955</v>
      </c>
      <c r="N63" s="1117">
        <v>45705</v>
      </c>
      <c r="O63" s="1117">
        <v>45673</v>
      </c>
      <c r="P63" s="1119"/>
      <c r="Q63" s="1119" t="s">
        <v>1480</v>
      </c>
      <c r="R63" s="1142"/>
      <c r="S63" s="1144">
        <v>45637</v>
      </c>
      <c r="T63" s="1137" t="s">
        <v>2112</v>
      </c>
      <c r="U63" s="1138">
        <v>45660</v>
      </c>
      <c r="V63" s="1139" t="s">
        <v>2212</v>
      </c>
      <c r="W63" s="1145" t="s">
        <v>349</v>
      </c>
      <c r="X63" s="1149" t="s">
        <v>350</v>
      </c>
      <c r="Y63" s="1165">
        <v>2.6662</v>
      </c>
      <c r="Z63" s="1166">
        <f>Y63*J63</f>
        <v>30554.652</v>
      </c>
      <c r="AA63" s="1167" t="s">
        <v>351</v>
      </c>
      <c r="AB63" s="1137" t="s">
        <v>63</v>
      </c>
      <c r="AC63" s="1137" t="s">
        <v>2040</v>
      </c>
      <c r="AD63" s="1175">
        <f>3168+4692+3600</f>
        <v>11460</v>
      </c>
      <c r="AE63" s="1167">
        <f>AD63-J63</f>
        <v>0</v>
      </c>
      <c r="AF63" s="1173" t="s">
        <v>327</v>
      </c>
      <c r="AG63" s="1173"/>
      <c r="AH63" s="1188">
        <f>J63/3</f>
        <v>3820</v>
      </c>
      <c r="AI63" s="1188">
        <f>J63/3</f>
        <v>3820</v>
      </c>
      <c r="AJ63" s="1188">
        <f>J63/3</f>
        <v>3820</v>
      </c>
      <c r="AK63" s="1202"/>
      <c r="AL63" s="1203"/>
      <c r="AM63" s="1203"/>
      <c r="AN63" s="1203"/>
      <c r="AO63" s="1203"/>
      <c r="AP63" s="1203"/>
      <c r="AQ63" s="1203"/>
      <c r="AR63" s="1214">
        <f>J63</f>
        <v>11460</v>
      </c>
      <c r="AS63" s="1229"/>
      <c r="AT63" s="1230"/>
      <c r="AU63" s="1203"/>
      <c r="AV63" s="1203"/>
      <c r="AW63" s="1214">
        <f>J63</f>
        <v>11460</v>
      </c>
      <c r="AX63" s="1203"/>
      <c r="AY63" s="1203"/>
      <c r="AZ63" s="1203"/>
      <c r="BA63" s="1214"/>
      <c r="BB63" s="1214"/>
      <c r="BC63" s="1189"/>
      <c r="BD63" s="1214"/>
      <c r="BE63" s="1257"/>
      <c r="BF63" s="1257"/>
      <c r="BG63" s="1188"/>
      <c r="BI63" s="1263"/>
      <c r="BJ63" s="1263"/>
      <c r="BK63" s="1263"/>
    </row>
    <row r="64" s="1053" customFormat="1" ht="31" customHeight="1" spans="1:63">
      <c r="A64" s="1100">
        <v>45630</v>
      </c>
      <c r="B64" s="1101" t="s">
        <v>90</v>
      </c>
      <c r="C64" s="1102" t="s">
        <v>91</v>
      </c>
      <c r="D64" s="1101">
        <v>4500153250</v>
      </c>
      <c r="E64" s="2332" t="s">
        <v>2213</v>
      </c>
      <c r="F64" s="1101" t="s">
        <v>2214</v>
      </c>
      <c r="G64" s="1104" t="s">
        <v>2044</v>
      </c>
      <c r="H64" s="1101" t="s">
        <v>2044</v>
      </c>
      <c r="I64" s="1098" t="s">
        <v>2045</v>
      </c>
      <c r="J64" s="1101">
        <v>2</v>
      </c>
      <c r="K64" s="1097">
        <v>0</v>
      </c>
      <c r="L64" s="1097">
        <v>1</v>
      </c>
      <c r="M64" s="1114">
        <f t="shared" si="5"/>
        <v>2</v>
      </c>
      <c r="N64" s="1117">
        <v>45706</v>
      </c>
      <c r="O64" s="1117">
        <v>45702</v>
      </c>
      <c r="P64" s="1118" t="s">
        <v>2195</v>
      </c>
      <c r="Q64" s="1119" t="s">
        <v>1480</v>
      </c>
      <c r="R64" s="1135" t="s">
        <v>2215</v>
      </c>
      <c r="S64" s="1144" t="s">
        <v>2036</v>
      </c>
      <c r="T64" s="1137" t="s">
        <v>58</v>
      </c>
      <c r="U64" s="1138">
        <v>45640</v>
      </c>
      <c r="V64" s="1139" t="s">
        <v>2037</v>
      </c>
      <c r="W64" s="1145" t="s">
        <v>2166</v>
      </c>
      <c r="X64" s="1149" t="s">
        <v>2216</v>
      </c>
      <c r="Y64" s="1165">
        <v>1008.088</v>
      </c>
      <c r="Z64" s="1166">
        <f>Y64*M64</f>
        <v>2016.176</v>
      </c>
      <c r="AA64" s="1167" t="s">
        <v>2217</v>
      </c>
      <c r="AB64" s="1137" t="s">
        <v>63</v>
      </c>
      <c r="AC64" s="1137" t="s">
        <v>2040</v>
      </c>
      <c r="AD64" s="1168">
        <v>640</v>
      </c>
      <c r="AE64" s="1168">
        <f>AD64-J65</f>
        <v>0</v>
      </c>
      <c r="AF64" s="1170"/>
      <c r="AG64" s="1173"/>
      <c r="AH64" s="1188"/>
      <c r="AI64" s="1188"/>
      <c r="AJ64" s="1188"/>
      <c r="AK64" s="1196"/>
      <c r="AL64" s="1197"/>
      <c r="AM64" s="1197"/>
      <c r="AN64" s="1197"/>
      <c r="AO64" s="1197"/>
      <c r="AP64" s="1197"/>
      <c r="AQ64" s="1197"/>
      <c r="AR64" s="1214"/>
      <c r="AS64" s="1219"/>
      <c r="AT64" s="1220"/>
      <c r="AU64" s="1197"/>
      <c r="AV64" s="1197"/>
      <c r="AW64" s="1214"/>
      <c r="AX64" s="1197"/>
      <c r="AY64" s="1197"/>
      <c r="AZ64" s="1197"/>
      <c r="BA64" s="1214"/>
      <c r="BB64" s="1214"/>
      <c r="BC64" s="1189"/>
      <c r="BD64" s="1214"/>
      <c r="BE64" s="1257"/>
      <c r="BF64" s="1257"/>
      <c r="BG64" s="1188"/>
      <c r="BI64" s="1261"/>
      <c r="BJ64" s="1261"/>
      <c r="BK64" s="1261"/>
    </row>
    <row r="65" s="1053" customFormat="1" ht="31" customHeight="1" spans="1:63">
      <c r="A65" s="1100">
        <v>45630</v>
      </c>
      <c r="B65" s="1101" t="s">
        <v>90</v>
      </c>
      <c r="C65" s="1102" t="s">
        <v>91</v>
      </c>
      <c r="D65" s="1101">
        <v>4500153250</v>
      </c>
      <c r="E65" s="2332" t="s">
        <v>2213</v>
      </c>
      <c r="F65" s="1101" t="s">
        <v>2214</v>
      </c>
      <c r="G65" s="1101"/>
      <c r="H65" s="1101" t="s">
        <v>2051</v>
      </c>
      <c r="I65" s="1098" t="s">
        <v>2052</v>
      </c>
      <c r="J65" s="1101">
        <v>640</v>
      </c>
      <c r="K65" s="1097">
        <v>0</v>
      </c>
      <c r="L65" s="1097">
        <v>320</v>
      </c>
      <c r="M65" s="1114">
        <f t="shared" si="5"/>
        <v>2</v>
      </c>
      <c r="N65" s="1117">
        <v>45706</v>
      </c>
      <c r="O65" s="1117">
        <v>45702</v>
      </c>
      <c r="P65" s="1119"/>
      <c r="Q65" s="1119" t="s">
        <v>1480</v>
      </c>
      <c r="R65" s="1142"/>
      <c r="S65" s="1147"/>
      <c r="T65" s="1137" t="s">
        <v>58</v>
      </c>
      <c r="U65" s="1137"/>
      <c r="V65" s="1143"/>
      <c r="W65" s="1148"/>
      <c r="X65" s="1149" t="s">
        <v>2216</v>
      </c>
      <c r="Y65" s="1165">
        <v>0</v>
      </c>
      <c r="Z65" s="1166">
        <f>Y65*M65</f>
        <v>0</v>
      </c>
      <c r="AA65" s="1167" t="s">
        <v>2217</v>
      </c>
      <c r="AB65" s="1137" t="s">
        <v>63</v>
      </c>
      <c r="AC65" s="1137" t="s">
        <v>2040</v>
      </c>
      <c r="AD65" s="1172"/>
      <c r="AE65" s="1172"/>
      <c r="AF65" s="1173"/>
      <c r="AG65" s="1173"/>
      <c r="AH65" s="1188">
        <f>J65</f>
        <v>640</v>
      </c>
      <c r="AI65" s="1188"/>
      <c r="AJ65" s="1188"/>
      <c r="AK65" s="1196"/>
      <c r="AL65" s="1197"/>
      <c r="AM65" s="1197"/>
      <c r="AN65" s="1197"/>
      <c r="AO65" s="1197"/>
      <c r="AP65" s="1197"/>
      <c r="AQ65" s="1197"/>
      <c r="AR65" s="1214">
        <f t="shared" ref="AR64:AR80" si="17">J65</f>
        <v>640</v>
      </c>
      <c r="AS65" s="1219"/>
      <c r="AT65" s="1220"/>
      <c r="AU65" s="1197"/>
      <c r="AV65" s="1197"/>
      <c r="AW65" s="1214"/>
      <c r="AX65" s="1197"/>
      <c r="AY65" s="1197"/>
      <c r="AZ65" s="1197"/>
      <c r="BA65" s="1214"/>
      <c r="BB65" s="1214"/>
      <c r="BC65" s="1189"/>
      <c r="BD65" s="1214"/>
      <c r="BE65" s="1257">
        <f t="shared" ref="BE64:BE77" si="18">J65</f>
        <v>640</v>
      </c>
      <c r="BF65" s="1257"/>
      <c r="BG65" s="1188"/>
      <c r="BI65" s="1261"/>
      <c r="BJ65" s="1261"/>
      <c r="BK65" s="1261"/>
    </row>
    <row r="66" s="1053" customFormat="1" ht="31" customHeight="1" spans="1:63">
      <c r="A66" s="1100">
        <v>45630</v>
      </c>
      <c r="B66" s="1101" t="s">
        <v>90</v>
      </c>
      <c r="C66" s="1102" t="s">
        <v>91</v>
      </c>
      <c r="D66" s="1101">
        <v>4500153251</v>
      </c>
      <c r="E66" s="2332" t="s">
        <v>2218</v>
      </c>
      <c r="F66" s="1101" t="s">
        <v>2219</v>
      </c>
      <c r="G66" s="1104" t="s">
        <v>2044</v>
      </c>
      <c r="H66" s="1101" t="s">
        <v>2044</v>
      </c>
      <c r="I66" s="1098" t="s">
        <v>2045</v>
      </c>
      <c r="J66" s="1101">
        <v>2</v>
      </c>
      <c r="K66" s="1097">
        <v>0</v>
      </c>
      <c r="L66" s="1097">
        <v>1</v>
      </c>
      <c r="M66" s="1114">
        <f t="shared" si="5"/>
        <v>2</v>
      </c>
      <c r="N66" s="1117">
        <v>45706</v>
      </c>
      <c r="O66" s="1117">
        <v>45702</v>
      </c>
      <c r="P66" s="1118" t="s">
        <v>2195</v>
      </c>
      <c r="Q66" s="1119" t="s">
        <v>1480</v>
      </c>
      <c r="R66" s="1135" t="s">
        <v>2220</v>
      </c>
      <c r="S66" s="1144" t="s">
        <v>2036</v>
      </c>
      <c r="T66" s="1137" t="s">
        <v>58</v>
      </c>
      <c r="U66" s="1138">
        <v>45640</v>
      </c>
      <c r="V66" s="1139" t="s">
        <v>2037</v>
      </c>
      <c r="W66" s="1145" t="s">
        <v>2221</v>
      </c>
      <c r="X66" s="1149" t="s">
        <v>101</v>
      </c>
      <c r="Y66" s="1165">
        <v>989.0153</v>
      </c>
      <c r="Z66" s="1166">
        <f>Y66*M66</f>
        <v>1978.0306</v>
      </c>
      <c r="AA66" s="1167" t="s">
        <v>2222</v>
      </c>
      <c r="AB66" s="1137" t="s">
        <v>63</v>
      </c>
      <c r="AC66" s="1137" t="s">
        <v>2040</v>
      </c>
      <c r="AD66" s="1168">
        <v>640</v>
      </c>
      <c r="AE66" s="1168">
        <f>AD66-J67</f>
        <v>0</v>
      </c>
      <c r="AF66" s="1170"/>
      <c r="AG66" s="1173"/>
      <c r="AH66" s="1188"/>
      <c r="AI66" s="1188"/>
      <c r="AJ66" s="1188"/>
      <c r="AK66" s="1196"/>
      <c r="AL66" s="1197"/>
      <c r="AM66" s="1197"/>
      <c r="AN66" s="1197"/>
      <c r="AO66" s="1197"/>
      <c r="AP66" s="1197"/>
      <c r="AQ66" s="1197"/>
      <c r="AR66" s="1214"/>
      <c r="AS66" s="1219"/>
      <c r="AT66" s="1220"/>
      <c r="AU66" s="1197"/>
      <c r="AV66" s="1197"/>
      <c r="AW66" s="1214"/>
      <c r="AX66" s="1197"/>
      <c r="AY66" s="1197"/>
      <c r="AZ66" s="1197"/>
      <c r="BA66" s="1214"/>
      <c r="BB66" s="1214"/>
      <c r="BC66" s="1189"/>
      <c r="BD66" s="1214"/>
      <c r="BE66" s="1257"/>
      <c r="BF66" s="1257"/>
      <c r="BG66" s="1188"/>
      <c r="BI66" s="1261"/>
      <c r="BJ66" s="1261"/>
      <c r="BK66" s="1261"/>
    </row>
    <row r="67" s="1053" customFormat="1" ht="31" customHeight="1" spans="1:63">
      <c r="A67" s="1100">
        <v>45630</v>
      </c>
      <c r="B67" s="1101" t="s">
        <v>90</v>
      </c>
      <c r="C67" s="1102" t="s">
        <v>91</v>
      </c>
      <c r="D67" s="1101">
        <v>4500153251</v>
      </c>
      <c r="E67" s="2332" t="s">
        <v>2218</v>
      </c>
      <c r="F67" s="1101" t="s">
        <v>2219</v>
      </c>
      <c r="G67" s="1101"/>
      <c r="H67" s="1101" t="s">
        <v>2051</v>
      </c>
      <c r="I67" s="1098" t="s">
        <v>2052</v>
      </c>
      <c r="J67" s="1101">
        <v>640</v>
      </c>
      <c r="K67" s="1097">
        <v>0</v>
      </c>
      <c r="L67" s="1097">
        <v>320</v>
      </c>
      <c r="M67" s="1114">
        <f t="shared" si="5"/>
        <v>2</v>
      </c>
      <c r="N67" s="1117">
        <v>45706</v>
      </c>
      <c r="O67" s="1117">
        <v>45702</v>
      </c>
      <c r="P67" s="1119"/>
      <c r="Q67" s="1119" t="s">
        <v>1480</v>
      </c>
      <c r="R67" s="1142"/>
      <c r="S67" s="1147"/>
      <c r="T67" s="1137" t="s">
        <v>58</v>
      </c>
      <c r="U67" s="1137"/>
      <c r="V67" s="1143"/>
      <c r="W67" s="1148"/>
      <c r="X67" s="1149" t="s">
        <v>101</v>
      </c>
      <c r="Y67" s="1165">
        <v>0</v>
      </c>
      <c r="Z67" s="1166">
        <f>Y67*M67</f>
        <v>0</v>
      </c>
      <c r="AA67" s="1167" t="s">
        <v>2222</v>
      </c>
      <c r="AB67" s="1137" t="s">
        <v>63</v>
      </c>
      <c r="AC67" s="1137" t="s">
        <v>2040</v>
      </c>
      <c r="AD67" s="1172"/>
      <c r="AE67" s="1172"/>
      <c r="AF67" s="1173"/>
      <c r="AG67" s="1173"/>
      <c r="AH67" s="1188">
        <f>J67</f>
        <v>640</v>
      </c>
      <c r="AI67" s="1188"/>
      <c r="AJ67" s="1188"/>
      <c r="AK67" s="1196"/>
      <c r="AL67" s="1197"/>
      <c r="AM67" s="1197"/>
      <c r="AN67" s="1197"/>
      <c r="AO67" s="1197"/>
      <c r="AP67" s="1197"/>
      <c r="AQ67" s="1197"/>
      <c r="AR67" s="1214">
        <f t="shared" si="17"/>
        <v>640</v>
      </c>
      <c r="AS67" s="1219"/>
      <c r="AT67" s="1220"/>
      <c r="AU67" s="1197"/>
      <c r="AV67" s="1197"/>
      <c r="AW67" s="1214"/>
      <c r="AX67" s="1197"/>
      <c r="AY67" s="1197"/>
      <c r="AZ67" s="1197"/>
      <c r="BA67" s="1214"/>
      <c r="BB67" s="1214"/>
      <c r="BC67" s="1189"/>
      <c r="BD67" s="1214"/>
      <c r="BE67" s="1257">
        <f t="shared" si="18"/>
        <v>640</v>
      </c>
      <c r="BF67" s="1257"/>
      <c r="BG67" s="1188"/>
      <c r="BI67" s="1261"/>
      <c r="BJ67" s="1261"/>
      <c r="BK67" s="1261"/>
    </row>
    <row r="68" s="1053" customFormat="1" ht="31" customHeight="1" spans="1:63">
      <c r="A68" s="1100">
        <v>45630</v>
      </c>
      <c r="B68" s="1101" t="s">
        <v>90</v>
      </c>
      <c r="C68" s="1102" t="s">
        <v>91</v>
      </c>
      <c r="D68" s="1101">
        <v>4500153251</v>
      </c>
      <c r="E68" s="2332" t="s">
        <v>2218</v>
      </c>
      <c r="F68" s="1101" t="s">
        <v>2223</v>
      </c>
      <c r="G68" s="1104" t="s">
        <v>2059</v>
      </c>
      <c r="H68" s="1101" t="s">
        <v>2059</v>
      </c>
      <c r="I68" s="1098" t="s">
        <v>2060</v>
      </c>
      <c r="J68" s="1101">
        <v>2</v>
      </c>
      <c r="K68" s="1097">
        <v>0</v>
      </c>
      <c r="L68" s="1097">
        <v>1</v>
      </c>
      <c r="M68" s="1114">
        <f t="shared" si="5"/>
        <v>2</v>
      </c>
      <c r="N68" s="1117">
        <v>45706</v>
      </c>
      <c r="O68" s="1117">
        <v>45702</v>
      </c>
      <c r="P68" s="1118" t="s">
        <v>2195</v>
      </c>
      <c r="Q68" s="1119" t="s">
        <v>1480</v>
      </c>
      <c r="R68" s="1135" t="s">
        <v>2220</v>
      </c>
      <c r="S68" s="1144" t="s">
        <v>2036</v>
      </c>
      <c r="T68" s="1137" t="s">
        <v>58</v>
      </c>
      <c r="U68" s="1138">
        <v>45640</v>
      </c>
      <c r="V68" s="1139" t="s">
        <v>2037</v>
      </c>
      <c r="W68" s="1145" t="s">
        <v>2224</v>
      </c>
      <c r="X68" s="1149" t="s">
        <v>101</v>
      </c>
      <c r="Y68" s="1165">
        <v>1006.68</v>
      </c>
      <c r="Z68" s="1166">
        <f>Y68*J68</f>
        <v>2013.36</v>
      </c>
      <c r="AA68" s="1167" t="s">
        <v>2222</v>
      </c>
      <c r="AB68" s="1137" t="s">
        <v>63</v>
      </c>
      <c r="AC68" s="1137" t="s">
        <v>2040</v>
      </c>
      <c r="AD68" s="1168">
        <v>640</v>
      </c>
      <c r="AE68" s="1168">
        <f>AD68-J69</f>
        <v>0</v>
      </c>
      <c r="AF68" s="1170"/>
      <c r="AG68" s="1173"/>
      <c r="AH68" s="1188"/>
      <c r="AI68" s="1188"/>
      <c r="AJ68" s="1188"/>
      <c r="AK68" s="1196"/>
      <c r="AL68" s="1197"/>
      <c r="AM68" s="1197"/>
      <c r="AN68" s="1197"/>
      <c r="AO68" s="1197"/>
      <c r="AP68" s="1197"/>
      <c r="AQ68" s="1197"/>
      <c r="AR68" s="1214"/>
      <c r="AS68" s="1219"/>
      <c r="AT68" s="1220"/>
      <c r="AU68" s="1197"/>
      <c r="AV68" s="1197"/>
      <c r="AW68" s="1214"/>
      <c r="AX68" s="1197"/>
      <c r="AY68" s="1197"/>
      <c r="AZ68" s="1197"/>
      <c r="BA68" s="1214"/>
      <c r="BB68" s="1214"/>
      <c r="BC68" s="1189"/>
      <c r="BD68" s="1214"/>
      <c r="BE68" s="1257"/>
      <c r="BF68" s="1257"/>
      <c r="BG68" s="1188"/>
      <c r="BI68" s="1261"/>
      <c r="BJ68" s="1261"/>
      <c r="BK68" s="1261"/>
    </row>
    <row r="69" s="1053" customFormat="1" ht="31" customHeight="1" spans="1:63">
      <c r="A69" s="1100">
        <v>45630</v>
      </c>
      <c r="B69" s="1101" t="s">
        <v>90</v>
      </c>
      <c r="C69" s="1102" t="s">
        <v>91</v>
      </c>
      <c r="D69" s="1101">
        <v>4500153251</v>
      </c>
      <c r="E69" s="2332" t="s">
        <v>2218</v>
      </c>
      <c r="F69" s="1101" t="s">
        <v>2223</v>
      </c>
      <c r="G69" s="1101"/>
      <c r="H69" s="1101" t="s">
        <v>2062</v>
      </c>
      <c r="I69" s="1098" t="s">
        <v>2063</v>
      </c>
      <c r="J69" s="1101">
        <v>640</v>
      </c>
      <c r="K69" s="1097">
        <v>0</v>
      </c>
      <c r="L69" s="1097">
        <v>320</v>
      </c>
      <c r="M69" s="1114">
        <f t="shared" si="5"/>
        <v>2</v>
      </c>
      <c r="N69" s="1117">
        <v>45706</v>
      </c>
      <c r="O69" s="1117">
        <v>45702</v>
      </c>
      <c r="P69" s="1119"/>
      <c r="Q69" s="1119" t="s">
        <v>1480</v>
      </c>
      <c r="R69" s="1142"/>
      <c r="S69" s="1147"/>
      <c r="T69" s="1137" t="s">
        <v>58</v>
      </c>
      <c r="U69" s="1137"/>
      <c r="V69" s="1143"/>
      <c r="W69" s="1148"/>
      <c r="X69" s="1149" t="s">
        <v>101</v>
      </c>
      <c r="Y69" s="1165">
        <v>0</v>
      </c>
      <c r="Z69" s="1166">
        <f>Y69*M69</f>
        <v>0</v>
      </c>
      <c r="AA69" s="1167" t="s">
        <v>2222</v>
      </c>
      <c r="AB69" s="1137" t="s">
        <v>63</v>
      </c>
      <c r="AC69" s="1137" t="s">
        <v>2040</v>
      </c>
      <c r="AD69" s="1172"/>
      <c r="AE69" s="1172"/>
      <c r="AF69" s="1173"/>
      <c r="AG69" s="1173"/>
      <c r="AH69" s="1188"/>
      <c r="AI69" s="1188">
        <f>J69</f>
        <v>640</v>
      </c>
      <c r="AJ69" s="1188"/>
      <c r="AK69" s="1196"/>
      <c r="AL69" s="1197"/>
      <c r="AM69" s="1197"/>
      <c r="AN69" s="1197"/>
      <c r="AO69" s="1197"/>
      <c r="AP69" s="1197"/>
      <c r="AQ69" s="1197"/>
      <c r="AR69" s="1214">
        <f t="shared" si="17"/>
        <v>640</v>
      </c>
      <c r="AS69" s="1219"/>
      <c r="AT69" s="1220"/>
      <c r="AU69" s="1197"/>
      <c r="AV69" s="1197"/>
      <c r="AW69" s="1214"/>
      <c r="AX69" s="1197"/>
      <c r="AY69" s="1197"/>
      <c r="AZ69" s="1197"/>
      <c r="BA69" s="1214"/>
      <c r="BB69" s="1214"/>
      <c r="BC69" s="1189"/>
      <c r="BD69" s="1214"/>
      <c r="BE69" s="1257">
        <f t="shared" si="18"/>
        <v>640</v>
      </c>
      <c r="BF69" s="1257"/>
      <c r="BG69" s="1188"/>
      <c r="BI69" s="1261"/>
      <c r="BJ69" s="1261"/>
      <c r="BK69" s="1261"/>
    </row>
    <row r="70" s="1053" customFormat="1" ht="31" customHeight="1" spans="1:63">
      <c r="A70" s="1100">
        <v>45630</v>
      </c>
      <c r="B70" s="1101" t="s">
        <v>90</v>
      </c>
      <c r="C70" s="1102" t="s">
        <v>91</v>
      </c>
      <c r="D70" s="1101">
        <v>4500153252</v>
      </c>
      <c r="E70" s="2332" t="s">
        <v>2225</v>
      </c>
      <c r="F70" s="1101" t="s">
        <v>2226</v>
      </c>
      <c r="G70" s="1104" t="s">
        <v>2044</v>
      </c>
      <c r="H70" s="1101" t="s">
        <v>2044</v>
      </c>
      <c r="I70" s="1098" t="s">
        <v>2045</v>
      </c>
      <c r="J70" s="1101">
        <v>2</v>
      </c>
      <c r="K70" s="1097">
        <v>0</v>
      </c>
      <c r="L70" s="1097">
        <v>1</v>
      </c>
      <c r="M70" s="1114">
        <f t="shared" si="5"/>
        <v>2</v>
      </c>
      <c r="N70" s="1117">
        <v>45706</v>
      </c>
      <c r="O70" s="1117">
        <v>45702</v>
      </c>
      <c r="P70" s="1118" t="s">
        <v>2195</v>
      </c>
      <c r="Q70" s="1119" t="s">
        <v>1480</v>
      </c>
      <c r="R70" s="1135" t="s">
        <v>2227</v>
      </c>
      <c r="S70" s="1144" t="s">
        <v>2036</v>
      </c>
      <c r="T70" s="1137" t="s">
        <v>58</v>
      </c>
      <c r="U70" s="1138">
        <v>45640</v>
      </c>
      <c r="V70" s="1139" t="s">
        <v>2037</v>
      </c>
      <c r="W70" s="1145" t="s">
        <v>2166</v>
      </c>
      <c r="X70" s="1149" t="s">
        <v>2216</v>
      </c>
      <c r="Y70" s="1165">
        <v>1008.088</v>
      </c>
      <c r="Z70" s="1166">
        <f>Y70*M70</f>
        <v>2016.176</v>
      </c>
      <c r="AA70" s="1167" t="s">
        <v>2228</v>
      </c>
      <c r="AB70" s="1137" t="s">
        <v>63</v>
      </c>
      <c r="AC70" s="1137" t="s">
        <v>2040</v>
      </c>
      <c r="AD70" s="1168">
        <v>640</v>
      </c>
      <c r="AE70" s="1168">
        <f>AD70-J71</f>
        <v>0</v>
      </c>
      <c r="AF70" s="1170"/>
      <c r="AG70" s="1173"/>
      <c r="AH70" s="1188"/>
      <c r="AI70" s="1188"/>
      <c r="AJ70" s="1188"/>
      <c r="AK70" s="1196"/>
      <c r="AL70" s="1197"/>
      <c r="AM70" s="1197"/>
      <c r="AN70" s="1197"/>
      <c r="AO70" s="1197"/>
      <c r="AP70" s="1197"/>
      <c r="AQ70" s="1197"/>
      <c r="AR70" s="1214"/>
      <c r="AS70" s="1219"/>
      <c r="AT70" s="1220"/>
      <c r="AU70" s="1197"/>
      <c r="AV70" s="1197"/>
      <c r="AW70" s="1214"/>
      <c r="AX70" s="1197"/>
      <c r="AY70" s="1197"/>
      <c r="AZ70" s="1197"/>
      <c r="BA70" s="1214"/>
      <c r="BB70" s="1214"/>
      <c r="BC70" s="1189"/>
      <c r="BD70" s="1214"/>
      <c r="BE70" s="1257"/>
      <c r="BF70" s="1257"/>
      <c r="BG70" s="1188"/>
      <c r="BI70" s="1261"/>
      <c r="BJ70" s="1261"/>
      <c r="BK70" s="1261"/>
    </row>
    <row r="71" s="1053" customFormat="1" ht="31" customHeight="1" spans="1:63">
      <c r="A71" s="1100">
        <v>45630</v>
      </c>
      <c r="B71" s="1101" t="s">
        <v>90</v>
      </c>
      <c r="C71" s="1102" t="s">
        <v>91</v>
      </c>
      <c r="D71" s="1101">
        <v>4500153252</v>
      </c>
      <c r="E71" s="2332" t="s">
        <v>2225</v>
      </c>
      <c r="F71" s="1101" t="s">
        <v>2226</v>
      </c>
      <c r="G71" s="1101"/>
      <c r="H71" s="1101" t="s">
        <v>2051</v>
      </c>
      <c r="I71" s="1098" t="s">
        <v>2052</v>
      </c>
      <c r="J71" s="1101">
        <v>640</v>
      </c>
      <c r="K71" s="1097">
        <v>0</v>
      </c>
      <c r="L71" s="1097">
        <v>320</v>
      </c>
      <c r="M71" s="1114">
        <f t="shared" si="5"/>
        <v>2</v>
      </c>
      <c r="N71" s="1117">
        <v>45706</v>
      </c>
      <c r="O71" s="1117">
        <v>45702</v>
      </c>
      <c r="P71" s="1119"/>
      <c r="Q71" s="1119" t="s">
        <v>1480</v>
      </c>
      <c r="R71" s="1142"/>
      <c r="S71" s="1147"/>
      <c r="T71" s="1137" t="s">
        <v>58</v>
      </c>
      <c r="U71" s="1137"/>
      <c r="V71" s="1143"/>
      <c r="W71" s="1148"/>
      <c r="X71" s="1149" t="s">
        <v>2216</v>
      </c>
      <c r="Y71" s="1165">
        <v>0</v>
      </c>
      <c r="Z71" s="1166">
        <f>Y71*M71</f>
        <v>0</v>
      </c>
      <c r="AA71" s="1167" t="s">
        <v>2228</v>
      </c>
      <c r="AB71" s="1137" t="s">
        <v>63</v>
      </c>
      <c r="AC71" s="1137" t="s">
        <v>2040</v>
      </c>
      <c r="AD71" s="1172"/>
      <c r="AE71" s="1172"/>
      <c r="AF71" s="1173"/>
      <c r="AG71" s="1173"/>
      <c r="AH71" s="1188">
        <f>J71</f>
        <v>640</v>
      </c>
      <c r="AI71" s="1188"/>
      <c r="AJ71" s="1188"/>
      <c r="AK71" s="1196"/>
      <c r="AL71" s="1197"/>
      <c r="AM71" s="1197"/>
      <c r="AN71" s="1197"/>
      <c r="AO71" s="1197"/>
      <c r="AP71" s="1197"/>
      <c r="AQ71" s="1197"/>
      <c r="AR71" s="1214">
        <f t="shared" si="17"/>
        <v>640</v>
      </c>
      <c r="AS71" s="1219"/>
      <c r="AT71" s="1220"/>
      <c r="AU71" s="1197"/>
      <c r="AV71" s="1197"/>
      <c r="AW71" s="1214"/>
      <c r="AX71" s="1197"/>
      <c r="AY71" s="1197"/>
      <c r="AZ71" s="1197"/>
      <c r="BA71" s="1214"/>
      <c r="BB71" s="1214"/>
      <c r="BC71" s="1189"/>
      <c r="BD71" s="1214"/>
      <c r="BE71" s="1257">
        <f t="shared" si="18"/>
        <v>640</v>
      </c>
      <c r="BF71" s="1257"/>
      <c r="BG71" s="1188"/>
      <c r="BI71" s="1261"/>
      <c r="BJ71" s="1261"/>
      <c r="BK71" s="1261"/>
    </row>
    <row r="72" s="1053" customFormat="1" ht="31" customHeight="1" spans="1:63">
      <c r="A72" s="1100">
        <v>45630</v>
      </c>
      <c r="B72" s="1101" t="s">
        <v>90</v>
      </c>
      <c r="C72" s="1102" t="s">
        <v>91</v>
      </c>
      <c r="D72" s="1101">
        <v>4500153254</v>
      </c>
      <c r="E72" s="2332" t="s">
        <v>2229</v>
      </c>
      <c r="F72" s="1101" t="s">
        <v>2230</v>
      </c>
      <c r="G72" s="1104" t="s">
        <v>2059</v>
      </c>
      <c r="H72" s="1101" t="s">
        <v>2059</v>
      </c>
      <c r="I72" s="1098" t="s">
        <v>2060</v>
      </c>
      <c r="J72" s="1101">
        <v>2</v>
      </c>
      <c r="K72" s="1097">
        <v>0</v>
      </c>
      <c r="L72" s="1097">
        <v>1</v>
      </c>
      <c r="M72" s="1114">
        <f t="shared" si="5"/>
        <v>2</v>
      </c>
      <c r="N72" s="1117">
        <v>45706</v>
      </c>
      <c r="O72" s="1117">
        <v>45702</v>
      </c>
      <c r="P72" s="1118" t="s">
        <v>2195</v>
      </c>
      <c r="Q72" s="1119" t="s">
        <v>1480</v>
      </c>
      <c r="R72" s="1135" t="s">
        <v>2215</v>
      </c>
      <c r="S72" s="1144" t="s">
        <v>2036</v>
      </c>
      <c r="T72" s="1137" t="s">
        <v>58</v>
      </c>
      <c r="U72" s="1138">
        <v>45640</v>
      </c>
      <c r="V72" s="1139" t="s">
        <v>2037</v>
      </c>
      <c r="W72" s="1145" t="s">
        <v>2094</v>
      </c>
      <c r="X72" s="1149" t="s">
        <v>101</v>
      </c>
      <c r="Y72" s="1165">
        <v>1006.68</v>
      </c>
      <c r="Z72" s="1166">
        <f>Y72*J72</f>
        <v>2013.36</v>
      </c>
      <c r="AA72" s="1167" t="s">
        <v>2231</v>
      </c>
      <c r="AB72" s="1137" t="s">
        <v>63</v>
      </c>
      <c r="AC72" s="1137" t="s">
        <v>2040</v>
      </c>
      <c r="AD72" s="1168">
        <v>640</v>
      </c>
      <c r="AE72" s="1168">
        <f>AD72-J73</f>
        <v>0</v>
      </c>
      <c r="AF72" s="1170"/>
      <c r="AG72" s="1173"/>
      <c r="AH72" s="1188"/>
      <c r="AI72" s="1188"/>
      <c r="AJ72" s="1188"/>
      <c r="AK72" s="1196"/>
      <c r="AL72" s="1197"/>
      <c r="AM72" s="1197"/>
      <c r="AN72" s="1197"/>
      <c r="AO72" s="1197"/>
      <c r="AP72" s="1197"/>
      <c r="AQ72" s="1197"/>
      <c r="AR72" s="1214"/>
      <c r="AS72" s="1219"/>
      <c r="AT72" s="1220"/>
      <c r="AU72" s="1197"/>
      <c r="AV72" s="1197"/>
      <c r="AW72" s="1214"/>
      <c r="AX72" s="1197"/>
      <c r="AY72" s="1197"/>
      <c r="AZ72" s="1197"/>
      <c r="BA72" s="1214"/>
      <c r="BB72" s="1214"/>
      <c r="BC72" s="1189"/>
      <c r="BD72" s="1214"/>
      <c r="BE72" s="1257"/>
      <c r="BF72" s="1257"/>
      <c r="BG72" s="1188"/>
      <c r="BI72" s="1261"/>
      <c r="BJ72" s="1261"/>
      <c r="BK72" s="1261"/>
    </row>
    <row r="73" s="1053" customFormat="1" ht="31" customHeight="1" spans="1:63">
      <c r="A73" s="1100">
        <v>45630</v>
      </c>
      <c r="B73" s="1101" t="s">
        <v>90</v>
      </c>
      <c r="C73" s="1102" t="s">
        <v>91</v>
      </c>
      <c r="D73" s="1101">
        <v>4500153254</v>
      </c>
      <c r="E73" s="2332" t="s">
        <v>2229</v>
      </c>
      <c r="F73" s="1101" t="s">
        <v>2230</v>
      </c>
      <c r="G73" s="1101"/>
      <c r="H73" s="1101" t="s">
        <v>2062</v>
      </c>
      <c r="I73" s="1098" t="s">
        <v>2063</v>
      </c>
      <c r="J73" s="1101">
        <v>640</v>
      </c>
      <c r="K73" s="1097">
        <v>0</v>
      </c>
      <c r="L73" s="1097">
        <v>320</v>
      </c>
      <c r="M73" s="1114">
        <f t="shared" si="5"/>
        <v>2</v>
      </c>
      <c r="N73" s="1117">
        <v>45706</v>
      </c>
      <c r="O73" s="1117">
        <v>45702</v>
      </c>
      <c r="P73" s="1119"/>
      <c r="Q73" s="1119" t="s">
        <v>1480</v>
      </c>
      <c r="R73" s="1142"/>
      <c r="S73" s="1147"/>
      <c r="T73" s="1137" t="s">
        <v>58</v>
      </c>
      <c r="U73" s="1137"/>
      <c r="V73" s="1143"/>
      <c r="W73" s="1148"/>
      <c r="X73" s="1149" t="s">
        <v>101</v>
      </c>
      <c r="Y73" s="1165">
        <v>0</v>
      </c>
      <c r="Z73" s="1166">
        <f>Y73*M73</f>
        <v>0</v>
      </c>
      <c r="AA73" s="1167" t="s">
        <v>2231</v>
      </c>
      <c r="AB73" s="1137" t="s">
        <v>63</v>
      </c>
      <c r="AC73" s="1137" t="s">
        <v>2040</v>
      </c>
      <c r="AD73" s="1172"/>
      <c r="AE73" s="1172"/>
      <c r="AF73" s="1173"/>
      <c r="AG73" s="1173"/>
      <c r="AH73" s="1188"/>
      <c r="AI73" s="1188">
        <f>J73</f>
        <v>640</v>
      </c>
      <c r="AJ73" s="1188"/>
      <c r="AK73" s="1196"/>
      <c r="AL73" s="1197"/>
      <c r="AM73" s="1197"/>
      <c r="AN73" s="1197"/>
      <c r="AO73" s="1197"/>
      <c r="AP73" s="1197"/>
      <c r="AQ73" s="1197"/>
      <c r="AR73" s="1214">
        <f t="shared" si="17"/>
        <v>640</v>
      </c>
      <c r="AS73" s="1219"/>
      <c r="AT73" s="1220"/>
      <c r="AU73" s="1197"/>
      <c r="AV73" s="1197"/>
      <c r="AW73" s="1214"/>
      <c r="AX73" s="1197"/>
      <c r="AY73" s="1197"/>
      <c r="AZ73" s="1197"/>
      <c r="BA73" s="1214"/>
      <c r="BB73" s="1214"/>
      <c r="BC73" s="1189"/>
      <c r="BD73" s="1214"/>
      <c r="BE73" s="1257">
        <f t="shared" si="18"/>
        <v>640</v>
      </c>
      <c r="BF73" s="1257"/>
      <c r="BG73" s="1188"/>
      <c r="BI73" s="1261"/>
      <c r="BJ73" s="1261"/>
      <c r="BK73" s="1261"/>
    </row>
    <row r="74" s="1053" customFormat="1" ht="31" customHeight="1" spans="1:63">
      <c r="A74" s="1100">
        <v>45630</v>
      </c>
      <c r="B74" s="1101" t="s">
        <v>90</v>
      </c>
      <c r="C74" s="1102" t="s">
        <v>91</v>
      </c>
      <c r="D74" s="1101">
        <v>4500153255</v>
      </c>
      <c r="E74" s="2332" t="s">
        <v>2232</v>
      </c>
      <c r="F74" s="1101" t="s">
        <v>2233</v>
      </c>
      <c r="G74" s="1104" t="s">
        <v>2044</v>
      </c>
      <c r="H74" s="1101" t="s">
        <v>2044</v>
      </c>
      <c r="I74" s="1098" t="s">
        <v>2045</v>
      </c>
      <c r="J74" s="1101">
        <v>2</v>
      </c>
      <c r="K74" s="1097">
        <v>0</v>
      </c>
      <c r="L74" s="1097">
        <v>1</v>
      </c>
      <c r="M74" s="1114">
        <f t="shared" si="5"/>
        <v>2</v>
      </c>
      <c r="N74" s="1117">
        <v>45706</v>
      </c>
      <c r="O74" s="1117">
        <v>45702</v>
      </c>
      <c r="P74" s="1118" t="s">
        <v>2195</v>
      </c>
      <c r="Q74" s="1119" t="s">
        <v>1480</v>
      </c>
      <c r="R74" s="1135" t="s">
        <v>2234</v>
      </c>
      <c r="S74" s="1144" t="s">
        <v>2036</v>
      </c>
      <c r="T74" s="1137" t="s">
        <v>58</v>
      </c>
      <c r="U74" s="1138">
        <v>45640</v>
      </c>
      <c r="V74" s="1139" t="s">
        <v>2037</v>
      </c>
      <c r="W74" s="1145" t="s">
        <v>2221</v>
      </c>
      <c r="X74" s="1149" t="s">
        <v>101</v>
      </c>
      <c r="Y74" s="1165">
        <v>989.0153</v>
      </c>
      <c r="Z74" s="1166">
        <f>Y74*M74</f>
        <v>1978.0306</v>
      </c>
      <c r="AA74" s="1167" t="s">
        <v>2235</v>
      </c>
      <c r="AB74" s="1137" t="s">
        <v>63</v>
      </c>
      <c r="AC74" s="1137" t="s">
        <v>2040</v>
      </c>
      <c r="AD74" s="1168">
        <v>640</v>
      </c>
      <c r="AE74" s="1168">
        <f>AD74-J75</f>
        <v>0</v>
      </c>
      <c r="AF74" s="1170"/>
      <c r="AG74" s="1173"/>
      <c r="AH74" s="1188"/>
      <c r="AI74" s="1188"/>
      <c r="AJ74" s="1188"/>
      <c r="AK74" s="1196"/>
      <c r="AL74" s="1197"/>
      <c r="AM74" s="1197"/>
      <c r="AN74" s="1197"/>
      <c r="AO74" s="1197"/>
      <c r="AP74" s="1197"/>
      <c r="AQ74" s="1197"/>
      <c r="AR74" s="1214"/>
      <c r="AS74" s="1219"/>
      <c r="AT74" s="1220"/>
      <c r="AU74" s="1197"/>
      <c r="AV74" s="1197"/>
      <c r="AW74" s="1214"/>
      <c r="AX74" s="1197"/>
      <c r="AY74" s="1197"/>
      <c r="AZ74" s="1197"/>
      <c r="BA74" s="1214"/>
      <c r="BB74" s="1214"/>
      <c r="BC74" s="1189"/>
      <c r="BD74" s="1214"/>
      <c r="BE74" s="1257"/>
      <c r="BF74" s="1257"/>
      <c r="BG74" s="1188"/>
      <c r="BI74" s="1261"/>
      <c r="BJ74" s="1261"/>
      <c r="BK74" s="1261"/>
    </row>
    <row r="75" s="1053" customFormat="1" ht="31" customHeight="1" spans="1:63">
      <c r="A75" s="1100">
        <v>45630</v>
      </c>
      <c r="B75" s="1101" t="s">
        <v>90</v>
      </c>
      <c r="C75" s="1102" t="s">
        <v>91</v>
      </c>
      <c r="D75" s="1101">
        <v>4500153255</v>
      </c>
      <c r="E75" s="2332" t="s">
        <v>2232</v>
      </c>
      <c r="F75" s="1101" t="s">
        <v>2233</v>
      </c>
      <c r="G75" s="1101"/>
      <c r="H75" s="1101" t="s">
        <v>2051</v>
      </c>
      <c r="I75" s="1098" t="s">
        <v>2052</v>
      </c>
      <c r="J75" s="1101">
        <v>640</v>
      </c>
      <c r="K75" s="1097">
        <v>0</v>
      </c>
      <c r="L75" s="1097">
        <v>320</v>
      </c>
      <c r="M75" s="1114">
        <f t="shared" si="5"/>
        <v>2</v>
      </c>
      <c r="N75" s="1117">
        <v>45706</v>
      </c>
      <c r="O75" s="1117">
        <v>45702</v>
      </c>
      <c r="P75" s="1119"/>
      <c r="Q75" s="1119" t="s">
        <v>1480</v>
      </c>
      <c r="R75" s="1142"/>
      <c r="S75" s="1147"/>
      <c r="T75" s="1137" t="s">
        <v>58</v>
      </c>
      <c r="U75" s="1137"/>
      <c r="V75" s="1143"/>
      <c r="W75" s="1148"/>
      <c r="X75" s="1149" t="s">
        <v>101</v>
      </c>
      <c r="Y75" s="1165">
        <v>0</v>
      </c>
      <c r="Z75" s="1166">
        <f>Y75*M75</f>
        <v>0</v>
      </c>
      <c r="AA75" s="1167" t="s">
        <v>2235</v>
      </c>
      <c r="AB75" s="1137" t="s">
        <v>63</v>
      </c>
      <c r="AC75" s="1137" t="s">
        <v>2040</v>
      </c>
      <c r="AD75" s="1172"/>
      <c r="AE75" s="1172"/>
      <c r="AF75" s="1173"/>
      <c r="AG75" s="1173"/>
      <c r="AH75" s="1188">
        <f>J75</f>
        <v>640</v>
      </c>
      <c r="AI75" s="1188"/>
      <c r="AJ75" s="1188"/>
      <c r="AK75" s="1196"/>
      <c r="AL75" s="1197"/>
      <c r="AM75" s="1197"/>
      <c r="AN75" s="1197"/>
      <c r="AO75" s="1197"/>
      <c r="AP75" s="1197"/>
      <c r="AQ75" s="1197"/>
      <c r="AR75" s="1214">
        <f t="shared" si="17"/>
        <v>640</v>
      </c>
      <c r="AS75" s="1219"/>
      <c r="AT75" s="1220"/>
      <c r="AU75" s="1197"/>
      <c r="AV75" s="1197"/>
      <c r="AW75" s="1214"/>
      <c r="AX75" s="1197"/>
      <c r="AY75" s="1197"/>
      <c r="AZ75" s="1197"/>
      <c r="BA75" s="1214"/>
      <c r="BB75" s="1214"/>
      <c r="BC75" s="1189"/>
      <c r="BD75" s="1214"/>
      <c r="BE75" s="1257">
        <f t="shared" si="18"/>
        <v>640</v>
      </c>
      <c r="BF75" s="1257"/>
      <c r="BG75" s="1188"/>
      <c r="BI75" s="1261"/>
      <c r="BJ75" s="1261"/>
      <c r="BK75" s="1261"/>
    </row>
    <row r="76" s="1053" customFormat="1" ht="31" customHeight="1" spans="1:63">
      <c r="A76" s="1100">
        <v>45630</v>
      </c>
      <c r="B76" s="1101" t="s">
        <v>90</v>
      </c>
      <c r="C76" s="1102" t="s">
        <v>91</v>
      </c>
      <c r="D76" s="1101">
        <v>4500153255</v>
      </c>
      <c r="E76" s="2332" t="s">
        <v>2232</v>
      </c>
      <c r="F76" s="1101" t="s">
        <v>2236</v>
      </c>
      <c r="G76" s="1104" t="s">
        <v>2059</v>
      </c>
      <c r="H76" s="1101" t="s">
        <v>2059</v>
      </c>
      <c r="I76" s="1098" t="s">
        <v>2060</v>
      </c>
      <c r="J76" s="1101">
        <v>2</v>
      </c>
      <c r="K76" s="1097">
        <v>0</v>
      </c>
      <c r="L76" s="1097">
        <v>1</v>
      </c>
      <c r="M76" s="1114">
        <f t="shared" si="5"/>
        <v>2</v>
      </c>
      <c r="N76" s="1117">
        <v>45706</v>
      </c>
      <c r="O76" s="1117">
        <v>45702</v>
      </c>
      <c r="P76" s="1118" t="s">
        <v>2195</v>
      </c>
      <c r="Q76" s="1119" t="s">
        <v>1480</v>
      </c>
      <c r="R76" s="1135" t="s">
        <v>2234</v>
      </c>
      <c r="S76" s="1144" t="s">
        <v>2036</v>
      </c>
      <c r="T76" s="1137" t="s">
        <v>58</v>
      </c>
      <c r="U76" s="1138">
        <v>45640</v>
      </c>
      <c r="V76" s="1139" t="s">
        <v>2037</v>
      </c>
      <c r="W76" s="1145" t="s">
        <v>2224</v>
      </c>
      <c r="X76" s="1149" t="s">
        <v>101</v>
      </c>
      <c r="Y76" s="1165">
        <v>1006.68</v>
      </c>
      <c r="Z76" s="1166">
        <f>Y76*J76</f>
        <v>2013.36</v>
      </c>
      <c r="AA76" s="1167" t="s">
        <v>2235</v>
      </c>
      <c r="AB76" s="1137" t="s">
        <v>63</v>
      </c>
      <c r="AC76" s="1137" t="s">
        <v>2040</v>
      </c>
      <c r="AD76" s="1168">
        <v>640</v>
      </c>
      <c r="AE76" s="1168">
        <f>AD76-J77</f>
        <v>0</v>
      </c>
      <c r="AF76" s="1170"/>
      <c r="AG76" s="1173"/>
      <c r="AH76" s="1188"/>
      <c r="AI76" s="1188"/>
      <c r="AJ76" s="1188"/>
      <c r="AK76" s="1196"/>
      <c r="AL76" s="1197"/>
      <c r="AM76" s="1197"/>
      <c r="AN76" s="1197"/>
      <c r="AO76" s="1197"/>
      <c r="AP76" s="1197"/>
      <c r="AQ76" s="1197"/>
      <c r="AR76" s="1214"/>
      <c r="AS76" s="1219"/>
      <c r="AT76" s="1220"/>
      <c r="AU76" s="1197"/>
      <c r="AV76" s="1197"/>
      <c r="AW76" s="1214"/>
      <c r="AX76" s="1197"/>
      <c r="AY76" s="1197"/>
      <c r="AZ76" s="1197"/>
      <c r="BA76" s="1214"/>
      <c r="BB76" s="1214"/>
      <c r="BC76" s="1189"/>
      <c r="BD76" s="1214"/>
      <c r="BE76" s="1257"/>
      <c r="BF76" s="1257"/>
      <c r="BG76" s="1188"/>
      <c r="BI76" s="1261"/>
      <c r="BJ76" s="1261"/>
      <c r="BK76" s="1261"/>
    </row>
    <row r="77" s="1053" customFormat="1" ht="31" customHeight="1" spans="1:63">
      <c r="A77" s="1100">
        <v>45630</v>
      </c>
      <c r="B77" s="1101" t="s">
        <v>90</v>
      </c>
      <c r="C77" s="1102" t="s">
        <v>91</v>
      </c>
      <c r="D77" s="1101">
        <v>4500153255</v>
      </c>
      <c r="E77" s="2332" t="s">
        <v>2232</v>
      </c>
      <c r="F77" s="1101" t="s">
        <v>2236</v>
      </c>
      <c r="G77" s="1101"/>
      <c r="H77" s="1101" t="s">
        <v>2062</v>
      </c>
      <c r="I77" s="1098" t="s">
        <v>2063</v>
      </c>
      <c r="J77" s="1101">
        <v>640</v>
      </c>
      <c r="K77" s="1097">
        <v>0</v>
      </c>
      <c r="L77" s="1097">
        <v>320</v>
      </c>
      <c r="M77" s="1114">
        <f t="shared" si="5"/>
        <v>2</v>
      </c>
      <c r="N77" s="1117">
        <v>45706</v>
      </c>
      <c r="O77" s="1117">
        <v>45702</v>
      </c>
      <c r="P77" s="1119"/>
      <c r="Q77" s="1119" t="s">
        <v>1480</v>
      </c>
      <c r="R77" s="1142"/>
      <c r="S77" s="1147"/>
      <c r="T77" s="1137" t="s">
        <v>58</v>
      </c>
      <c r="U77" s="1137"/>
      <c r="V77" s="1143"/>
      <c r="W77" s="1148"/>
      <c r="X77" s="1149" t="s">
        <v>101</v>
      </c>
      <c r="Y77" s="1165">
        <v>0</v>
      </c>
      <c r="Z77" s="1166">
        <f>Y77*M77</f>
        <v>0</v>
      </c>
      <c r="AA77" s="1167" t="s">
        <v>2235</v>
      </c>
      <c r="AB77" s="1137" t="s">
        <v>63</v>
      </c>
      <c r="AC77" s="1137" t="s">
        <v>2040</v>
      </c>
      <c r="AD77" s="1172"/>
      <c r="AE77" s="1172"/>
      <c r="AF77" s="1173"/>
      <c r="AG77" s="1173"/>
      <c r="AH77" s="1188"/>
      <c r="AI77" s="1188">
        <f>J77</f>
        <v>640</v>
      </c>
      <c r="AJ77" s="1188"/>
      <c r="AK77" s="1196"/>
      <c r="AL77" s="1197"/>
      <c r="AM77" s="1197"/>
      <c r="AN77" s="1197"/>
      <c r="AO77" s="1197"/>
      <c r="AP77" s="1197"/>
      <c r="AQ77" s="1197"/>
      <c r="AR77" s="1214">
        <f t="shared" si="17"/>
        <v>640</v>
      </c>
      <c r="AS77" s="1219"/>
      <c r="AT77" s="1220"/>
      <c r="AU77" s="1197"/>
      <c r="AV77" s="1197"/>
      <c r="AW77" s="1214"/>
      <c r="AX77" s="1197"/>
      <c r="AY77" s="1197"/>
      <c r="AZ77" s="1197"/>
      <c r="BA77" s="1214"/>
      <c r="BB77" s="1214"/>
      <c r="BC77" s="1189"/>
      <c r="BD77" s="1214"/>
      <c r="BE77" s="1257">
        <f t="shared" si="18"/>
        <v>640</v>
      </c>
      <c r="BF77" s="1257"/>
      <c r="BG77" s="1188"/>
      <c r="BI77" s="1261"/>
      <c r="BJ77" s="1261"/>
      <c r="BK77" s="1261"/>
    </row>
    <row r="78" s="1053" customFormat="1" ht="31" customHeight="1" spans="1:63">
      <c r="A78" s="1100">
        <v>45652</v>
      </c>
      <c r="B78" s="1101" t="s">
        <v>2237</v>
      </c>
      <c r="C78" s="1102" t="s">
        <v>493</v>
      </c>
      <c r="D78" s="1101">
        <v>4500154798</v>
      </c>
      <c r="E78" s="1103" t="s">
        <v>2238</v>
      </c>
      <c r="F78" s="1101" t="s">
        <v>2239</v>
      </c>
      <c r="G78" s="1101" t="s">
        <v>2109</v>
      </c>
      <c r="H78" s="1101" t="s">
        <v>2109</v>
      </c>
      <c r="I78" s="1098" t="s">
        <v>2042</v>
      </c>
      <c r="J78" s="1120">
        <v>504</v>
      </c>
      <c r="K78" s="1097">
        <v>0</v>
      </c>
      <c r="L78" s="1097">
        <v>24</v>
      </c>
      <c r="M78" s="1114">
        <f t="shared" si="5"/>
        <v>21</v>
      </c>
      <c r="N78" s="1117">
        <v>45706</v>
      </c>
      <c r="O78" s="1117">
        <v>45702</v>
      </c>
      <c r="P78" s="1119"/>
      <c r="Q78" s="1119" t="s">
        <v>1480</v>
      </c>
      <c r="R78" s="1142"/>
      <c r="S78" s="1147" t="s">
        <v>2141</v>
      </c>
      <c r="T78" s="1137" t="s">
        <v>2112</v>
      </c>
      <c r="U78" s="1137">
        <v>45660</v>
      </c>
      <c r="V78" s="1143" t="s">
        <v>2240</v>
      </c>
      <c r="W78" s="1148" t="s">
        <v>2241</v>
      </c>
      <c r="X78" s="1149" t="s">
        <v>2115</v>
      </c>
      <c r="Y78" s="1165">
        <v>2.8799</v>
      </c>
      <c r="Z78" s="1166">
        <f t="shared" ref="Z78:Z96" si="19">Y78*J78</f>
        <v>1451.4696</v>
      </c>
      <c r="AA78" s="1167" t="s">
        <v>2242</v>
      </c>
      <c r="AB78" s="1137" t="s">
        <v>63</v>
      </c>
      <c r="AC78" s="1137" t="s">
        <v>2040</v>
      </c>
      <c r="AD78" s="1175">
        <v>504</v>
      </c>
      <c r="AE78" s="1167">
        <f t="shared" ref="AE78:AE104" si="20">AD78-J78</f>
        <v>0</v>
      </c>
      <c r="AF78" s="1173" t="s">
        <v>327</v>
      </c>
      <c r="AG78" s="1173"/>
      <c r="AH78" s="1188"/>
      <c r="AI78" s="1188"/>
      <c r="AJ78" s="1188">
        <f>J78</f>
        <v>504</v>
      </c>
      <c r="AK78" s="1295"/>
      <c r="AL78" s="1296"/>
      <c r="AM78" s="1296"/>
      <c r="AN78" s="1296"/>
      <c r="AO78" s="1296"/>
      <c r="AP78" s="1296"/>
      <c r="AQ78" s="1296"/>
      <c r="AR78" s="1214"/>
      <c r="AS78" s="1316"/>
      <c r="AT78" s="1317"/>
      <c r="AU78" s="1296"/>
      <c r="AV78" s="1296"/>
      <c r="AW78" s="1214"/>
      <c r="AX78" s="1296"/>
      <c r="AY78" s="1296"/>
      <c r="AZ78" s="1296"/>
      <c r="BA78" s="1214"/>
      <c r="BB78" s="1214"/>
      <c r="BC78" s="1189"/>
      <c r="BD78" s="1214"/>
      <c r="BE78" s="1257"/>
      <c r="BF78" s="1257">
        <f>J78</f>
        <v>504</v>
      </c>
      <c r="BG78" s="1188"/>
      <c r="BI78" s="1345"/>
      <c r="BJ78" s="1345"/>
      <c r="BK78" s="1345"/>
    </row>
    <row r="79" s="1053" customFormat="1" ht="31" customHeight="1" spans="1:63">
      <c r="A79" s="1100">
        <v>45615</v>
      </c>
      <c r="B79" s="1101" t="s">
        <v>230</v>
      </c>
      <c r="C79" s="1102" t="s">
        <v>91</v>
      </c>
      <c r="D79" s="1101">
        <v>4500151566</v>
      </c>
      <c r="E79" s="1103">
        <v>60188350</v>
      </c>
      <c r="F79" s="1101" t="s">
        <v>2243</v>
      </c>
      <c r="G79" s="1101" t="s">
        <v>2118</v>
      </c>
      <c r="H79" s="1101" t="s">
        <v>2118</v>
      </c>
      <c r="I79" s="1098" t="s">
        <v>2119</v>
      </c>
      <c r="J79" s="1120">
        <v>2400</v>
      </c>
      <c r="K79" s="1097">
        <v>0</v>
      </c>
      <c r="L79" s="1097">
        <v>12</v>
      </c>
      <c r="M79" s="1114">
        <f t="shared" si="5"/>
        <v>200</v>
      </c>
      <c r="N79" s="1117">
        <v>45707</v>
      </c>
      <c r="O79" s="1117">
        <v>45703</v>
      </c>
      <c r="P79" s="1119"/>
      <c r="Q79" s="1119" t="s">
        <v>1480</v>
      </c>
      <c r="R79" s="1142" t="s">
        <v>2191</v>
      </c>
      <c r="S79" s="1147" t="s">
        <v>2120</v>
      </c>
      <c r="T79" s="1137" t="s">
        <v>58</v>
      </c>
      <c r="U79" s="1137">
        <v>45679</v>
      </c>
      <c r="V79" s="1143" t="s">
        <v>235</v>
      </c>
      <c r="W79" s="1148" t="s">
        <v>359</v>
      </c>
      <c r="X79" s="1149" t="s">
        <v>237</v>
      </c>
      <c r="Y79" s="1165">
        <v>2.7741</v>
      </c>
      <c r="Z79" s="1166">
        <f t="shared" si="19"/>
        <v>6657.84</v>
      </c>
      <c r="AA79" s="1167" t="s">
        <v>360</v>
      </c>
      <c r="AB79" s="1137" t="s">
        <v>63</v>
      </c>
      <c r="AC79" s="1137" t="s">
        <v>2040</v>
      </c>
      <c r="AD79" s="1175">
        <v>2400</v>
      </c>
      <c r="AE79" s="1167">
        <f t="shared" si="20"/>
        <v>0</v>
      </c>
      <c r="AF79" s="1173" t="s">
        <v>327</v>
      </c>
      <c r="AG79" s="1173"/>
      <c r="AH79" s="1188">
        <f>J79/3</f>
        <v>800</v>
      </c>
      <c r="AI79" s="1188">
        <f>J79/3</f>
        <v>800</v>
      </c>
      <c r="AJ79" s="1188">
        <f>J79/3</f>
        <v>800</v>
      </c>
      <c r="AK79" s="1204"/>
      <c r="AL79" s="1205"/>
      <c r="AM79" s="1205"/>
      <c r="AN79" s="1205"/>
      <c r="AO79" s="1205"/>
      <c r="AP79" s="1205"/>
      <c r="AQ79" s="1205"/>
      <c r="AR79" s="1214">
        <f t="shared" ref="AR79:AR89" si="21">J79</f>
        <v>2400</v>
      </c>
      <c r="AS79" s="1190"/>
      <c r="AT79" s="1318"/>
      <c r="AU79" s="1205"/>
      <c r="AV79" s="1205"/>
      <c r="AW79" s="1214">
        <f>J79</f>
        <v>2400</v>
      </c>
      <c r="AX79" s="1205"/>
      <c r="AY79" s="1205"/>
      <c r="AZ79" s="1205"/>
      <c r="BA79" s="1214"/>
      <c r="BB79" s="1214"/>
      <c r="BC79" s="1189"/>
      <c r="BD79" s="1214"/>
      <c r="BE79" s="1257"/>
      <c r="BF79" s="1257"/>
      <c r="BG79" s="1188"/>
      <c r="BI79" s="1260"/>
      <c r="BJ79" s="1260"/>
      <c r="BK79" s="1260"/>
    </row>
    <row r="80" s="1053" customFormat="1" ht="31" customHeight="1" spans="1:63">
      <c r="A80" s="1100">
        <v>45615</v>
      </c>
      <c r="B80" s="1101" t="s">
        <v>230</v>
      </c>
      <c r="C80" s="1102" t="s">
        <v>91</v>
      </c>
      <c r="D80" s="1101">
        <v>4500151567</v>
      </c>
      <c r="E80" s="1103">
        <v>60192529</v>
      </c>
      <c r="F80" s="1101" t="s">
        <v>2244</v>
      </c>
      <c r="G80" s="1101" t="s">
        <v>2118</v>
      </c>
      <c r="H80" s="1101" t="s">
        <v>2118</v>
      </c>
      <c r="I80" s="1098" t="s">
        <v>2119</v>
      </c>
      <c r="J80" s="1120">
        <v>3648</v>
      </c>
      <c r="K80" s="1097">
        <v>0</v>
      </c>
      <c r="L80" s="1097">
        <v>12</v>
      </c>
      <c r="M80" s="1114">
        <f t="shared" si="5"/>
        <v>304</v>
      </c>
      <c r="N80" s="1117">
        <v>45707</v>
      </c>
      <c r="O80" s="1117">
        <v>45703</v>
      </c>
      <c r="P80" s="1119"/>
      <c r="Q80" s="1119" t="s">
        <v>1480</v>
      </c>
      <c r="R80" s="1142" t="s">
        <v>2191</v>
      </c>
      <c r="S80" s="1147" t="s">
        <v>2120</v>
      </c>
      <c r="T80" s="1137" t="s">
        <v>58</v>
      </c>
      <c r="U80" s="1137">
        <v>45679</v>
      </c>
      <c r="V80" s="1143" t="s">
        <v>235</v>
      </c>
      <c r="W80" s="1148" t="s">
        <v>359</v>
      </c>
      <c r="X80" s="1149" t="s">
        <v>2179</v>
      </c>
      <c r="Y80" s="1165">
        <v>2.8094</v>
      </c>
      <c r="Z80" s="1166">
        <f t="shared" si="19"/>
        <v>10248.6912</v>
      </c>
      <c r="AA80" s="1167" t="s">
        <v>2245</v>
      </c>
      <c r="AB80" s="1137" t="s">
        <v>63</v>
      </c>
      <c r="AC80" s="1137" t="s">
        <v>2040</v>
      </c>
      <c r="AD80" s="1175">
        <v>3648</v>
      </c>
      <c r="AE80" s="1167">
        <f t="shared" si="20"/>
        <v>0</v>
      </c>
      <c r="AF80" s="1173" t="s">
        <v>327</v>
      </c>
      <c r="AG80" s="1173"/>
      <c r="AH80" s="1188">
        <f>J80/3</f>
        <v>1216</v>
      </c>
      <c r="AI80" s="1188">
        <f>J80/3</f>
        <v>1216</v>
      </c>
      <c r="AJ80" s="1188">
        <f>J80/3</f>
        <v>1216</v>
      </c>
      <c r="AK80" s="1204"/>
      <c r="AL80" s="1205"/>
      <c r="AM80" s="1205"/>
      <c r="AN80" s="1205"/>
      <c r="AO80" s="1205"/>
      <c r="AP80" s="1205"/>
      <c r="AQ80" s="1205"/>
      <c r="AR80" s="1214">
        <f t="shared" si="21"/>
        <v>3648</v>
      </c>
      <c r="AS80" s="1190"/>
      <c r="AT80" s="1318"/>
      <c r="AU80" s="1205"/>
      <c r="AV80" s="1205"/>
      <c r="AW80" s="1214">
        <f>J80</f>
        <v>3648</v>
      </c>
      <c r="AX80" s="1205"/>
      <c r="AY80" s="1205"/>
      <c r="AZ80" s="1205"/>
      <c r="BA80" s="1214"/>
      <c r="BB80" s="1214"/>
      <c r="BC80" s="1189"/>
      <c r="BD80" s="1214"/>
      <c r="BE80" s="1257"/>
      <c r="BF80" s="1257"/>
      <c r="BG80" s="1188"/>
      <c r="BI80" s="1260"/>
      <c r="BJ80" s="1260"/>
      <c r="BK80" s="1260"/>
    </row>
    <row r="81" s="1053" customFormat="1" ht="31" customHeight="1" spans="1:63">
      <c r="A81" s="1100">
        <v>45636</v>
      </c>
      <c r="B81" s="1101" t="s">
        <v>2146</v>
      </c>
      <c r="C81" s="1102" t="s">
        <v>91</v>
      </c>
      <c r="D81" s="1101">
        <v>4500153656</v>
      </c>
      <c r="E81" s="1103" t="s">
        <v>2246</v>
      </c>
      <c r="F81" s="1101" t="s">
        <v>2247</v>
      </c>
      <c r="G81" s="1101" t="s">
        <v>2149</v>
      </c>
      <c r="H81" s="1101" t="s">
        <v>2149</v>
      </c>
      <c r="I81" s="1098" t="s">
        <v>2052</v>
      </c>
      <c r="J81" s="1120">
        <v>5028</v>
      </c>
      <c r="K81" s="1097">
        <v>0</v>
      </c>
      <c r="L81" s="1097">
        <v>6</v>
      </c>
      <c r="M81" s="1114">
        <f t="shared" si="5"/>
        <v>838</v>
      </c>
      <c r="N81" s="1117">
        <v>45712</v>
      </c>
      <c r="O81" s="1117">
        <v>45708</v>
      </c>
      <c r="P81" s="1122"/>
      <c r="Q81" s="1119" t="s">
        <v>1480</v>
      </c>
      <c r="R81" s="1142" t="s">
        <v>2248</v>
      </c>
      <c r="S81" s="1147">
        <v>45636</v>
      </c>
      <c r="T81" s="1137" t="s">
        <v>2112</v>
      </c>
      <c r="U81" s="1137">
        <v>46016</v>
      </c>
      <c r="V81" s="1143" t="s">
        <v>2249</v>
      </c>
      <c r="W81" s="1148" t="s">
        <v>2250</v>
      </c>
      <c r="X81" s="1146" t="s">
        <v>2152</v>
      </c>
      <c r="Y81" s="1165">
        <v>2.7329</v>
      </c>
      <c r="Z81" s="1166">
        <f t="shared" si="19"/>
        <v>13741.0212</v>
      </c>
      <c r="AA81" s="1167" t="s">
        <v>2251</v>
      </c>
      <c r="AB81" s="1137" t="s">
        <v>63</v>
      </c>
      <c r="AC81" s="1137" t="s">
        <v>2040</v>
      </c>
      <c r="AD81" s="1175">
        <f>1656+3372</f>
        <v>5028</v>
      </c>
      <c r="AE81" s="1167">
        <f t="shared" si="20"/>
        <v>0</v>
      </c>
      <c r="AF81" s="1173" t="s">
        <v>327</v>
      </c>
      <c r="AG81" s="1173"/>
      <c r="AH81" s="1188">
        <f>J81</f>
        <v>5028</v>
      </c>
      <c r="AI81" s="1188"/>
      <c r="AJ81" s="1188"/>
      <c r="AK81" s="1204"/>
      <c r="AL81" s="1205"/>
      <c r="AM81" s="1205"/>
      <c r="AN81" s="1205"/>
      <c r="AO81" s="1205"/>
      <c r="AP81" s="1205"/>
      <c r="AQ81" s="1205"/>
      <c r="AR81" s="1214">
        <f t="shared" si="21"/>
        <v>5028</v>
      </c>
      <c r="AS81" s="1191"/>
      <c r="AT81" s="1236"/>
      <c r="AU81" s="1237"/>
      <c r="AV81" s="1237"/>
      <c r="AW81" s="1214"/>
      <c r="AX81" s="1205"/>
      <c r="AY81" s="1205"/>
      <c r="AZ81" s="1205"/>
      <c r="BA81" s="1214"/>
      <c r="BB81" s="1214"/>
      <c r="BC81" s="1189"/>
      <c r="BD81" s="1214"/>
      <c r="BE81" s="1257"/>
      <c r="BF81" s="1257">
        <f>J81</f>
        <v>5028</v>
      </c>
      <c r="BG81" s="1188"/>
      <c r="BI81" s="1260"/>
      <c r="BJ81" s="1260"/>
      <c r="BK81" s="1260"/>
    </row>
    <row r="82" s="1053" customFormat="1" ht="31" customHeight="1" spans="1:63">
      <c r="A82" s="1100">
        <v>45558</v>
      </c>
      <c r="B82" s="1101" t="s">
        <v>1516</v>
      </c>
      <c r="C82" s="1102" t="s">
        <v>91</v>
      </c>
      <c r="D82" s="1101">
        <v>4500145929</v>
      </c>
      <c r="E82" s="1103">
        <v>10858917</v>
      </c>
      <c r="F82" s="1101" t="s">
        <v>2252</v>
      </c>
      <c r="G82" s="1101" t="s">
        <v>2169</v>
      </c>
      <c r="H82" s="1101" t="s">
        <v>2118</v>
      </c>
      <c r="I82" s="1098" t="s">
        <v>2119</v>
      </c>
      <c r="J82" s="1120">
        <v>372</v>
      </c>
      <c r="K82" s="1097">
        <v>0</v>
      </c>
      <c r="L82" s="1097">
        <v>12</v>
      </c>
      <c r="M82" s="1114">
        <f t="shared" si="5"/>
        <v>31</v>
      </c>
      <c r="N82" s="1117">
        <v>45712</v>
      </c>
      <c r="O82" s="1117">
        <v>45708</v>
      </c>
      <c r="P82" s="1119"/>
      <c r="Q82" s="1119" t="s">
        <v>1480</v>
      </c>
      <c r="R82" s="1142" t="s">
        <v>2253</v>
      </c>
      <c r="S82" s="1147">
        <v>46017</v>
      </c>
      <c r="T82" s="1137" t="s">
        <v>2112</v>
      </c>
      <c r="U82" s="1137">
        <v>46017</v>
      </c>
      <c r="V82" s="1143" t="s">
        <v>2170</v>
      </c>
      <c r="W82" s="1148" t="s">
        <v>2171</v>
      </c>
      <c r="X82" s="1150" t="s">
        <v>407</v>
      </c>
      <c r="Y82" s="1165">
        <v>3.0294</v>
      </c>
      <c r="Z82" s="1166">
        <f t="shared" si="19"/>
        <v>1126.9368</v>
      </c>
      <c r="AA82" s="1167" t="s">
        <v>1542</v>
      </c>
      <c r="AB82" s="1137" t="s">
        <v>63</v>
      </c>
      <c r="AC82" s="1137" t="s">
        <v>2040</v>
      </c>
      <c r="AD82" s="1175">
        <v>372</v>
      </c>
      <c r="AE82" s="1167">
        <f t="shared" si="20"/>
        <v>0</v>
      </c>
      <c r="AF82" s="1173" t="s">
        <v>327</v>
      </c>
      <c r="AG82" s="1173"/>
      <c r="AH82" s="1188">
        <f>J82/3</f>
        <v>124</v>
      </c>
      <c r="AI82" s="1188">
        <f>J82/3</f>
        <v>124</v>
      </c>
      <c r="AJ82" s="1188">
        <f>J82/3</f>
        <v>124</v>
      </c>
      <c r="AK82" s="1204"/>
      <c r="AL82" s="1205"/>
      <c r="AM82" s="1205"/>
      <c r="AN82" s="1205"/>
      <c r="AO82" s="1205"/>
      <c r="AP82" s="1205"/>
      <c r="AQ82" s="1205"/>
      <c r="AR82" s="1214">
        <f t="shared" si="21"/>
        <v>372</v>
      </c>
      <c r="AS82" s="1190"/>
      <c r="AT82" s="1318"/>
      <c r="AU82" s="1205"/>
      <c r="AV82" s="1205"/>
      <c r="AW82" s="1214"/>
      <c r="AX82" s="1205"/>
      <c r="AY82" s="1205"/>
      <c r="AZ82" s="1205"/>
      <c r="BA82" s="1214"/>
      <c r="BB82" s="1214"/>
      <c r="BC82" s="1189"/>
      <c r="BD82" s="1214">
        <f>J82</f>
        <v>372</v>
      </c>
      <c r="BE82" s="1257"/>
      <c r="BF82" s="1257"/>
      <c r="BG82" s="1188"/>
      <c r="BI82" s="1260"/>
      <c r="BJ82" s="1260"/>
      <c r="BK82" s="1260"/>
    </row>
    <row r="83" s="1053" customFormat="1" ht="31" customHeight="1" spans="1:63">
      <c r="A83" s="1100">
        <v>45558</v>
      </c>
      <c r="B83" s="1101" t="s">
        <v>1516</v>
      </c>
      <c r="C83" s="1102" t="s">
        <v>91</v>
      </c>
      <c r="D83" s="1101">
        <v>4500145932</v>
      </c>
      <c r="E83" s="1103">
        <v>10858916</v>
      </c>
      <c r="F83" s="1101" t="s">
        <v>2254</v>
      </c>
      <c r="G83" s="1101" t="s">
        <v>2169</v>
      </c>
      <c r="H83" s="1101" t="s">
        <v>2118</v>
      </c>
      <c r="I83" s="1098" t="s">
        <v>2119</v>
      </c>
      <c r="J83" s="1120">
        <v>336</v>
      </c>
      <c r="K83" s="1097">
        <v>0</v>
      </c>
      <c r="L83" s="1097">
        <v>12</v>
      </c>
      <c r="M83" s="1114">
        <f t="shared" si="5"/>
        <v>28</v>
      </c>
      <c r="N83" s="1117">
        <v>45712</v>
      </c>
      <c r="O83" s="1117">
        <v>45708</v>
      </c>
      <c r="P83" s="1119"/>
      <c r="Q83" s="1119" t="s">
        <v>1480</v>
      </c>
      <c r="R83" s="1142" t="s">
        <v>2253</v>
      </c>
      <c r="S83" s="1147">
        <v>46017</v>
      </c>
      <c r="T83" s="1137" t="s">
        <v>2112</v>
      </c>
      <c r="U83" s="1137">
        <v>46017</v>
      </c>
      <c r="V83" s="1143" t="s">
        <v>2170</v>
      </c>
      <c r="W83" s="1148" t="s">
        <v>2171</v>
      </c>
      <c r="X83" s="1150" t="s">
        <v>407</v>
      </c>
      <c r="Y83" s="1165">
        <v>3.0294</v>
      </c>
      <c r="Z83" s="1166">
        <f t="shared" si="19"/>
        <v>1017.8784</v>
      </c>
      <c r="AA83" s="1167" t="s">
        <v>1540</v>
      </c>
      <c r="AB83" s="1137" t="s">
        <v>63</v>
      </c>
      <c r="AC83" s="1137" t="s">
        <v>2040</v>
      </c>
      <c r="AD83" s="1175">
        <v>336</v>
      </c>
      <c r="AE83" s="1167">
        <f t="shared" si="20"/>
        <v>0</v>
      </c>
      <c r="AF83" s="1173" t="s">
        <v>327</v>
      </c>
      <c r="AG83" s="1173"/>
      <c r="AH83" s="1188">
        <f>J83/3</f>
        <v>112</v>
      </c>
      <c r="AI83" s="1188">
        <f>J83/3</f>
        <v>112</v>
      </c>
      <c r="AJ83" s="1188">
        <f>J83/3</f>
        <v>112</v>
      </c>
      <c r="AK83" s="1204"/>
      <c r="AL83" s="1205"/>
      <c r="AM83" s="1205"/>
      <c r="AN83" s="1205"/>
      <c r="AO83" s="1205"/>
      <c r="AP83" s="1205"/>
      <c r="AQ83" s="1205"/>
      <c r="AR83" s="1214">
        <f t="shared" si="21"/>
        <v>336</v>
      </c>
      <c r="AS83" s="1190"/>
      <c r="AT83" s="1318"/>
      <c r="AU83" s="1205"/>
      <c r="AV83" s="1205"/>
      <c r="AW83" s="1214"/>
      <c r="AX83" s="1205"/>
      <c r="AY83" s="1205"/>
      <c r="AZ83" s="1205"/>
      <c r="BA83" s="1214"/>
      <c r="BB83" s="1214"/>
      <c r="BC83" s="1189"/>
      <c r="BD83" s="1214">
        <f>J83</f>
        <v>336</v>
      </c>
      <c r="BE83" s="1257"/>
      <c r="BF83" s="1257"/>
      <c r="BG83" s="1188"/>
      <c r="BI83" s="1260"/>
      <c r="BJ83" s="1260"/>
      <c r="BK83" s="1260"/>
    </row>
    <row r="84" s="1053" customFormat="1" ht="31" customHeight="1" spans="1:63">
      <c r="A84" s="1100">
        <v>45558</v>
      </c>
      <c r="B84" s="1101" t="s">
        <v>1516</v>
      </c>
      <c r="C84" s="1102" t="s">
        <v>91</v>
      </c>
      <c r="D84" s="1101">
        <v>4500145933</v>
      </c>
      <c r="E84" s="1103">
        <v>10858915</v>
      </c>
      <c r="F84" s="1101" t="s">
        <v>2255</v>
      </c>
      <c r="G84" s="1101" t="s">
        <v>2169</v>
      </c>
      <c r="H84" s="1101" t="s">
        <v>2118</v>
      </c>
      <c r="I84" s="1098" t="s">
        <v>2119</v>
      </c>
      <c r="J84" s="1120">
        <v>708</v>
      </c>
      <c r="K84" s="1097">
        <v>0</v>
      </c>
      <c r="L84" s="1097">
        <v>12</v>
      </c>
      <c r="M84" s="1114">
        <f t="shared" si="5"/>
        <v>59</v>
      </c>
      <c r="N84" s="1117">
        <v>45728</v>
      </c>
      <c r="O84" s="1117">
        <v>45724</v>
      </c>
      <c r="P84" s="1119"/>
      <c r="Q84" s="1119" t="s">
        <v>1480</v>
      </c>
      <c r="R84" s="1142" t="s">
        <v>2256</v>
      </c>
      <c r="S84" s="1147">
        <v>46017</v>
      </c>
      <c r="T84" s="1137" t="s">
        <v>2112</v>
      </c>
      <c r="U84" s="1137">
        <v>46017</v>
      </c>
      <c r="V84" s="1143" t="s">
        <v>2170</v>
      </c>
      <c r="W84" s="1148" t="s">
        <v>2171</v>
      </c>
      <c r="X84" s="1150" t="s">
        <v>407</v>
      </c>
      <c r="Y84" s="1165">
        <v>3.0294</v>
      </c>
      <c r="Z84" s="1166">
        <f t="shared" si="19"/>
        <v>2144.8152</v>
      </c>
      <c r="AA84" s="1167" t="s">
        <v>1563</v>
      </c>
      <c r="AB84" s="1137" t="s">
        <v>63</v>
      </c>
      <c r="AC84" s="1137" t="s">
        <v>2040</v>
      </c>
      <c r="AD84" s="1175">
        <v>708</v>
      </c>
      <c r="AE84" s="1167">
        <f t="shared" si="20"/>
        <v>0</v>
      </c>
      <c r="AF84" s="1173" t="s">
        <v>327</v>
      </c>
      <c r="AG84" s="1173"/>
      <c r="AH84" s="1188">
        <f>J84/3</f>
        <v>236</v>
      </c>
      <c r="AI84" s="1188">
        <f>J84/3</f>
        <v>236</v>
      </c>
      <c r="AJ84" s="1188">
        <f>J84/3</f>
        <v>236</v>
      </c>
      <c r="AK84" s="1204"/>
      <c r="AL84" s="1205"/>
      <c r="AM84" s="1205"/>
      <c r="AN84" s="1205"/>
      <c r="AO84" s="1205"/>
      <c r="AP84" s="1205"/>
      <c r="AQ84" s="1205"/>
      <c r="AR84" s="1214">
        <f t="shared" si="21"/>
        <v>708</v>
      </c>
      <c r="AS84" s="1190"/>
      <c r="AT84" s="1318"/>
      <c r="AU84" s="1205"/>
      <c r="AV84" s="1205"/>
      <c r="AW84" s="1214"/>
      <c r="AX84" s="1205"/>
      <c r="AY84" s="1205"/>
      <c r="AZ84" s="1205"/>
      <c r="BA84" s="1214"/>
      <c r="BB84" s="1214"/>
      <c r="BC84" s="1189"/>
      <c r="BD84" s="1214">
        <f>J84</f>
        <v>708</v>
      </c>
      <c r="BE84" s="1257"/>
      <c r="BF84" s="1257"/>
      <c r="BG84" s="1188"/>
      <c r="BI84" s="1260"/>
      <c r="BJ84" s="1260"/>
      <c r="BK84" s="1260"/>
    </row>
    <row r="85" s="1053" customFormat="1" ht="31" customHeight="1" spans="1:63">
      <c r="A85" s="1100">
        <v>45644</v>
      </c>
      <c r="B85" s="1101" t="s">
        <v>1956</v>
      </c>
      <c r="C85" s="1102" t="s">
        <v>69</v>
      </c>
      <c r="D85" s="1101">
        <v>4500153527</v>
      </c>
      <c r="E85" s="1103">
        <v>2024032037</v>
      </c>
      <c r="F85" s="1101" t="s">
        <v>2257</v>
      </c>
      <c r="G85" s="1101" t="s">
        <v>2258</v>
      </c>
      <c r="H85" s="1101" t="s">
        <v>2118</v>
      </c>
      <c r="I85" s="1098" t="s">
        <v>2119</v>
      </c>
      <c r="J85" s="1120">
        <v>3120</v>
      </c>
      <c r="K85" s="1097">
        <v>0</v>
      </c>
      <c r="L85" s="1097">
        <v>12</v>
      </c>
      <c r="M85" s="1114">
        <f t="shared" si="5"/>
        <v>260</v>
      </c>
      <c r="N85" s="1117">
        <v>45736</v>
      </c>
      <c r="O85" s="1117">
        <v>45733</v>
      </c>
      <c r="P85" s="1119"/>
      <c r="Q85" s="1119" t="s">
        <v>1480</v>
      </c>
      <c r="R85" s="1142" t="s">
        <v>2259</v>
      </c>
      <c r="S85" s="1147">
        <v>45644</v>
      </c>
      <c r="T85" s="1137" t="s">
        <v>58</v>
      </c>
      <c r="U85" s="1137">
        <v>45648</v>
      </c>
      <c r="V85" s="1143" t="s">
        <v>2260</v>
      </c>
      <c r="W85" s="1273" t="s">
        <v>2261</v>
      </c>
      <c r="X85" s="1150" t="s">
        <v>79</v>
      </c>
      <c r="Y85" s="1165">
        <v>2.8094</v>
      </c>
      <c r="Z85" s="1166">
        <f t="shared" si="19"/>
        <v>8765.328</v>
      </c>
      <c r="AA85" s="1167" t="s">
        <v>2262</v>
      </c>
      <c r="AB85" s="1137" t="s">
        <v>63</v>
      </c>
      <c r="AC85" s="1137" t="s">
        <v>2040</v>
      </c>
      <c r="AD85" s="1175">
        <v>3120</v>
      </c>
      <c r="AE85" s="1167">
        <f t="shared" si="20"/>
        <v>0</v>
      </c>
      <c r="AF85" s="1173" t="s">
        <v>327</v>
      </c>
      <c r="AG85" s="1173"/>
      <c r="AH85" s="1188">
        <f>J85/3</f>
        <v>1040</v>
      </c>
      <c r="AI85" s="1188">
        <f>J85/3</f>
        <v>1040</v>
      </c>
      <c r="AJ85" s="1188">
        <f>J85/3</f>
        <v>1040</v>
      </c>
      <c r="AK85" s="1204"/>
      <c r="AL85" s="1205"/>
      <c r="AM85" s="1205"/>
      <c r="AN85" s="1205"/>
      <c r="AO85" s="1205"/>
      <c r="AP85" s="1205"/>
      <c r="AQ85" s="1205"/>
      <c r="AR85" s="1214">
        <f t="shared" si="21"/>
        <v>3120</v>
      </c>
      <c r="AS85" s="1190"/>
      <c r="AT85" s="1318"/>
      <c r="AU85" s="1205"/>
      <c r="AV85" s="1205"/>
      <c r="AW85" s="1214"/>
      <c r="AX85" s="1205"/>
      <c r="AY85" s="1205"/>
      <c r="AZ85" s="1205"/>
      <c r="BA85" s="1214">
        <f>J85</f>
        <v>3120</v>
      </c>
      <c r="BB85" s="1214"/>
      <c r="BC85" s="1189"/>
      <c r="BD85" s="1214"/>
      <c r="BE85" s="1257"/>
      <c r="BF85" s="1257"/>
      <c r="BG85" s="1188"/>
      <c r="BI85" s="1260"/>
      <c r="BJ85" s="1260"/>
      <c r="BK85" s="1260"/>
    </row>
    <row r="86" s="1053" customFormat="1" ht="31" customHeight="1" spans="1:63">
      <c r="A86" s="1100">
        <v>45657</v>
      </c>
      <c r="B86" s="1101" t="s">
        <v>230</v>
      </c>
      <c r="C86" s="1102" t="s">
        <v>91</v>
      </c>
      <c r="D86" s="1101">
        <v>4500155011</v>
      </c>
      <c r="E86" s="1103">
        <v>60188344</v>
      </c>
      <c r="F86" s="1101" t="s">
        <v>2263</v>
      </c>
      <c r="G86" s="1101" t="s">
        <v>2258</v>
      </c>
      <c r="H86" s="1101" t="s">
        <v>2118</v>
      </c>
      <c r="I86" s="1098" t="s">
        <v>2119</v>
      </c>
      <c r="J86" s="1120">
        <v>3408</v>
      </c>
      <c r="K86" s="1097">
        <v>0</v>
      </c>
      <c r="L86" s="1097">
        <v>12</v>
      </c>
      <c r="M86" s="1114">
        <f t="shared" si="5"/>
        <v>284</v>
      </c>
      <c r="N86" s="1117">
        <v>45722</v>
      </c>
      <c r="O86" s="1117">
        <v>45719</v>
      </c>
      <c r="P86" s="1119"/>
      <c r="Q86" s="1119" t="s">
        <v>1480</v>
      </c>
      <c r="R86" s="1142" t="s">
        <v>2264</v>
      </c>
      <c r="S86" s="1147" t="s">
        <v>2120</v>
      </c>
      <c r="T86" s="1137" t="s">
        <v>58</v>
      </c>
      <c r="U86" s="1137">
        <v>45706</v>
      </c>
      <c r="V86" s="1143" t="s">
        <v>235</v>
      </c>
      <c r="W86" s="1148" t="s">
        <v>425</v>
      </c>
      <c r="X86" s="1150" t="s">
        <v>237</v>
      </c>
      <c r="Y86" s="1165">
        <v>2.7478</v>
      </c>
      <c r="Z86" s="1166">
        <f t="shared" si="19"/>
        <v>9364.5024</v>
      </c>
      <c r="AA86" s="1167" t="s">
        <v>426</v>
      </c>
      <c r="AB86" s="1137" t="s">
        <v>63</v>
      </c>
      <c r="AC86" s="1137" t="s">
        <v>2040</v>
      </c>
      <c r="AD86" s="1175">
        <v>3408</v>
      </c>
      <c r="AE86" s="1167">
        <f t="shared" si="20"/>
        <v>0</v>
      </c>
      <c r="AF86" s="1173" t="s">
        <v>327</v>
      </c>
      <c r="AG86" s="1173"/>
      <c r="AH86" s="1188">
        <f>J86/3</f>
        <v>1136</v>
      </c>
      <c r="AI86" s="1188">
        <f>J86/3</f>
        <v>1136</v>
      </c>
      <c r="AJ86" s="1188">
        <f>J86/3</f>
        <v>1136</v>
      </c>
      <c r="AK86" s="1204"/>
      <c r="AL86" s="1205"/>
      <c r="AM86" s="1205"/>
      <c r="AN86" s="1205"/>
      <c r="AO86" s="1205"/>
      <c r="AP86" s="1205"/>
      <c r="AQ86" s="1205"/>
      <c r="AR86" s="1214">
        <f t="shared" si="21"/>
        <v>3408</v>
      </c>
      <c r="AS86" s="1190"/>
      <c r="AT86" s="1318"/>
      <c r="AU86" s="1205"/>
      <c r="AV86" s="1205"/>
      <c r="AW86" s="1214"/>
      <c r="AX86" s="1205"/>
      <c r="AY86" s="1205"/>
      <c r="AZ86" s="1205"/>
      <c r="BA86" s="1337">
        <f>J86</f>
        <v>3408</v>
      </c>
      <c r="BB86" s="1214"/>
      <c r="BC86" s="1189"/>
      <c r="BD86" s="1214"/>
      <c r="BE86" s="1257"/>
      <c r="BF86" s="1257"/>
      <c r="BG86" s="1188"/>
      <c r="BI86" s="1260"/>
      <c r="BJ86" s="1260"/>
      <c r="BK86" s="1260"/>
    </row>
    <row r="87" s="1053" customFormat="1" ht="31" customHeight="1" spans="1:63">
      <c r="A87" s="1100">
        <v>45671</v>
      </c>
      <c r="B87" s="1101" t="s">
        <v>2146</v>
      </c>
      <c r="C87" s="1102" t="s">
        <v>91</v>
      </c>
      <c r="D87" s="1101">
        <v>4500155864</v>
      </c>
      <c r="E87" s="1103" t="s">
        <v>2265</v>
      </c>
      <c r="F87" s="1101" t="s">
        <v>2266</v>
      </c>
      <c r="G87" s="1101" t="s">
        <v>2149</v>
      </c>
      <c r="H87" s="1101" t="s">
        <v>2149</v>
      </c>
      <c r="I87" s="1098" t="s">
        <v>2052</v>
      </c>
      <c r="J87" s="1120">
        <v>5028</v>
      </c>
      <c r="K87" s="1097">
        <v>0</v>
      </c>
      <c r="L87" s="1097">
        <v>6</v>
      </c>
      <c r="M87" s="1114">
        <f t="shared" si="5"/>
        <v>838</v>
      </c>
      <c r="N87" s="1117">
        <v>45730</v>
      </c>
      <c r="O87" s="1117">
        <v>45726</v>
      </c>
      <c r="P87" s="1119"/>
      <c r="Q87" s="1119" t="s">
        <v>1480</v>
      </c>
      <c r="R87" s="1142" t="s">
        <v>2267</v>
      </c>
      <c r="S87" s="1147">
        <v>45698</v>
      </c>
      <c r="T87" s="1137" t="s">
        <v>2112</v>
      </c>
      <c r="U87" s="1137">
        <v>45674</v>
      </c>
      <c r="V87" s="1143" t="s">
        <v>2268</v>
      </c>
      <c r="W87" s="1148" t="s">
        <v>2269</v>
      </c>
      <c r="X87" s="1150" t="s">
        <v>2152</v>
      </c>
      <c r="Y87" s="1165">
        <v>2.7329</v>
      </c>
      <c r="Z87" s="1166">
        <f t="shared" si="19"/>
        <v>13741.0212</v>
      </c>
      <c r="AA87" s="1167" t="s">
        <v>2270</v>
      </c>
      <c r="AB87" s="1137" t="s">
        <v>63</v>
      </c>
      <c r="AC87" s="1137" t="s">
        <v>2040</v>
      </c>
      <c r="AD87" s="1175">
        <v>5028</v>
      </c>
      <c r="AE87" s="1167">
        <f t="shared" si="20"/>
        <v>0</v>
      </c>
      <c r="AF87" s="1173" t="s">
        <v>327</v>
      </c>
      <c r="AG87" s="1173"/>
      <c r="AH87" s="1188">
        <f>J87</f>
        <v>5028</v>
      </c>
      <c r="AI87" s="1188"/>
      <c r="AJ87" s="1188"/>
      <c r="AK87" s="1295"/>
      <c r="AL87" s="1296"/>
      <c r="AM87" s="1296"/>
      <c r="AN87" s="1296"/>
      <c r="AO87" s="1296"/>
      <c r="AP87" s="1296"/>
      <c r="AQ87" s="1296"/>
      <c r="AR87" s="1214">
        <f t="shared" si="21"/>
        <v>5028</v>
      </c>
      <c r="AS87" s="1316"/>
      <c r="AT87" s="1317"/>
      <c r="AU87" s="1296"/>
      <c r="AV87" s="1296"/>
      <c r="AW87" s="1214"/>
      <c r="AX87" s="1296"/>
      <c r="AY87" s="1296"/>
      <c r="AZ87" s="1296"/>
      <c r="BA87" s="1214"/>
      <c r="BB87" s="1214"/>
      <c r="BC87" s="1189"/>
      <c r="BD87" s="1214"/>
      <c r="BE87" s="1257"/>
      <c r="BF87" s="1257">
        <f>J87</f>
        <v>5028</v>
      </c>
      <c r="BG87" s="1188"/>
      <c r="BI87" s="1345"/>
      <c r="BJ87" s="1345"/>
      <c r="BK87" s="1345"/>
    </row>
    <row r="88" s="1053" customFormat="1" ht="31" customHeight="1" spans="1:63">
      <c r="A88" s="1100">
        <v>45670</v>
      </c>
      <c r="B88" s="1101" t="s">
        <v>2205</v>
      </c>
      <c r="C88" s="1102" t="s">
        <v>123</v>
      </c>
      <c r="D88" s="1101">
        <v>4500155457</v>
      </c>
      <c r="E88" s="1103">
        <v>14332957</v>
      </c>
      <c r="F88" s="1101" t="s">
        <v>2271</v>
      </c>
      <c r="G88" s="1101" t="s">
        <v>2258</v>
      </c>
      <c r="H88" s="1101" t="s">
        <v>2079</v>
      </c>
      <c r="I88" s="1098" t="s">
        <v>2080</v>
      </c>
      <c r="J88" s="1120">
        <v>2202</v>
      </c>
      <c r="K88" s="1097">
        <v>0</v>
      </c>
      <c r="L88" s="1097">
        <v>6</v>
      </c>
      <c r="M88" s="1114">
        <f t="shared" si="5"/>
        <v>367</v>
      </c>
      <c r="N88" s="1117">
        <v>45733</v>
      </c>
      <c r="O88" s="1117">
        <v>45729</v>
      </c>
      <c r="P88" s="1119"/>
      <c r="Q88" s="1119" t="s">
        <v>1480</v>
      </c>
      <c r="R88" s="1274" t="s">
        <v>2272</v>
      </c>
      <c r="S88" s="1147">
        <v>45675</v>
      </c>
      <c r="T88" s="1137" t="s">
        <v>58</v>
      </c>
      <c r="U88" s="1137">
        <v>45698</v>
      </c>
      <c r="V88" s="1143" t="s">
        <v>2208</v>
      </c>
      <c r="W88" s="1148" t="s">
        <v>2273</v>
      </c>
      <c r="X88" s="1150" t="s">
        <v>700</v>
      </c>
      <c r="Y88" s="1165">
        <v>2.8593</v>
      </c>
      <c r="Z88" s="1166">
        <f t="shared" si="19"/>
        <v>6296.1786</v>
      </c>
      <c r="AA88" s="1167" t="s">
        <v>2274</v>
      </c>
      <c r="AB88" s="1137" t="s">
        <v>63</v>
      </c>
      <c r="AC88" s="1137" t="s">
        <v>2040</v>
      </c>
      <c r="AD88" s="1175">
        <v>2202</v>
      </c>
      <c r="AE88" s="1167">
        <f t="shared" si="20"/>
        <v>0</v>
      </c>
      <c r="AF88" s="1173" t="s">
        <v>327</v>
      </c>
      <c r="AG88" s="1173"/>
      <c r="AH88" s="1188">
        <f>J88/3</f>
        <v>734</v>
      </c>
      <c r="AI88" s="1188">
        <f>J88/3</f>
        <v>734</v>
      </c>
      <c r="AJ88" s="1188">
        <f>J88/3</f>
        <v>734</v>
      </c>
      <c r="AK88" s="1295"/>
      <c r="AL88" s="1296"/>
      <c r="AM88" s="1296"/>
      <c r="AN88" s="1296"/>
      <c r="AO88" s="1296"/>
      <c r="AP88" s="1296"/>
      <c r="AQ88" s="1296"/>
      <c r="AR88" s="1214">
        <f t="shared" si="21"/>
        <v>2202</v>
      </c>
      <c r="AS88" s="1316"/>
      <c r="AT88" s="1317"/>
      <c r="AU88" s="1296"/>
      <c r="AV88" s="1296"/>
      <c r="AW88" s="1214"/>
      <c r="AX88" s="1296"/>
      <c r="AY88" s="1296"/>
      <c r="AZ88" s="1296"/>
      <c r="BA88" s="1337">
        <f>J88</f>
        <v>2202</v>
      </c>
      <c r="BB88" s="1214"/>
      <c r="BC88" s="1189"/>
      <c r="BD88" s="1214"/>
      <c r="BE88" s="1257"/>
      <c r="BF88" s="1257"/>
      <c r="BG88" s="1188"/>
      <c r="BI88" s="1345"/>
      <c r="BJ88" s="1345"/>
      <c r="BK88" s="1345"/>
    </row>
    <row r="89" s="1053" customFormat="1" ht="31" customHeight="1" spans="1:63">
      <c r="A89" s="1100">
        <v>45657</v>
      </c>
      <c r="B89" s="1101" t="s">
        <v>2159</v>
      </c>
      <c r="C89" s="1102" t="s">
        <v>91</v>
      </c>
      <c r="D89" s="1101">
        <v>4500155038</v>
      </c>
      <c r="E89" s="1103">
        <v>70057484</v>
      </c>
      <c r="F89" s="1101" t="s">
        <v>2275</v>
      </c>
      <c r="G89" s="1101" t="s">
        <v>2118</v>
      </c>
      <c r="H89" s="1101" t="s">
        <v>2118</v>
      </c>
      <c r="I89" s="1098" t="s">
        <v>2119</v>
      </c>
      <c r="J89" s="1120">
        <v>1200</v>
      </c>
      <c r="K89" s="1097">
        <v>0</v>
      </c>
      <c r="L89" s="1097">
        <v>12</v>
      </c>
      <c r="M89" s="1114">
        <f t="shared" si="5"/>
        <v>100</v>
      </c>
      <c r="N89" s="1117">
        <v>45733</v>
      </c>
      <c r="O89" s="1117">
        <v>45729</v>
      </c>
      <c r="P89" s="1119"/>
      <c r="Q89" s="1119" t="s">
        <v>1480</v>
      </c>
      <c r="R89" s="1142" t="s">
        <v>412</v>
      </c>
      <c r="S89" s="1147" t="s">
        <v>2120</v>
      </c>
      <c r="T89" s="1137" t="s">
        <v>58</v>
      </c>
      <c r="U89" s="1137">
        <v>45714</v>
      </c>
      <c r="V89" s="1143" t="s">
        <v>235</v>
      </c>
      <c r="W89" s="1148" t="s">
        <v>425</v>
      </c>
      <c r="X89" s="1150" t="s">
        <v>2179</v>
      </c>
      <c r="Y89" s="1165">
        <v>2.9055</v>
      </c>
      <c r="Z89" s="1166">
        <f t="shared" si="19"/>
        <v>3486.6</v>
      </c>
      <c r="AA89" s="1167" t="s">
        <v>2276</v>
      </c>
      <c r="AB89" s="1137" t="s">
        <v>63</v>
      </c>
      <c r="AC89" s="1137" t="s">
        <v>2040</v>
      </c>
      <c r="AD89" s="1175">
        <v>1200</v>
      </c>
      <c r="AE89" s="1167">
        <f t="shared" si="20"/>
        <v>0</v>
      </c>
      <c r="AF89" s="1173" t="s">
        <v>327</v>
      </c>
      <c r="AG89" s="1173"/>
      <c r="AH89" s="1188">
        <f>J89/3</f>
        <v>400</v>
      </c>
      <c r="AI89" s="1188">
        <f>J89/3</f>
        <v>400</v>
      </c>
      <c r="AJ89" s="1188">
        <f>J89/3</f>
        <v>400</v>
      </c>
      <c r="AK89" s="1204"/>
      <c r="AL89" s="1205"/>
      <c r="AM89" s="1205"/>
      <c r="AN89" s="1205"/>
      <c r="AO89" s="1205"/>
      <c r="AP89" s="1205"/>
      <c r="AQ89" s="1205"/>
      <c r="AR89" s="1214">
        <f t="shared" si="21"/>
        <v>1200</v>
      </c>
      <c r="AS89" s="1190"/>
      <c r="AT89" s="1318"/>
      <c r="AU89" s="1205"/>
      <c r="AV89" s="1205"/>
      <c r="AW89" s="1214">
        <f>J89</f>
        <v>1200</v>
      </c>
      <c r="AX89" s="1205"/>
      <c r="AY89" s="1205"/>
      <c r="AZ89" s="1205"/>
      <c r="BA89" s="1214"/>
      <c r="BB89" s="1214"/>
      <c r="BC89" s="1189"/>
      <c r="BD89" s="1214"/>
      <c r="BE89" s="1257"/>
      <c r="BF89" s="1257"/>
      <c r="BG89" s="1188"/>
      <c r="BI89" s="1260"/>
      <c r="BJ89" s="1260"/>
      <c r="BK89" s="1260"/>
    </row>
    <row r="90" s="1053" customFormat="1" ht="31" customHeight="1" spans="1:63">
      <c r="A90" s="1100">
        <v>45666</v>
      </c>
      <c r="B90" s="1101" t="s">
        <v>2277</v>
      </c>
      <c r="C90" s="1102" t="s">
        <v>493</v>
      </c>
      <c r="D90" s="1101">
        <v>4500152754</v>
      </c>
      <c r="E90" s="1264" t="s">
        <v>2278</v>
      </c>
      <c r="F90" s="1101" t="s">
        <v>2279</v>
      </c>
      <c r="G90" s="1101" t="s">
        <v>2280</v>
      </c>
      <c r="H90" s="1101" t="s">
        <v>2079</v>
      </c>
      <c r="I90" s="1098" t="s">
        <v>2080</v>
      </c>
      <c r="J90" s="1120">
        <v>16404</v>
      </c>
      <c r="K90" s="1097">
        <v>0</v>
      </c>
      <c r="L90" s="1097">
        <v>6</v>
      </c>
      <c r="M90" s="1114">
        <f t="shared" si="5"/>
        <v>2734</v>
      </c>
      <c r="N90" s="1117">
        <v>45750</v>
      </c>
      <c r="O90" s="1117">
        <v>45747</v>
      </c>
      <c r="P90" s="1119" t="s">
        <v>2281</v>
      </c>
      <c r="Q90" s="1119" t="s">
        <v>1480</v>
      </c>
      <c r="R90" s="1142" t="s">
        <v>2282</v>
      </c>
      <c r="S90" s="1147" t="s">
        <v>2283</v>
      </c>
      <c r="T90" s="1137" t="s">
        <v>58</v>
      </c>
      <c r="U90" s="1137" t="s">
        <v>2284</v>
      </c>
      <c r="V90" s="1143" t="s">
        <v>2285</v>
      </c>
      <c r="W90" s="1275" t="s">
        <v>2286</v>
      </c>
      <c r="X90" s="1150" t="s">
        <v>1623</v>
      </c>
      <c r="Y90" s="1165">
        <v>2.7514</v>
      </c>
      <c r="Z90" s="1166">
        <f t="shared" si="19"/>
        <v>45133.9656</v>
      </c>
      <c r="AA90" s="1167" t="s">
        <v>2287</v>
      </c>
      <c r="AB90" s="1137" t="s">
        <v>63</v>
      </c>
      <c r="AC90" s="1137" t="s">
        <v>2040</v>
      </c>
      <c r="AD90" s="1175">
        <f>6546+9858</f>
        <v>16404</v>
      </c>
      <c r="AE90" s="1167">
        <f t="shared" si="20"/>
        <v>0</v>
      </c>
      <c r="AF90" s="1173" t="s">
        <v>327</v>
      </c>
      <c r="AG90" s="1173"/>
      <c r="AH90" s="1188">
        <f>J90/3</f>
        <v>5468</v>
      </c>
      <c r="AI90" s="1188">
        <f>J90/3</f>
        <v>5468</v>
      </c>
      <c r="AJ90" s="1188">
        <f>J90/3</f>
        <v>5468</v>
      </c>
      <c r="AK90" s="1204"/>
      <c r="AL90" s="1205"/>
      <c r="AM90" s="1205"/>
      <c r="AN90" s="1205"/>
      <c r="AO90" s="1205"/>
      <c r="AP90" s="1205"/>
      <c r="AQ90" s="1205"/>
      <c r="AR90" s="1214"/>
      <c r="AS90" s="1190"/>
      <c r="AT90" s="1318"/>
      <c r="AU90" s="1205"/>
      <c r="AV90" s="1205"/>
      <c r="AW90" s="1214"/>
      <c r="AX90" s="1205"/>
      <c r="AY90" s="1205"/>
      <c r="AZ90" s="1205"/>
      <c r="BA90" s="1214"/>
      <c r="BB90" s="1214"/>
      <c r="BC90" s="1189">
        <f>J90</f>
        <v>16404</v>
      </c>
      <c r="BD90" s="1214"/>
      <c r="BE90" s="1257"/>
      <c r="BF90" s="1257">
        <f>J90</f>
        <v>16404</v>
      </c>
      <c r="BG90" s="1188"/>
      <c r="BI90" s="1260"/>
      <c r="BJ90" s="1260"/>
      <c r="BK90" s="1260"/>
    </row>
    <row r="91" s="1053" customFormat="1" ht="31" customHeight="1" spans="1:63">
      <c r="A91" s="1100">
        <v>45666</v>
      </c>
      <c r="B91" s="1101" t="s">
        <v>2277</v>
      </c>
      <c r="C91" s="1102" t="s">
        <v>69</v>
      </c>
      <c r="D91" s="1101">
        <v>4500152754</v>
      </c>
      <c r="E91" s="1264" t="s">
        <v>2288</v>
      </c>
      <c r="F91" s="1101" t="s">
        <v>2289</v>
      </c>
      <c r="G91" s="1101" t="s">
        <v>2290</v>
      </c>
      <c r="H91" s="1101" t="s">
        <v>2118</v>
      </c>
      <c r="I91" s="1098" t="s">
        <v>2119</v>
      </c>
      <c r="J91" s="1120">
        <v>16764</v>
      </c>
      <c r="K91" s="1097">
        <v>0</v>
      </c>
      <c r="L91" s="1097">
        <v>12</v>
      </c>
      <c r="M91" s="1114">
        <f t="shared" ref="M91:M154" si="22">J91/L91</f>
        <v>1397</v>
      </c>
      <c r="N91" s="1117">
        <v>45750</v>
      </c>
      <c r="O91" s="1117">
        <v>45747</v>
      </c>
      <c r="P91" s="1119" t="s">
        <v>2281</v>
      </c>
      <c r="Q91" s="1119" t="s">
        <v>1480</v>
      </c>
      <c r="R91" s="1142" t="s">
        <v>2282</v>
      </c>
      <c r="S91" s="1147" t="s">
        <v>2291</v>
      </c>
      <c r="T91" s="1137" t="s">
        <v>58</v>
      </c>
      <c r="U91" s="1137" t="s">
        <v>2284</v>
      </c>
      <c r="V91" s="1143" t="s">
        <v>2285</v>
      </c>
      <c r="W91" s="1276" t="s">
        <v>2292</v>
      </c>
      <c r="X91" s="1150" t="s">
        <v>1623</v>
      </c>
      <c r="Y91" s="1165">
        <v>2.7186</v>
      </c>
      <c r="Z91" s="1166">
        <f t="shared" si="19"/>
        <v>45574.6104</v>
      </c>
      <c r="AA91" s="1167" t="s">
        <v>2287</v>
      </c>
      <c r="AB91" s="1137" t="s">
        <v>63</v>
      </c>
      <c r="AC91" s="1137" t="s">
        <v>2040</v>
      </c>
      <c r="AD91" s="1175">
        <v>16764</v>
      </c>
      <c r="AE91" s="1167">
        <f t="shared" si="20"/>
        <v>0</v>
      </c>
      <c r="AF91" s="1173" t="s">
        <v>327</v>
      </c>
      <c r="AG91" s="1173"/>
      <c r="AH91" s="1297">
        <f>J91/12*3</f>
        <v>4191</v>
      </c>
      <c r="AI91" s="1297">
        <f>J91/12*3</f>
        <v>4191</v>
      </c>
      <c r="AJ91" s="1297">
        <f>J91/12*6</f>
        <v>8382</v>
      </c>
      <c r="AK91" s="1198"/>
      <c r="AL91" s="1199"/>
      <c r="AM91" s="1199"/>
      <c r="AN91" s="1199"/>
      <c r="AO91" s="1199"/>
      <c r="AP91" s="1199"/>
      <c r="AQ91" s="1199"/>
      <c r="AR91" s="1214"/>
      <c r="AS91" s="1221"/>
      <c r="AT91" s="1222"/>
      <c r="AU91" s="1199"/>
      <c r="AV91" s="1199"/>
      <c r="AW91" s="1214"/>
      <c r="AX91" s="1199"/>
      <c r="AY91" s="1199"/>
      <c r="AZ91" s="1199"/>
      <c r="BA91" s="1214"/>
      <c r="BB91" s="1214"/>
      <c r="BC91" s="1189">
        <f>J91</f>
        <v>16764</v>
      </c>
      <c r="BD91" s="1214"/>
      <c r="BE91" s="1257"/>
      <c r="BF91" s="1257">
        <f>J91</f>
        <v>16764</v>
      </c>
      <c r="BG91" s="1188"/>
      <c r="BI91" s="1262"/>
      <c r="BJ91" s="1262"/>
      <c r="BK91" s="1262"/>
    </row>
    <row r="92" s="1053" customFormat="1" ht="31" customHeight="1" spans="1:63">
      <c r="A92" s="1100">
        <v>45666</v>
      </c>
      <c r="B92" s="1101" t="s">
        <v>2277</v>
      </c>
      <c r="C92" s="1102" t="s">
        <v>1613</v>
      </c>
      <c r="D92" s="1101">
        <v>4500152754</v>
      </c>
      <c r="E92" s="1264" t="s">
        <v>2293</v>
      </c>
      <c r="F92" s="1101" t="s">
        <v>2294</v>
      </c>
      <c r="G92" s="1101" t="s">
        <v>2295</v>
      </c>
      <c r="H92" s="1101" t="s">
        <v>2118</v>
      </c>
      <c r="I92" s="1098" t="s">
        <v>2119</v>
      </c>
      <c r="J92" s="1120">
        <v>10008</v>
      </c>
      <c r="K92" s="1097">
        <v>0</v>
      </c>
      <c r="L92" s="1097">
        <v>12</v>
      </c>
      <c r="M92" s="1114">
        <f t="shared" si="22"/>
        <v>834</v>
      </c>
      <c r="N92" s="1117">
        <v>45750</v>
      </c>
      <c r="O92" s="1117">
        <v>45747</v>
      </c>
      <c r="P92" s="1119" t="s">
        <v>2281</v>
      </c>
      <c r="Q92" s="1119" t="s">
        <v>1480</v>
      </c>
      <c r="R92" s="1142" t="s">
        <v>2282</v>
      </c>
      <c r="S92" s="1147" t="s">
        <v>2291</v>
      </c>
      <c r="T92" s="1137" t="s">
        <v>58</v>
      </c>
      <c r="U92" s="1137" t="s">
        <v>2284</v>
      </c>
      <c r="V92" s="1143" t="s">
        <v>2285</v>
      </c>
      <c r="W92" s="1276" t="s">
        <v>2296</v>
      </c>
      <c r="X92" s="1150" t="s">
        <v>1623</v>
      </c>
      <c r="Y92" s="1165">
        <v>2.7186</v>
      </c>
      <c r="Z92" s="1166">
        <f t="shared" si="19"/>
        <v>27207.7488</v>
      </c>
      <c r="AA92" s="1167" t="s">
        <v>2287</v>
      </c>
      <c r="AB92" s="1137" t="s">
        <v>63</v>
      </c>
      <c r="AC92" s="1137" t="s">
        <v>2040</v>
      </c>
      <c r="AD92" s="1175">
        <v>10008</v>
      </c>
      <c r="AE92" s="1167">
        <f t="shared" si="20"/>
        <v>0</v>
      </c>
      <c r="AF92" s="1173" t="s">
        <v>327</v>
      </c>
      <c r="AG92" s="1173"/>
      <c r="AH92" s="1297">
        <f>J92/12*5</f>
        <v>4170</v>
      </c>
      <c r="AI92" s="1297">
        <f>J92/12*3</f>
        <v>2502</v>
      </c>
      <c r="AJ92" s="1297">
        <f>J92/12*4</f>
        <v>3336</v>
      </c>
      <c r="AK92" s="1198"/>
      <c r="AL92" s="1199"/>
      <c r="AM92" s="1199"/>
      <c r="AN92" s="1199"/>
      <c r="AO92" s="1199"/>
      <c r="AP92" s="1199"/>
      <c r="AQ92" s="1199"/>
      <c r="AR92" s="1214"/>
      <c r="AS92" s="1221"/>
      <c r="AT92" s="1222"/>
      <c r="AU92" s="1199"/>
      <c r="AV92" s="1199"/>
      <c r="AW92" s="1214"/>
      <c r="AX92" s="1199"/>
      <c r="AY92" s="1199"/>
      <c r="AZ92" s="1199"/>
      <c r="BA92" s="1214"/>
      <c r="BB92" s="1214"/>
      <c r="BC92" s="1189">
        <f>J92</f>
        <v>10008</v>
      </c>
      <c r="BD92" s="1214"/>
      <c r="BE92" s="1257"/>
      <c r="BF92" s="1257">
        <f>J92</f>
        <v>10008</v>
      </c>
      <c r="BG92" s="1188"/>
      <c r="BI92" s="1262"/>
      <c r="BJ92" s="1262"/>
      <c r="BK92" s="1262"/>
    </row>
    <row r="93" s="1053" customFormat="1" ht="31" customHeight="1" spans="1:63">
      <c r="A93" s="1100">
        <v>45709</v>
      </c>
      <c r="B93" s="1101" t="s">
        <v>2297</v>
      </c>
      <c r="C93" s="1102" t="s">
        <v>876</v>
      </c>
      <c r="D93" s="1101">
        <v>4500158156</v>
      </c>
      <c r="E93" s="1264">
        <v>20650320</v>
      </c>
      <c r="F93" s="1101" t="s">
        <v>2298</v>
      </c>
      <c r="G93" s="1101" t="s">
        <v>2118</v>
      </c>
      <c r="H93" s="1101" t="s">
        <v>2118</v>
      </c>
      <c r="I93" s="1098" t="s">
        <v>2119</v>
      </c>
      <c r="J93" s="1120">
        <v>1272</v>
      </c>
      <c r="K93" s="1097">
        <v>0</v>
      </c>
      <c r="L93" s="1097">
        <v>12</v>
      </c>
      <c r="M93" s="1114">
        <f t="shared" si="22"/>
        <v>106</v>
      </c>
      <c r="N93" s="1117">
        <v>45747</v>
      </c>
      <c r="O93" s="1117">
        <v>45743</v>
      </c>
      <c r="P93" s="1119"/>
      <c r="Q93" s="1119" t="s">
        <v>1480</v>
      </c>
      <c r="R93" s="1142" t="s">
        <v>2299</v>
      </c>
      <c r="S93" s="1277">
        <v>45689</v>
      </c>
      <c r="T93" s="1278" t="s">
        <v>58</v>
      </c>
      <c r="U93" s="1279">
        <v>45726</v>
      </c>
      <c r="V93" s="1143" t="s">
        <v>2300</v>
      </c>
      <c r="W93" s="1148" t="s">
        <v>2301</v>
      </c>
      <c r="X93" s="1150" t="s">
        <v>2302</v>
      </c>
      <c r="Y93" s="1165">
        <v>3.0171</v>
      </c>
      <c r="Z93" s="1166">
        <f t="shared" si="19"/>
        <v>3837.7512</v>
      </c>
      <c r="AA93" s="1288" t="s">
        <v>2303</v>
      </c>
      <c r="AB93" s="1137" t="s">
        <v>63</v>
      </c>
      <c r="AC93" s="1137" t="s">
        <v>2040</v>
      </c>
      <c r="AD93" s="1175">
        <v>1272</v>
      </c>
      <c r="AE93" s="1167">
        <f t="shared" si="20"/>
        <v>0</v>
      </c>
      <c r="AF93" s="1173" t="s">
        <v>327</v>
      </c>
      <c r="AG93" s="1173"/>
      <c r="AH93" s="1188">
        <f>J93/3</f>
        <v>424</v>
      </c>
      <c r="AI93" s="1188">
        <f>J93/3</f>
        <v>424</v>
      </c>
      <c r="AJ93" s="1188">
        <f>J93/3</f>
        <v>424</v>
      </c>
      <c r="AK93" s="1200"/>
      <c r="AL93" s="1201"/>
      <c r="AM93" s="1201"/>
      <c r="AN93" s="1201"/>
      <c r="AO93" s="1201"/>
      <c r="AP93" s="1201"/>
      <c r="AQ93" s="1201"/>
      <c r="AR93" s="1214">
        <f t="shared" ref="AR93:AR104" si="23">J93</f>
        <v>1272</v>
      </c>
      <c r="AS93" s="1231"/>
      <c r="AT93" s="1232"/>
      <c r="AU93" s="1201"/>
      <c r="AV93" s="1201"/>
      <c r="AW93" s="1214">
        <f>J93</f>
        <v>1272</v>
      </c>
      <c r="AX93" s="1201"/>
      <c r="AY93" s="1201"/>
      <c r="AZ93" s="1201"/>
      <c r="BA93" s="1214"/>
      <c r="BB93" s="1214"/>
      <c r="BC93" s="1189"/>
      <c r="BD93" s="1214"/>
      <c r="BE93" s="1257"/>
      <c r="BF93" s="1257"/>
      <c r="BG93" s="1188"/>
      <c r="BI93" s="1054"/>
      <c r="BJ93" s="1054"/>
      <c r="BK93" s="1054"/>
    </row>
    <row r="94" s="1053" customFormat="1" ht="31" customHeight="1" spans="1:63">
      <c r="A94" s="1100">
        <v>45709</v>
      </c>
      <c r="B94" s="1101" t="s">
        <v>2304</v>
      </c>
      <c r="C94" s="1102" t="s">
        <v>258</v>
      </c>
      <c r="D94" s="1101">
        <v>4500158157</v>
      </c>
      <c r="E94" s="1264">
        <v>20650321</v>
      </c>
      <c r="F94" s="1101" t="s">
        <v>2305</v>
      </c>
      <c r="G94" s="1101" t="s">
        <v>2118</v>
      </c>
      <c r="H94" s="1101" t="s">
        <v>2118</v>
      </c>
      <c r="I94" s="1098" t="s">
        <v>2119</v>
      </c>
      <c r="J94" s="1120">
        <v>228</v>
      </c>
      <c r="K94" s="1097">
        <v>0</v>
      </c>
      <c r="L94" s="1097">
        <v>12</v>
      </c>
      <c r="M94" s="1114">
        <f t="shared" si="22"/>
        <v>19</v>
      </c>
      <c r="N94" s="1117">
        <v>45747</v>
      </c>
      <c r="O94" s="1117">
        <v>45743</v>
      </c>
      <c r="P94" s="1119"/>
      <c r="Q94" s="1119" t="s">
        <v>1480</v>
      </c>
      <c r="R94" s="1142" t="s">
        <v>2299</v>
      </c>
      <c r="S94" s="1277">
        <v>45689</v>
      </c>
      <c r="T94" s="1278" t="s">
        <v>58</v>
      </c>
      <c r="U94" s="1279">
        <v>45726</v>
      </c>
      <c r="V94" s="1143" t="s">
        <v>2300</v>
      </c>
      <c r="W94" s="1148" t="s">
        <v>2306</v>
      </c>
      <c r="X94" s="1150" t="s">
        <v>2302</v>
      </c>
      <c r="Y94" s="1165">
        <v>3.141</v>
      </c>
      <c r="Z94" s="1166">
        <f t="shared" si="19"/>
        <v>716.148</v>
      </c>
      <c r="AA94" s="1167" t="s">
        <v>2307</v>
      </c>
      <c r="AB94" s="1137" t="s">
        <v>63</v>
      </c>
      <c r="AC94" s="1137" t="s">
        <v>2040</v>
      </c>
      <c r="AD94" s="1175">
        <v>228</v>
      </c>
      <c r="AE94" s="1167">
        <f t="shared" si="20"/>
        <v>0</v>
      </c>
      <c r="AF94" s="1173" t="s">
        <v>327</v>
      </c>
      <c r="AG94" s="1173"/>
      <c r="AH94" s="1188">
        <f>J94/3</f>
        <v>76</v>
      </c>
      <c r="AI94" s="1188">
        <f>J94/3</f>
        <v>76</v>
      </c>
      <c r="AJ94" s="1188">
        <f>J94/3</f>
        <v>76</v>
      </c>
      <c r="AK94" s="1200"/>
      <c r="AL94" s="1201"/>
      <c r="AM94" s="1201"/>
      <c r="AN94" s="1201"/>
      <c r="AO94" s="1201"/>
      <c r="AP94" s="1201"/>
      <c r="AQ94" s="1201"/>
      <c r="AR94" s="1214">
        <f t="shared" si="23"/>
        <v>228</v>
      </c>
      <c r="AS94" s="1231"/>
      <c r="AT94" s="1232"/>
      <c r="AU94" s="1201"/>
      <c r="AV94" s="1201"/>
      <c r="AW94" s="1214">
        <f>J94</f>
        <v>228</v>
      </c>
      <c r="AX94" s="1201"/>
      <c r="AY94" s="1201"/>
      <c r="AZ94" s="1201"/>
      <c r="BA94" s="1214"/>
      <c r="BB94" s="1214"/>
      <c r="BC94" s="1189"/>
      <c r="BD94" s="1214"/>
      <c r="BE94" s="1257"/>
      <c r="BF94" s="1257"/>
      <c r="BG94" s="1188"/>
      <c r="BI94" s="1054"/>
      <c r="BJ94" s="1054"/>
      <c r="BK94" s="1054"/>
    </row>
    <row r="95" s="1053" customFormat="1" ht="31" customHeight="1" spans="1:63">
      <c r="A95" s="1100">
        <v>45716</v>
      </c>
      <c r="B95" s="1101" t="s">
        <v>492</v>
      </c>
      <c r="C95" s="1102" t="s">
        <v>493</v>
      </c>
      <c r="D95" s="1101">
        <v>4500158935</v>
      </c>
      <c r="E95" s="1264">
        <v>4400469206</v>
      </c>
      <c r="F95" s="1101" t="s">
        <v>2308</v>
      </c>
      <c r="G95" s="1101" t="s">
        <v>2309</v>
      </c>
      <c r="H95" s="1101" t="s">
        <v>2310</v>
      </c>
      <c r="I95" s="1270" t="s">
        <v>2042</v>
      </c>
      <c r="J95" s="1120">
        <v>1200</v>
      </c>
      <c r="K95" s="1097">
        <v>0</v>
      </c>
      <c r="L95" s="1097">
        <v>12</v>
      </c>
      <c r="M95" s="1114">
        <f t="shared" si="22"/>
        <v>100</v>
      </c>
      <c r="N95" s="1117">
        <v>45750</v>
      </c>
      <c r="O95" s="1117">
        <v>45747</v>
      </c>
      <c r="P95" s="1119"/>
      <c r="Q95" s="1119" t="s">
        <v>1480</v>
      </c>
      <c r="R95" s="1142" t="s">
        <v>2311</v>
      </c>
      <c r="S95" s="1147">
        <v>45720</v>
      </c>
      <c r="T95" s="1137" t="s">
        <v>58</v>
      </c>
      <c r="U95" s="1137" t="s">
        <v>2312</v>
      </c>
      <c r="V95" s="1143" t="s">
        <v>2313</v>
      </c>
      <c r="W95" s="1148" t="s">
        <v>2314</v>
      </c>
      <c r="X95" s="1150" t="s">
        <v>500</v>
      </c>
      <c r="Y95" s="1165">
        <v>2.8395</v>
      </c>
      <c r="Z95" s="1166">
        <f t="shared" si="19"/>
        <v>3407.4</v>
      </c>
      <c r="AA95" s="1167" t="s">
        <v>501</v>
      </c>
      <c r="AB95" s="1137" t="s">
        <v>63</v>
      </c>
      <c r="AC95" s="1137" t="s">
        <v>2040</v>
      </c>
      <c r="AD95" s="1175">
        <v>1200</v>
      </c>
      <c r="AE95" s="1167">
        <f t="shared" si="20"/>
        <v>0</v>
      </c>
      <c r="AF95" s="1173" t="s">
        <v>327</v>
      </c>
      <c r="AG95" s="1173"/>
      <c r="AH95" s="1188"/>
      <c r="AI95" s="1188"/>
      <c r="AJ95" s="1188">
        <f>J95</f>
        <v>1200</v>
      </c>
      <c r="AK95" s="1198"/>
      <c r="AL95" s="1199"/>
      <c r="AM95" s="1199"/>
      <c r="AN95" s="1199"/>
      <c r="AO95" s="1199"/>
      <c r="AP95" s="1199"/>
      <c r="AQ95" s="1199"/>
      <c r="AR95" s="1214">
        <f t="shared" si="23"/>
        <v>1200</v>
      </c>
      <c r="AS95" s="1221"/>
      <c r="AT95" s="1222"/>
      <c r="AU95" s="1199"/>
      <c r="AV95" s="1199"/>
      <c r="AW95" s="1214"/>
      <c r="AX95" s="1199"/>
      <c r="AY95" s="1199"/>
      <c r="AZ95" s="1199"/>
      <c r="BA95" s="1214">
        <f>J95</f>
        <v>1200</v>
      </c>
      <c r="BB95" s="1214"/>
      <c r="BC95" s="1189"/>
      <c r="BD95" s="1214"/>
      <c r="BE95" s="1257"/>
      <c r="BF95" s="1257"/>
      <c r="BG95" s="1188"/>
      <c r="BI95" s="1262"/>
      <c r="BJ95" s="1262"/>
      <c r="BK95" s="1262"/>
    </row>
    <row r="96" s="1053" customFormat="1" ht="31" customHeight="1" spans="1:63">
      <c r="A96" s="1100">
        <v>45716</v>
      </c>
      <c r="B96" s="1101" t="s">
        <v>492</v>
      </c>
      <c r="C96" s="1102" t="s">
        <v>493</v>
      </c>
      <c r="D96" s="1101">
        <v>4500158935</v>
      </c>
      <c r="E96" s="1264">
        <v>4400469206</v>
      </c>
      <c r="F96" s="1101" t="s">
        <v>2315</v>
      </c>
      <c r="G96" s="1101" t="s">
        <v>2316</v>
      </c>
      <c r="H96" s="1101" t="s">
        <v>2317</v>
      </c>
      <c r="I96" s="1098" t="s">
        <v>2063</v>
      </c>
      <c r="J96" s="1120">
        <v>1200</v>
      </c>
      <c r="K96" s="1097">
        <v>0</v>
      </c>
      <c r="L96" s="1097">
        <v>12</v>
      </c>
      <c r="M96" s="1114">
        <f t="shared" si="22"/>
        <v>100</v>
      </c>
      <c r="N96" s="1117">
        <v>45750</v>
      </c>
      <c r="O96" s="1117">
        <v>45747</v>
      </c>
      <c r="P96" s="1119"/>
      <c r="Q96" s="1119" t="s">
        <v>1480</v>
      </c>
      <c r="R96" s="1142" t="s">
        <v>2311</v>
      </c>
      <c r="S96" s="1147">
        <v>45720</v>
      </c>
      <c r="T96" s="1137" t="s">
        <v>58</v>
      </c>
      <c r="U96" s="1137" t="s">
        <v>2312</v>
      </c>
      <c r="V96" s="1143" t="s">
        <v>2313</v>
      </c>
      <c r="W96" s="1148" t="s">
        <v>2318</v>
      </c>
      <c r="X96" s="1150" t="s">
        <v>500</v>
      </c>
      <c r="Y96" s="1165">
        <v>2.9011</v>
      </c>
      <c r="Z96" s="1166">
        <f t="shared" si="19"/>
        <v>3481.32</v>
      </c>
      <c r="AA96" s="1167" t="s">
        <v>501</v>
      </c>
      <c r="AB96" s="1137" t="s">
        <v>63</v>
      </c>
      <c r="AC96" s="1137" t="s">
        <v>2040</v>
      </c>
      <c r="AD96" s="1175">
        <v>1200</v>
      </c>
      <c r="AE96" s="1167">
        <f t="shared" si="20"/>
        <v>0</v>
      </c>
      <c r="AF96" s="1173" t="s">
        <v>327</v>
      </c>
      <c r="AG96" s="1173"/>
      <c r="AH96" s="1188"/>
      <c r="AI96" s="1188">
        <f>J96</f>
        <v>1200</v>
      </c>
      <c r="AJ96" s="1188"/>
      <c r="AK96" s="1198"/>
      <c r="AL96" s="1199"/>
      <c r="AM96" s="1199"/>
      <c r="AN96" s="1199"/>
      <c r="AO96" s="1199"/>
      <c r="AP96" s="1199"/>
      <c r="AQ96" s="1199"/>
      <c r="AR96" s="1214">
        <f t="shared" si="23"/>
        <v>1200</v>
      </c>
      <c r="AS96" s="1221"/>
      <c r="AT96" s="1222"/>
      <c r="AU96" s="1199"/>
      <c r="AV96" s="1199"/>
      <c r="AW96" s="1214"/>
      <c r="AX96" s="1199"/>
      <c r="AY96" s="1199"/>
      <c r="AZ96" s="1199"/>
      <c r="BA96" s="1214">
        <f>J96</f>
        <v>1200</v>
      </c>
      <c r="BB96" s="1214"/>
      <c r="BC96" s="1189"/>
      <c r="BD96" s="1214"/>
      <c r="BE96" s="1257"/>
      <c r="BF96" s="1257"/>
      <c r="BG96" s="1188"/>
      <c r="BI96" s="1262"/>
      <c r="BJ96" s="1262"/>
      <c r="BK96" s="1262"/>
    </row>
    <row r="97" s="1053" customFormat="1" ht="31" customHeight="1" spans="1:63">
      <c r="A97" s="1100">
        <v>45677</v>
      </c>
      <c r="B97" s="1101" t="s">
        <v>2319</v>
      </c>
      <c r="C97" s="1102" t="s">
        <v>91</v>
      </c>
      <c r="D97" s="1101">
        <v>4500156266</v>
      </c>
      <c r="E97" s="1264">
        <v>216802354</v>
      </c>
      <c r="F97" s="1101" t="s">
        <v>2320</v>
      </c>
      <c r="G97" s="1101" t="s">
        <v>2321</v>
      </c>
      <c r="H97" s="1101" t="s">
        <v>2321</v>
      </c>
      <c r="I97" s="1098" t="s">
        <v>2322</v>
      </c>
      <c r="J97" s="1120">
        <v>840</v>
      </c>
      <c r="K97" s="1097">
        <v>0</v>
      </c>
      <c r="L97" s="1097">
        <v>3</v>
      </c>
      <c r="M97" s="1114">
        <f t="shared" si="22"/>
        <v>280</v>
      </c>
      <c r="N97" s="1117">
        <v>45754</v>
      </c>
      <c r="O97" s="1117">
        <v>45750</v>
      </c>
      <c r="P97" s="1119"/>
      <c r="Q97" s="1119" t="s">
        <v>1480</v>
      </c>
      <c r="R97" s="1142" t="s">
        <v>2311</v>
      </c>
      <c r="S97" s="1147">
        <v>45726</v>
      </c>
      <c r="T97" s="1137" t="s">
        <v>58</v>
      </c>
      <c r="U97" s="1137" t="s">
        <v>58</v>
      </c>
      <c r="V97" s="1143" t="s">
        <v>594</v>
      </c>
      <c r="W97" s="1148" t="s">
        <v>2323</v>
      </c>
      <c r="X97" s="1150" t="s">
        <v>2179</v>
      </c>
      <c r="Y97" s="1165">
        <v>3.3213</v>
      </c>
      <c r="Z97" s="1166">
        <f>J97*Y97</f>
        <v>2789.892</v>
      </c>
      <c r="AA97" s="1167" t="s">
        <v>2324</v>
      </c>
      <c r="AB97" s="1137" t="s">
        <v>63</v>
      </c>
      <c r="AC97" s="1137" t="s">
        <v>2040</v>
      </c>
      <c r="AD97" s="1175">
        <v>840</v>
      </c>
      <c r="AE97" s="1167">
        <f t="shared" si="20"/>
        <v>0</v>
      </c>
      <c r="AF97" s="1173" t="s">
        <v>58</v>
      </c>
      <c r="AG97" s="1173"/>
      <c r="AH97" s="1188">
        <f>J97/3</f>
        <v>280</v>
      </c>
      <c r="AI97" s="1188">
        <f>J97/3</f>
        <v>280</v>
      </c>
      <c r="AJ97" s="1188">
        <f>J97/3</f>
        <v>280</v>
      </c>
      <c r="AK97" s="1198"/>
      <c r="AL97" s="1199"/>
      <c r="AM97" s="1199"/>
      <c r="AN97" s="1199"/>
      <c r="AO97" s="1199"/>
      <c r="AP97" s="1199"/>
      <c r="AQ97" s="1199"/>
      <c r="AR97" s="1214">
        <f t="shared" si="23"/>
        <v>840</v>
      </c>
      <c r="AS97" s="1221"/>
      <c r="AT97" s="1222"/>
      <c r="AU97" s="1199"/>
      <c r="AV97" s="1199"/>
      <c r="AW97" s="1214">
        <f t="shared" ref="AW97:AW103" si="24">J97</f>
        <v>840</v>
      </c>
      <c r="AX97" s="1199"/>
      <c r="AY97" s="1199"/>
      <c r="AZ97" s="1199"/>
      <c r="BA97" s="1214"/>
      <c r="BB97" s="1214"/>
      <c r="BC97" s="1189"/>
      <c r="BD97" s="1214"/>
      <c r="BE97" s="1257"/>
      <c r="BF97" s="1257"/>
      <c r="BG97" s="1188"/>
      <c r="BI97" s="1262"/>
      <c r="BJ97" s="1262"/>
      <c r="BK97" s="1262"/>
    </row>
    <row r="98" s="1053" customFormat="1" ht="31" customHeight="1" spans="1:63">
      <c r="A98" s="1100">
        <v>45677</v>
      </c>
      <c r="B98" s="1101" t="s">
        <v>2319</v>
      </c>
      <c r="C98" s="1102" t="s">
        <v>91</v>
      </c>
      <c r="D98" s="1101">
        <v>4500156267</v>
      </c>
      <c r="E98" s="1264">
        <v>216802359</v>
      </c>
      <c r="F98" s="1101" t="s">
        <v>2325</v>
      </c>
      <c r="G98" s="1101" t="s">
        <v>2321</v>
      </c>
      <c r="H98" s="1101" t="s">
        <v>2321</v>
      </c>
      <c r="I98" s="1098" t="s">
        <v>2322</v>
      </c>
      <c r="J98" s="1120">
        <v>360</v>
      </c>
      <c r="K98" s="1097">
        <v>0</v>
      </c>
      <c r="L98" s="1097">
        <v>3</v>
      </c>
      <c r="M98" s="1114">
        <f t="shared" si="22"/>
        <v>120</v>
      </c>
      <c r="N98" s="1117">
        <v>45754</v>
      </c>
      <c r="O98" s="1117">
        <v>45750</v>
      </c>
      <c r="P98" s="1119"/>
      <c r="Q98" s="1119" t="s">
        <v>1480</v>
      </c>
      <c r="R98" s="1142" t="s">
        <v>2311</v>
      </c>
      <c r="S98" s="1147">
        <v>45726</v>
      </c>
      <c r="T98" s="1137" t="s">
        <v>58</v>
      </c>
      <c r="U98" s="1137" t="s">
        <v>58</v>
      </c>
      <c r="V98" s="1143" t="s">
        <v>594</v>
      </c>
      <c r="W98" s="1148" t="s">
        <v>2326</v>
      </c>
      <c r="X98" s="1150" t="s">
        <v>2179</v>
      </c>
      <c r="Y98" s="1165">
        <v>3.3213</v>
      </c>
      <c r="Z98" s="1166">
        <f>J98*Y98</f>
        <v>1195.668</v>
      </c>
      <c r="AA98" s="1167" t="s">
        <v>2327</v>
      </c>
      <c r="AB98" s="1137" t="s">
        <v>63</v>
      </c>
      <c r="AC98" s="1137" t="s">
        <v>2040</v>
      </c>
      <c r="AD98" s="1175">
        <v>360</v>
      </c>
      <c r="AE98" s="1167">
        <f t="shared" si="20"/>
        <v>0</v>
      </c>
      <c r="AF98" s="1173" t="s">
        <v>58</v>
      </c>
      <c r="AG98" s="1173"/>
      <c r="AH98" s="1188">
        <f>J98/3</f>
        <v>120</v>
      </c>
      <c r="AI98" s="1188">
        <f>J98/3</f>
        <v>120</v>
      </c>
      <c r="AJ98" s="1188">
        <f>J98/3</f>
        <v>120</v>
      </c>
      <c r="AK98" s="1198"/>
      <c r="AL98" s="1199"/>
      <c r="AM98" s="1199"/>
      <c r="AN98" s="1199"/>
      <c r="AO98" s="1199"/>
      <c r="AP98" s="1199"/>
      <c r="AQ98" s="1199"/>
      <c r="AR98" s="1214">
        <f t="shared" si="23"/>
        <v>360</v>
      </c>
      <c r="AS98" s="1221"/>
      <c r="AT98" s="1222"/>
      <c r="AU98" s="1199"/>
      <c r="AV98" s="1199"/>
      <c r="AW98" s="1214">
        <f t="shared" si="24"/>
        <v>360</v>
      </c>
      <c r="AX98" s="1199"/>
      <c r="AY98" s="1199"/>
      <c r="AZ98" s="1199"/>
      <c r="BA98" s="1214"/>
      <c r="BB98" s="1214"/>
      <c r="BC98" s="1189"/>
      <c r="BD98" s="1214"/>
      <c r="BE98" s="1257"/>
      <c r="BF98" s="1257"/>
      <c r="BG98" s="1188"/>
      <c r="BI98" s="1262"/>
      <c r="BJ98" s="1262"/>
      <c r="BK98" s="1262"/>
    </row>
    <row r="99" s="1053" customFormat="1" ht="31" customHeight="1" spans="1:63">
      <c r="A99" s="1265">
        <v>45715</v>
      </c>
      <c r="B99" s="1266" t="s">
        <v>2297</v>
      </c>
      <c r="C99" s="1267" t="s">
        <v>876</v>
      </c>
      <c r="D99" s="1266">
        <v>4500158785</v>
      </c>
      <c r="E99" s="1268">
        <v>20661139</v>
      </c>
      <c r="F99" s="1266" t="s">
        <v>2328</v>
      </c>
      <c r="G99" s="1101" t="s">
        <v>2118</v>
      </c>
      <c r="H99" s="1101" t="s">
        <v>2118</v>
      </c>
      <c r="I99" s="1098" t="s">
        <v>2119</v>
      </c>
      <c r="J99" s="1120">
        <v>1332</v>
      </c>
      <c r="K99" s="1097">
        <v>0</v>
      </c>
      <c r="L99" s="1097">
        <v>12</v>
      </c>
      <c r="M99" s="1114">
        <f t="shared" si="22"/>
        <v>111</v>
      </c>
      <c r="N99" s="1117">
        <v>45754</v>
      </c>
      <c r="O99" s="1117">
        <v>45750</v>
      </c>
      <c r="P99" s="1271"/>
      <c r="Q99" s="1119" t="s">
        <v>1480</v>
      </c>
      <c r="R99" s="1280"/>
      <c r="S99" s="1147">
        <v>45720</v>
      </c>
      <c r="T99" s="1281" t="s">
        <v>2112</v>
      </c>
      <c r="U99" s="1281">
        <v>45733</v>
      </c>
      <c r="V99" s="1282" t="s">
        <v>2329</v>
      </c>
      <c r="W99" s="1148" t="s">
        <v>2330</v>
      </c>
      <c r="X99" s="1150" t="s">
        <v>2302</v>
      </c>
      <c r="Y99" s="1165">
        <v>3.0171</v>
      </c>
      <c r="Z99" s="1166">
        <f>Y99*J99</f>
        <v>4018.7772</v>
      </c>
      <c r="AA99" s="1289" t="s">
        <v>2331</v>
      </c>
      <c r="AB99" s="1137" t="s">
        <v>63</v>
      </c>
      <c r="AC99" s="1137" t="s">
        <v>2040</v>
      </c>
      <c r="AD99" s="1290">
        <f>24+1308</f>
        <v>1332</v>
      </c>
      <c r="AE99" s="1167">
        <f t="shared" si="20"/>
        <v>0</v>
      </c>
      <c r="AF99" s="1291" t="s">
        <v>327</v>
      </c>
      <c r="AG99" s="1291"/>
      <c r="AH99" s="1188">
        <f>J99/3</f>
        <v>444</v>
      </c>
      <c r="AI99" s="1188">
        <f>J99/3</f>
        <v>444</v>
      </c>
      <c r="AJ99" s="1188">
        <f>J99/3</f>
        <v>444</v>
      </c>
      <c r="AK99" s="1298"/>
      <c r="AL99" s="1299"/>
      <c r="AM99" s="1299"/>
      <c r="AN99" s="1300"/>
      <c r="AO99" s="1300"/>
      <c r="AP99" s="1300"/>
      <c r="AQ99" s="1300"/>
      <c r="AR99" s="1319">
        <f t="shared" si="23"/>
        <v>1332</v>
      </c>
      <c r="AS99" s="1320"/>
      <c r="AT99" s="1321"/>
      <c r="AU99" s="1322"/>
      <c r="AV99" s="1322"/>
      <c r="AW99" s="1214">
        <f t="shared" si="24"/>
        <v>1332</v>
      </c>
      <c r="AX99" s="1322"/>
      <c r="AY99" s="1300"/>
      <c r="AZ99" s="1300"/>
      <c r="BA99" s="1319"/>
      <c r="BB99" s="1319"/>
      <c r="BC99" s="1338"/>
      <c r="BD99" s="1214"/>
      <c r="BE99" s="1346"/>
      <c r="BF99" s="1346"/>
      <c r="BG99" s="1344"/>
      <c r="BH99" s="1347"/>
      <c r="BI99" s="1348"/>
      <c r="BJ99" s="1262"/>
      <c r="BK99" s="1262"/>
    </row>
    <row r="100" s="1053" customFormat="1" ht="31" customHeight="1" spans="1:63">
      <c r="A100" s="1100">
        <v>45715</v>
      </c>
      <c r="B100" s="1266" t="s">
        <v>2304</v>
      </c>
      <c r="C100" s="1267" t="s">
        <v>258</v>
      </c>
      <c r="D100" s="1266">
        <v>4500158787</v>
      </c>
      <c r="E100" s="1268">
        <v>20661140</v>
      </c>
      <c r="F100" s="1266" t="s">
        <v>2332</v>
      </c>
      <c r="G100" s="1101" t="s">
        <v>2118</v>
      </c>
      <c r="H100" s="1101" t="s">
        <v>2118</v>
      </c>
      <c r="I100" s="1098" t="s">
        <v>2119</v>
      </c>
      <c r="J100" s="1120">
        <v>168</v>
      </c>
      <c r="K100" s="1097">
        <v>0</v>
      </c>
      <c r="L100" s="1097">
        <v>12</v>
      </c>
      <c r="M100" s="1114">
        <f t="shared" si="22"/>
        <v>14</v>
      </c>
      <c r="N100" s="1117">
        <v>45754</v>
      </c>
      <c r="O100" s="1117">
        <v>45750</v>
      </c>
      <c r="P100" s="1271"/>
      <c r="Q100" s="1119" t="s">
        <v>1480</v>
      </c>
      <c r="R100" s="1280"/>
      <c r="S100" s="1147">
        <v>45720</v>
      </c>
      <c r="T100" s="1281" t="s">
        <v>2112</v>
      </c>
      <c r="U100" s="1281">
        <v>45733</v>
      </c>
      <c r="V100" s="1282" t="s">
        <v>2329</v>
      </c>
      <c r="W100" s="1148" t="s">
        <v>2333</v>
      </c>
      <c r="X100" s="1150" t="s">
        <v>2302</v>
      </c>
      <c r="Y100" s="1165">
        <v>3.141</v>
      </c>
      <c r="Z100" s="1166">
        <f>Y100*J100</f>
        <v>527.688</v>
      </c>
      <c r="AA100" s="1289" t="s">
        <v>2334</v>
      </c>
      <c r="AB100" s="1137" t="s">
        <v>63</v>
      </c>
      <c r="AC100" s="1137" t="s">
        <v>2040</v>
      </c>
      <c r="AD100" s="1290">
        <v>168</v>
      </c>
      <c r="AE100" s="1167">
        <f t="shared" si="20"/>
        <v>0</v>
      </c>
      <c r="AF100" s="1291" t="s">
        <v>327</v>
      </c>
      <c r="AG100" s="1291"/>
      <c r="AH100" s="1188">
        <f>J100/12*5</f>
        <v>70</v>
      </c>
      <c r="AI100" s="1188">
        <f>J100/12*3</f>
        <v>42</v>
      </c>
      <c r="AJ100" s="1188">
        <f>J100/12*4</f>
        <v>56</v>
      </c>
      <c r="AK100" s="1298"/>
      <c r="AL100" s="1299"/>
      <c r="AM100" s="1299"/>
      <c r="AN100" s="1300"/>
      <c r="AO100" s="1300"/>
      <c r="AP100" s="1300"/>
      <c r="AQ100" s="1300"/>
      <c r="AR100" s="1319">
        <f t="shared" si="23"/>
        <v>168</v>
      </c>
      <c r="AS100" s="1320"/>
      <c r="AT100" s="1321"/>
      <c r="AU100" s="1322"/>
      <c r="AV100" s="1322"/>
      <c r="AW100" s="1214">
        <f t="shared" si="24"/>
        <v>168</v>
      </c>
      <c r="AX100" s="1322"/>
      <c r="AY100" s="1300"/>
      <c r="AZ100" s="1300"/>
      <c r="BA100" s="1319"/>
      <c r="BB100" s="1319"/>
      <c r="BC100" s="1338"/>
      <c r="BD100" s="1214"/>
      <c r="BE100" s="1346"/>
      <c r="BF100" s="1346"/>
      <c r="BG100" s="1344"/>
      <c r="BH100" s="1347"/>
      <c r="BI100" s="1348"/>
      <c r="BJ100" s="1262"/>
      <c r="BK100" s="1262"/>
    </row>
    <row r="101" s="1053" customFormat="1" ht="31" customHeight="1" spans="1:63">
      <c r="A101" s="1265">
        <v>45727</v>
      </c>
      <c r="B101" s="1266" t="s">
        <v>230</v>
      </c>
      <c r="C101" s="1267" t="s">
        <v>91</v>
      </c>
      <c r="D101" s="1266">
        <v>4500159721</v>
      </c>
      <c r="E101" s="1268">
        <v>70057486</v>
      </c>
      <c r="F101" s="1266" t="s">
        <v>2335</v>
      </c>
      <c r="G101" s="1101" t="s">
        <v>2118</v>
      </c>
      <c r="H101" s="1101" t="s">
        <v>2118</v>
      </c>
      <c r="I101" s="1098" t="s">
        <v>2119</v>
      </c>
      <c r="J101" s="1120">
        <v>1200</v>
      </c>
      <c r="K101" s="1097">
        <v>0</v>
      </c>
      <c r="L101" s="1097">
        <v>12</v>
      </c>
      <c r="M101" s="1114">
        <f t="shared" si="22"/>
        <v>100</v>
      </c>
      <c r="N101" s="1117">
        <v>45783</v>
      </c>
      <c r="O101" s="1117">
        <v>45779</v>
      </c>
      <c r="P101" s="1272" t="s">
        <v>2336</v>
      </c>
      <c r="Q101" s="1119" t="s">
        <v>1480</v>
      </c>
      <c r="R101" s="1280" t="s">
        <v>2337</v>
      </c>
      <c r="S101" s="1147" t="s">
        <v>2120</v>
      </c>
      <c r="T101" s="1281" t="s">
        <v>58</v>
      </c>
      <c r="U101" s="1281">
        <v>45740</v>
      </c>
      <c r="V101" s="1283" t="s">
        <v>2338</v>
      </c>
      <c r="W101" s="1148" t="s">
        <v>425</v>
      </c>
      <c r="X101" s="1150" t="s">
        <v>681</v>
      </c>
      <c r="Y101" s="1292">
        <v>2.8454</v>
      </c>
      <c r="Z101" s="1166">
        <f>Y101*J101</f>
        <v>3414.48</v>
      </c>
      <c r="AA101" s="1289" t="s">
        <v>2339</v>
      </c>
      <c r="AB101" s="1137" t="s">
        <v>63</v>
      </c>
      <c r="AC101" s="1137" t="s">
        <v>2040</v>
      </c>
      <c r="AD101" s="1290">
        <f>24+1176</f>
        <v>1200</v>
      </c>
      <c r="AE101" s="1167">
        <f t="shared" si="20"/>
        <v>0</v>
      </c>
      <c r="AF101" s="1291" t="s">
        <v>327</v>
      </c>
      <c r="AG101" s="1291"/>
      <c r="AH101" s="1188">
        <f>J101/3</f>
        <v>400</v>
      </c>
      <c r="AI101" s="1188">
        <f>J101/3</f>
        <v>400</v>
      </c>
      <c r="AJ101" s="1188">
        <f>J101/3</f>
        <v>400</v>
      </c>
      <c r="AK101" s="1301"/>
      <c r="AL101" s="1302"/>
      <c r="AM101" s="1302"/>
      <c r="AN101" s="1303"/>
      <c r="AO101" s="1303"/>
      <c r="AP101" s="1303"/>
      <c r="AQ101" s="1303"/>
      <c r="AR101" s="1319">
        <f t="shared" si="23"/>
        <v>1200</v>
      </c>
      <c r="AS101" s="1323"/>
      <c r="AT101" s="1324"/>
      <c r="AU101" s="1325"/>
      <c r="AV101" s="1325"/>
      <c r="AW101" s="1214">
        <f t="shared" si="24"/>
        <v>1200</v>
      </c>
      <c r="AX101" s="1325"/>
      <c r="AY101" s="1303"/>
      <c r="AZ101" s="1303"/>
      <c r="BA101" s="1319"/>
      <c r="BB101" s="1319"/>
      <c r="BC101" s="1338"/>
      <c r="BD101" s="1214"/>
      <c r="BE101" s="1346"/>
      <c r="BF101" s="1346"/>
      <c r="BG101" s="1344"/>
      <c r="BH101" s="1347"/>
      <c r="BI101" s="1349"/>
      <c r="BJ101" s="1345"/>
      <c r="BK101" s="1345"/>
    </row>
    <row r="102" s="1053" customFormat="1" ht="31" customHeight="1" spans="1:63">
      <c r="A102" s="1265">
        <v>45730</v>
      </c>
      <c r="B102" s="1266" t="s">
        <v>2297</v>
      </c>
      <c r="C102" s="1267" t="s">
        <v>876</v>
      </c>
      <c r="D102" s="1266">
        <v>4500160268</v>
      </c>
      <c r="E102" s="1268">
        <v>20694436</v>
      </c>
      <c r="F102" s="1266" t="s">
        <v>2340</v>
      </c>
      <c r="G102" s="1101" t="s">
        <v>2118</v>
      </c>
      <c r="H102" s="1101" t="s">
        <v>2118</v>
      </c>
      <c r="I102" s="1098" t="s">
        <v>2119</v>
      </c>
      <c r="J102" s="1120">
        <v>2364</v>
      </c>
      <c r="K102" s="1097">
        <v>0</v>
      </c>
      <c r="L102" s="1097">
        <v>12</v>
      </c>
      <c r="M102" s="1114">
        <f t="shared" si="22"/>
        <v>197</v>
      </c>
      <c r="N102" s="1117">
        <v>45768</v>
      </c>
      <c r="O102" s="1117">
        <v>45764</v>
      </c>
      <c r="P102" s="1272"/>
      <c r="Q102" s="1119" t="s">
        <v>1480</v>
      </c>
      <c r="R102" s="1280"/>
      <c r="S102" s="1147">
        <v>45736</v>
      </c>
      <c r="T102" s="1281" t="s">
        <v>2112</v>
      </c>
      <c r="U102" s="1281">
        <v>45747</v>
      </c>
      <c r="V102" s="1282" t="s">
        <v>2341</v>
      </c>
      <c r="W102" s="1148" t="s">
        <v>2342</v>
      </c>
      <c r="X102" s="1150" t="s">
        <v>2302</v>
      </c>
      <c r="Y102" s="1292">
        <v>2.8864</v>
      </c>
      <c r="Z102" s="1166">
        <f>Y102*J102</f>
        <v>6823.4496</v>
      </c>
      <c r="AA102" s="1289" t="s">
        <v>2343</v>
      </c>
      <c r="AB102" s="1137" t="s">
        <v>63</v>
      </c>
      <c r="AC102" s="1137" t="s">
        <v>2040</v>
      </c>
      <c r="AD102" s="1290">
        <f>792+1572</f>
        <v>2364</v>
      </c>
      <c r="AE102" s="1167">
        <f t="shared" si="20"/>
        <v>0</v>
      </c>
      <c r="AF102" s="1175" t="s">
        <v>327</v>
      </c>
      <c r="AG102" s="1291"/>
      <c r="AH102" s="1188">
        <f>J102/3</f>
        <v>788</v>
      </c>
      <c r="AI102" s="1188">
        <f>J102/3</f>
        <v>788</v>
      </c>
      <c r="AJ102" s="1188">
        <f>J102/3</f>
        <v>788</v>
      </c>
      <c r="AK102" s="1298"/>
      <c r="AL102" s="1299"/>
      <c r="AM102" s="1299"/>
      <c r="AN102" s="1300"/>
      <c r="AO102" s="1300"/>
      <c r="AP102" s="1300"/>
      <c r="AQ102" s="1300"/>
      <c r="AR102" s="1319">
        <f t="shared" si="23"/>
        <v>2364</v>
      </c>
      <c r="AS102" s="1320"/>
      <c r="AT102" s="1321"/>
      <c r="AU102" s="1322"/>
      <c r="AV102" s="1322"/>
      <c r="AW102" s="1214">
        <f t="shared" si="24"/>
        <v>2364</v>
      </c>
      <c r="AX102" s="1322"/>
      <c r="AY102" s="1300"/>
      <c r="AZ102" s="1300"/>
      <c r="BA102" s="1319"/>
      <c r="BB102" s="1319"/>
      <c r="BC102" s="1338"/>
      <c r="BD102" s="1214"/>
      <c r="BE102" s="1346"/>
      <c r="BF102" s="1346"/>
      <c r="BG102" s="1344"/>
      <c r="BH102" s="1347"/>
      <c r="BI102" s="1348"/>
      <c r="BJ102" s="1262"/>
      <c r="BK102" s="1262"/>
    </row>
    <row r="103" s="1053" customFormat="1" ht="31" customHeight="1" spans="1:63">
      <c r="A103" s="1265">
        <v>45730</v>
      </c>
      <c r="B103" s="1266" t="s">
        <v>2304</v>
      </c>
      <c r="C103" s="1267" t="s">
        <v>258</v>
      </c>
      <c r="D103" s="1266">
        <v>4500160271</v>
      </c>
      <c r="E103" s="1268">
        <v>20694437</v>
      </c>
      <c r="F103" s="1266" t="s">
        <v>2344</v>
      </c>
      <c r="G103" s="1101" t="s">
        <v>2118</v>
      </c>
      <c r="H103" s="1101" t="s">
        <v>2118</v>
      </c>
      <c r="I103" s="1098" t="s">
        <v>2119</v>
      </c>
      <c r="J103" s="1120">
        <v>264</v>
      </c>
      <c r="K103" s="1097">
        <v>0</v>
      </c>
      <c r="L103" s="1097">
        <v>12</v>
      </c>
      <c r="M103" s="1114">
        <f t="shared" si="22"/>
        <v>22</v>
      </c>
      <c r="N103" s="1117">
        <v>45768</v>
      </c>
      <c r="O103" s="1117">
        <v>45764</v>
      </c>
      <c r="P103" s="1272"/>
      <c r="Q103" s="1119" t="s">
        <v>1480</v>
      </c>
      <c r="R103" s="1280"/>
      <c r="S103" s="1147">
        <v>45736</v>
      </c>
      <c r="T103" s="1281" t="s">
        <v>2112</v>
      </c>
      <c r="U103" s="1281">
        <v>45747</v>
      </c>
      <c r="V103" s="1282" t="s">
        <v>2341</v>
      </c>
      <c r="W103" s="1148" t="s">
        <v>2345</v>
      </c>
      <c r="X103" s="1150" t="s">
        <v>2302</v>
      </c>
      <c r="Y103" s="1292">
        <v>3.0761</v>
      </c>
      <c r="Z103" s="1166">
        <f>Y103*J103</f>
        <v>812.0904</v>
      </c>
      <c r="AA103" s="1289" t="s">
        <v>2346</v>
      </c>
      <c r="AB103" s="1137" t="s">
        <v>63</v>
      </c>
      <c r="AC103" s="1137" t="s">
        <v>2040</v>
      </c>
      <c r="AD103" s="1290">
        <v>264</v>
      </c>
      <c r="AE103" s="1167">
        <f t="shared" si="20"/>
        <v>0</v>
      </c>
      <c r="AF103" s="1175" t="s">
        <v>327</v>
      </c>
      <c r="AG103" s="1291"/>
      <c r="AH103" s="1188">
        <f>J103/3</f>
        <v>88</v>
      </c>
      <c r="AI103" s="1188">
        <f>J103/3</f>
        <v>88</v>
      </c>
      <c r="AJ103" s="1188">
        <f>J103/3</f>
        <v>88</v>
      </c>
      <c r="AK103" s="1298"/>
      <c r="AL103" s="1299"/>
      <c r="AM103" s="1299"/>
      <c r="AN103" s="1300"/>
      <c r="AO103" s="1300"/>
      <c r="AP103" s="1300"/>
      <c r="AQ103" s="1300"/>
      <c r="AR103" s="1319">
        <f t="shared" si="23"/>
        <v>264</v>
      </c>
      <c r="AS103" s="1320"/>
      <c r="AT103" s="1321"/>
      <c r="AU103" s="1322"/>
      <c r="AV103" s="1322"/>
      <c r="AW103" s="1214">
        <f t="shared" si="24"/>
        <v>264</v>
      </c>
      <c r="AX103" s="1322"/>
      <c r="AY103" s="1300"/>
      <c r="AZ103" s="1300"/>
      <c r="BA103" s="1319"/>
      <c r="BB103" s="1319"/>
      <c r="BC103" s="1338"/>
      <c r="BD103" s="1214"/>
      <c r="BE103" s="1346"/>
      <c r="BF103" s="1346"/>
      <c r="BG103" s="1344"/>
      <c r="BH103" s="1347"/>
      <c r="BI103" s="1348"/>
      <c r="BJ103" s="1262"/>
      <c r="BK103" s="1262"/>
    </row>
    <row r="104" s="1053" customFormat="1" ht="31" customHeight="1" spans="1:63">
      <c r="A104" s="1265">
        <v>45723</v>
      </c>
      <c r="B104" s="1266" t="s">
        <v>2347</v>
      </c>
      <c r="C104" s="1267" t="s">
        <v>493</v>
      </c>
      <c r="D104" s="1266">
        <v>4500152757</v>
      </c>
      <c r="E104" s="1269" t="s">
        <v>2348</v>
      </c>
      <c r="F104" s="1266" t="s">
        <v>2349</v>
      </c>
      <c r="G104" s="1101" t="s">
        <v>2280</v>
      </c>
      <c r="H104" s="1101" t="s">
        <v>2079</v>
      </c>
      <c r="I104" s="1098" t="s">
        <v>2080</v>
      </c>
      <c r="J104" s="1120">
        <v>34356</v>
      </c>
      <c r="K104" s="1097">
        <v>0</v>
      </c>
      <c r="L104" s="1097">
        <v>6</v>
      </c>
      <c r="M104" s="1114">
        <f t="shared" si="22"/>
        <v>5726</v>
      </c>
      <c r="N104" s="1117">
        <v>45768</v>
      </c>
      <c r="O104" s="1117">
        <v>45764</v>
      </c>
      <c r="P104" s="1272" t="s">
        <v>2350</v>
      </c>
      <c r="Q104" s="1119" t="s">
        <v>1480</v>
      </c>
      <c r="R104" s="1280" t="s">
        <v>2351</v>
      </c>
      <c r="S104" s="1147" t="s">
        <v>2352</v>
      </c>
      <c r="T104" s="1281" t="s">
        <v>58</v>
      </c>
      <c r="U104" s="1281" t="s">
        <v>2353</v>
      </c>
      <c r="V104" s="1282" t="s">
        <v>2354</v>
      </c>
      <c r="W104" s="1148" t="s">
        <v>2355</v>
      </c>
      <c r="X104" s="1150" t="s">
        <v>2356</v>
      </c>
      <c r="Y104" s="1292">
        <v>2.7302</v>
      </c>
      <c r="Z104" s="1166">
        <f t="shared" ref="Z102:Z120" si="25">Y104*J104</f>
        <v>93798.7512</v>
      </c>
      <c r="AA104" s="1289" t="s">
        <v>2357</v>
      </c>
      <c r="AB104" s="1137" t="s">
        <v>63</v>
      </c>
      <c r="AC104" s="1137" t="s">
        <v>2040</v>
      </c>
      <c r="AD104" s="1290">
        <f>8988+25368</f>
        <v>34356</v>
      </c>
      <c r="AE104" s="1167">
        <f t="shared" ref="AE104:AE126" si="26">AD104-J104</f>
        <v>0</v>
      </c>
      <c r="AF104" s="1293" t="s">
        <v>327</v>
      </c>
      <c r="AG104" s="1291"/>
      <c r="AH104" s="1188">
        <f t="shared" ref="AH102:AH116" si="27">J104/3</f>
        <v>11452</v>
      </c>
      <c r="AI104" s="1188">
        <f t="shared" ref="AI102:AI116" si="28">J104/3</f>
        <v>11452</v>
      </c>
      <c r="AJ104" s="1188">
        <f t="shared" ref="AJ102:AJ116" si="29">J104/3</f>
        <v>11452</v>
      </c>
      <c r="AK104" s="1298"/>
      <c r="AL104" s="1299"/>
      <c r="AM104" s="1299"/>
      <c r="AN104" s="1300"/>
      <c r="AO104" s="1300"/>
      <c r="AP104" s="1300"/>
      <c r="AQ104" s="1300"/>
      <c r="AR104" s="1319"/>
      <c r="AS104" s="1320"/>
      <c r="AT104" s="1321"/>
      <c r="AU104" s="1322"/>
      <c r="AV104" s="1322"/>
      <c r="AW104" s="1214"/>
      <c r="AX104" s="1322"/>
      <c r="AY104" s="1300"/>
      <c r="AZ104" s="1300"/>
      <c r="BA104" s="1319"/>
      <c r="BB104" s="1319"/>
      <c r="BC104" s="1338">
        <f>J104</f>
        <v>34356</v>
      </c>
      <c r="BD104" s="1214"/>
      <c r="BE104" s="1346"/>
      <c r="BF104" s="1346">
        <f>J104</f>
        <v>34356</v>
      </c>
      <c r="BG104" s="1344"/>
      <c r="BH104" s="1347"/>
      <c r="BI104" s="1348"/>
      <c r="BJ104" s="1262"/>
      <c r="BK104" s="1262"/>
    </row>
    <row r="105" s="1053" customFormat="1" ht="31" customHeight="1" spans="1:63">
      <c r="A105" s="1265">
        <v>45723</v>
      </c>
      <c r="B105" s="1266" t="s">
        <v>2347</v>
      </c>
      <c r="C105" s="1267" t="s">
        <v>493</v>
      </c>
      <c r="D105" s="1266">
        <v>4500152757</v>
      </c>
      <c r="E105" s="1269" t="s">
        <v>2348</v>
      </c>
      <c r="F105" s="1266" t="s">
        <v>2358</v>
      </c>
      <c r="G105" s="1101" t="s">
        <v>2280</v>
      </c>
      <c r="H105" s="1101" t="s">
        <v>2079</v>
      </c>
      <c r="I105" s="1098" t="s">
        <v>2080</v>
      </c>
      <c r="J105" s="1120">
        <v>11448</v>
      </c>
      <c r="K105" s="1097">
        <v>0</v>
      </c>
      <c r="L105" s="1097">
        <v>6</v>
      </c>
      <c r="M105" s="1114">
        <f t="shared" si="22"/>
        <v>1908</v>
      </c>
      <c r="N105" s="1117">
        <v>45768</v>
      </c>
      <c r="O105" s="1117">
        <v>45764</v>
      </c>
      <c r="P105" s="1272" t="s">
        <v>2350</v>
      </c>
      <c r="Q105" s="1119" t="s">
        <v>1480</v>
      </c>
      <c r="R105" s="1280" t="s">
        <v>2351</v>
      </c>
      <c r="S105" s="1147" t="s">
        <v>2352</v>
      </c>
      <c r="T105" s="1281" t="s">
        <v>58</v>
      </c>
      <c r="U105" s="1281" t="s">
        <v>2353</v>
      </c>
      <c r="V105" s="1282" t="s">
        <v>2354</v>
      </c>
      <c r="W105" s="1148" t="s">
        <v>2355</v>
      </c>
      <c r="X105" s="1150" t="s">
        <v>2356</v>
      </c>
      <c r="Y105" s="1292">
        <v>2.7302</v>
      </c>
      <c r="Z105" s="1166">
        <f t="shared" si="25"/>
        <v>31255.3296</v>
      </c>
      <c r="AA105" s="1289" t="s">
        <v>2357</v>
      </c>
      <c r="AB105" s="1137" t="s">
        <v>63</v>
      </c>
      <c r="AC105" s="1137" t="s">
        <v>2040</v>
      </c>
      <c r="AD105" s="1290">
        <f>7686+3666+96</f>
        <v>11448</v>
      </c>
      <c r="AE105" s="1167">
        <f t="shared" si="26"/>
        <v>0</v>
      </c>
      <c r="AF105" s="1293"/>
      <c r="AG105" s="1291"/>
      <c r="AH105" s="1188">
        <f t="shared" si="27"/>
        <v>3816</v>
      </c>
      <c r="AI105" s="1188">
        <f t="shared" si="28"/>
        <v>3816</v>
      </c>
      <c r="AJ105" s="1188">
        <f t="shared" si="29"/>
        <v>3816</v>
      </c>
      <c r="AK105" s="1298"/>
      <c r="AL105" s="1299"/>
      <c r="AM105" s="1299"/>
      <c r="AN105" s="1300"/>
      <c r="AO105" s="1300"/>
      <c r="AP105" s="1300"/>
      <c r="AQ105" s="1300"/>
      <c r="AR105" s="1319"/>
      <c r="AS105" s="1320"/>
      <c r="AT105" s="1321"/>
      <c r="AU105" s="1322"/>
      <c r="AV105" s="1322"/>
      <c r="AW105" s="1214"/>
      <c r="AX105" s="1322"/>
      <c r="AY105" s="1300"/>
      <c r="AZ105" s="1300"/>
      <c r="BA105" s="1319"/>
      <c r="BB105" s="1319"/>
      <c r="BC105" s="1338">
        <f>J105</f>
        <v>11448</v>
      </c>
      <c r="BD105" s="1214"/>
      <c r="BE105" s="1346"/>
      <c r="BF105" s="1346">
        <f>J105</f>
        <v>11448</v>
      </c>
      <c r="BG105" s="1344"/>
      <c r="BH105" s="1347"/>
      <c r="BI105" s="1348"/>
      <c r="BJ105" s="1262"/>
      <c r="BK105" s="1262"/>
    </row>
    <row r="106" s="1053" customFormat="1" ht="31" customHeight="1" spans="1:63">
      <c r="A106" s="1265">
        <v>45723</v>
      </c>
      <c r="B106" s="1266" t="s">
        <v>2347</v>
      </c>
      <c r="C106" s="1267" t="s">
        <v>2359</v>
      </c>
      <c r="D106" s="1266">
        <v>4500152757</v>
      </c>
      <c r="E106" s="1269" t="s">
        <v>2360</v>
      </c>
      <c r="F106" s="1266" t="s">
        <v>2361</v>
      </c>
      <c r="G106" s="1101" t="s">
        <v>2280</v>
      </c>
      <c r="H106" s="1101" t="s">
        <v>2079</v>
      </c>
      <c r="I106" s="1098" t="s">
        <v>2080</v>
      </c>
      <c r="J106" s="1120">
        <v>4500</v>
      </c>
      <c r="K106" s="1097">
        <v>0</v>
      </c>
      <c r="L106" s="1097">
        <v>6</v>
      </c>
      <c r="M106" s="1114">
        <f t="shared" si="22"/>
        <v>750</v>
      </c>
      <c r="N106" s="1117">
        <v>45768</v>
      </c>
      <c r="O106" s="1117">
        <v>45764</v>
      </c>
      <c r="P106" s="1272" t="s">
        <v>2350</v>
      </c>
      <c r="Q106" s="1119" t="s">
        <v>1480</v>
      </c>
      <c r="R106" s="1280" t="s">
        <v>2351</v>
      </c>
      <c r="S106" s="1147" t="s">
        <v>2352</v>
      </c>
      <c r="T106" s="1281" t="s">
        <v>58</v>
      </c>
      <c r="U106" s="1281" t="s">
        <v>2353</v>
      </c>
      <c r="V106" s="1282" t="s">
        <v>2354</v>
      </c>
      <c r="W106" s="1148" t="s">
        <v>2355</v>
      </c>
      <c r="X106" s="1150" t="s">
        <v>2356</v>
      </c>
      <c r="Y106" s="1292">
        <v>2.7302</v>
      </c>
      <c r="Z106" s="1166">
        <f t="shared" si="25"/>
        <v>12285.9</v>
      </c>
      <c r="AA106" s="1289" t="s">
        <v>2357</v>
      </c>
      <c r="AB106" s="1137" t="s">
        <v>63</v>
      </c>
      <c r="AC106" s="1137" t="s">
        <v>2040</v>
      </c>
      <c r="AD106" s="1290">
        <v>4500</v>
      </c>
      <c r="AE106" s="1167">
        <f t="shared" si="26"/>
        <v>0</v>
      </c>
      <c r="AF106" s="1293"/>
      <c r="AG106" s="1291"/>
      <c r="AH106" s="1188">
        <f t="shared" si="27"/>
        <v>1500</v>
      </c>
      <c r="AI106" s="1188">
        <f t="shared" si="28"/>
        <v>1500</v>
      </c>
      <c r="AJ106" s="1188">
        <f t="shared" si="29"/>
        <v>1500</v>
      </c>
      <c r="AK106" s="1298"/>
      <c r="AL106" s="1299"/>
      <c r="AM106" s="1299"/>
      <c r="AN106" s="1300"/>
      <c r="AO106" s="1300"/>
      <c r="AP106" s="1300"/>
      <c r="AQ106" s="1300"/>
      <c r="AR106" s="1319"/>
      <c r="AS106" s="1320"/>
      <c r="AT106" s="1321"/>
      <c r="AU106" s="1322"/>
      <c r="AV106" s="1322"/>
      <c r="AW106" s="1214"/>
      <c r="AX106" s="1322"/>
      <c r="AY106" s="1300"/>
      <c r="AZ106" s="1300"/>
      <c r="BA106" s="1319"/>
      <c r="BB106" s="1319"/>
      <c r="BC106" s="1338">
        <f>J106</f>
        <v>4500</v>
      </c>
      <c r="BD106" s="1214"/>
      <c r="BE106" s="1346"/>
      <c r="BF106" s="1346">
        <f>J106</f>
        <v>4500</v>
      </c>
      <c r="BG106" s="1344"/>
      <c r="BH106" s="1347"/>
      <c r="BI106" s="1348"/>
      <c r="BJ106" s="1262"/>
      <c r="BK106" s="1262"/>
    </row>
    <row r="107" s="1053" customFormat="1" ht="31" customHeight="1" spans="1:63">
      <c r="A107" s="1265">
        <v>45723</v>
      </c>
      <c r="B107" s="1266" t="s">
        <v>2347</v>
      </c>
      <c r="C107" s="1267" t="s">
        <v>2362</v>
      </c>
      <c r="D107" s="1266">
        <v>4500152757</v>
      </c>
      <c r="E107" s="1269" t="s">
        <v>2363</v>
      </c>
      <c r="F107" s="1266" t="s">
        <v>2364</v>
      </c>
      <c r="G107" s="1101" t="s">
        <v>2280</v>
      </c>
      <c r="H107" s="1101" t="s">
        <v>2079</v>
      </c>
      <c r="I107" s="1098" t="s">
        <v>2080</v>
      </c>
      <c r="J107" s="1120">
        <v>2598</v>
      </c>
      <c r="K107" s="1097">
        <v>0</v>
      </c>
      <c r="L107" s="1097">
        <v>6</v>
      </c>
      <c r="M107" s="1114">
        <f t="shared" si="22"/>
        <v>433</v>
      </c>
      <c r="N107" s="1117">
        <v>45768</v>
      </c>
      <c r="O107" s="1117">
        <v>45764</v>
      </c>
      <c r="P107" s="1272" t="s">
        <v>2350</v>
      </c>
      <c r="Q107" s="1119" t="s">
        <v>1480</v>
      </c>
      <c r="R107" s="1280" t="s">
        <v>2351</v>
      </c>
      <c r="S107" s="1147" t="s">
        <v>2352</v>
      </c>
      <c r="T107" s="1281" t="s">
        <v>58</v>
      </c>
      <c r="U107" s="1281" t="s">
        <v>2353</v>
      </c>
      <c r="V107" s="1282" t="s">
        <v>2354</v>
      </c>
      <c r="W107" s="1148" t="s">
        <v>2355</v>
      </c>
      <c r="X107" s="1150" t="s">
        <v>1623</v>
      </c>
      <c r="Y107" s="1292">
        <v>2.7302</v>
      </c>
      <c r="Z107" s="1166">
        <f t="shared" si="25"/>
        <v>7093.0596</v>
      </c>
      <c r="AA107" s="1289" t="s">
        <v>2357</v>
      </c>
      <c r="AB107" s="1137" t="s">
        <v>63</v>
      </c>
      <c r="AC107" s="1137" t="s">
        <v>2040</v>
      </c>
      <c r="AD107" s="1290">
        <v>2598</v>
      </c>
      <c r="AE107" s="1167">
        <f t="shared" si="26"/>
        <v>0</v>
      </c>
      <c r="AF107" s="1293"/>
      <c r="AG107" s="1291"/>
      <c r="AH107" s="1188">
        <f t="shared" si="27"/>
        <v>866</v>
      </c>
      <c r="AI107" s="1188">
        <f t="shared" si="28"/>
        <v>866</v>
      </c>
      <c r="AJ107" s="1188">
        <f t="shared" si="29"/>
        <v>866</v>
      </c>
      <c r="AK107" s="1298"/>
      <c r="AL107" s="1299"/>
      <c r="AM107" s="1299"/>
      <c r="AN107" s="1300"/>
      <c r="AO107" s="1300"/>
      <c r="AP107" s="1300"/>
      <c r="AQ107" s="1300"/>
      <c r="AR107" s="1319"/>
      <c r="AS107" s="1320"/>
      <c r="AT107" s="1321"/>
      <c r="AU107" s="1322"/>
      <c r="AV107" s="1322"/>
      <c r="AW107" s="1214"/>
      <c r="AX107" s="1322"/>
      <c r="AY107" s="1300"/>
      <c r="AZ107" s="1300"/>
      <c r="BA107" s="1319"/>
      <c r="BB107" s="1319"/>
      <c r="BC107" s="1338">
        <f>J107</f>
        <v>2598</v>
      </c>
      <c r="BD107" s="1214"/>
      <c r="BE107" s="1346"/>
      <c r="BF107" s="1346">
        <f>J107</f>
        <v>2598</v>
      </c>
      <c r="BG107" s="1344"/>
      <c r="BH107" s="1347"/>
      <c r="BI107" s="1348"/>
      <c r="BJ107" s="1262"/>
      <c r="BK107" s="1262"/>
    </row>
    <row r="108" s="1053" customFormat="1" ht="31" customHeight="1" spans="1:63">
      <c r="A108" s="1265">
        <v>45723</v>
      </c>
      <c r="B108" s="1266" t="s">
        <v>2347</v>
      </c>
      <c r="C108" s="1267" t="s">
        <v>2365</v>
      </c>
      <c r="D108" s="1266">
        <v>4500152757</v>
      </c>
      <c r="E108" s="1269" t="s">
        <v>2366</v>
      </c>
      <c r="F108" s="1266" t="s">
        <v>2367</v>
      </c>
      <c r="G108" s="1101" t="s">
        <v>2280</v>
      </c>
      <c r="H108" s="1101" t="s">
        <v>2079</v>
      </c>
      <c r="I108" s="1098" t="s">
        <v>2080</v>
      </c>
      <c r="J108" s="1120">
        <v>3138</v>
      </c>
      <c r="K108" s="1097">
        <v>0</v>
      </c>
      <c r="L108" s="1097">
        <v>6</v>
      </c>
      <c r="M108" s="1114">
        <f t="shared" si="22"/>
        <v>523</v>
      </c>
      <c r="N108" s="1117">
        <v>45768</v>
      </c>
      <c r="O108" s="1117">
        <v>45764</v>
      </c>
      <c r="P108" s="1272" t="s">
        <v>2350</v>
      </c>
      <c r="Q108" s="1119" t="s">
        <v>1480</v>
      </c>
      <c r="R108" s="1280" t="s">
        <v>2351</v>
      </c>
      <c r="S108" s="1147" t="s">
        <v>2352</v>
      </c>
      <c r="T108" s="1281" t="s">
        <v>58</v>
      </c>
      <c r="U108" s="1281" t="s">
        <v>2353</v>
      </c>
      <c r="V108" s="1282" t="s">
        <v>2354</v>
      </c>
      <c r="W108" s="1148" t="s">
        <v>2368</v>
      </c>
      <c r="X108" s="1150" t="s">
        <v>2356</v>
      </c>
      <c r="Y108" s="1292">
        <v>2.7302</v>
      </c>
      <c r="Z108" s="1166">
        <f t="shared" si="25"/>
        <v>8567.3676</v>
      </c>
      <c r="AA108" s="1289" t="s">
        <v>2357</v>
      </c>
      <c r="AB108" s="1137" t="s">
        <v>63</v>
      </c>
      <c r="AC108" s="1137" t="s">
        <v>2040</v>
      </c>
      <c r="AD108" s="1290">
        <f>2250+888</f>
        <v>3138</v>
      </c>
      <c r="AE108" s="1167">
        <f t="shared" si="26"/>
        <v>0</v>
      </c>
      <c r="AF108" s="1291"/>
      <c r="AG108" s="1291"/>
      <c r="AH108" s="1188">
        <f t="shared" si="27"/>
        <v>1046</v>
      </c>
      <c r="AI108" s="1188">
        <f t="shared" si="28"/>
        <v>1046</v>
      </c>
      <c r="AJ108" s="1188">
        <f t="shared" si="29"/>
        <v>1046</v>
      </c>
      <c r="AK108" s="1298"/>
      <c r="AL108" s="1299"/>
      <c r="AM108" s="1299"/>
      <c r="AN108" s="1300"/>
      <c r="AO108" s="1300"/>
      <c r="AP108" s="1300"/>
      <c r="AQ108" s="1300"/>
      <c r="AR108" s="1319"/>
      <c r="AS108" s="1320"/>
      <c r="AT108" s="1321"/>
      <c r="AU108" s="1322"/>
      <c r="AV108" s="1322"/>
      <c r="AW108" s="1214"/>
      <c r="AX108" s="1322"/>
      <c r="AY108" s="1300"/>
      <c r="AZ108" s="1300"/>
      <c r="BA108" s="1319"/>
      <c r="BB108" s="1319"/>
      <c r="BC108" s="1338">
        <f>J108</f>
        <v>3138</v>
      </c>
      <c r="BD108" s="1214"/>
      <c r="BE108" s="1346"/>
      <c r="BF108" s="1346">
        <f>J108</f>
        <v>3138</v>
      </c>
      <c r="BG108" s="1344"/>
      <c r="BH108" s="1347"/>
      <c r="BI108" s="1348"/>
      <c r="BJ108" s="1262"/>
      <c r="BK108" s="1262"/>
    </row>
    <row r="109" s="1053" customFormat="1" ht="31" customHeight="1" spans="1:63">
      <c r="A109" s="1265">
        <v>45729</v>
      </c>
      <c r="B109" s="1266" t="s">
        <v>2369</v>
      </c>
      <c r="C109" s="1267" t="s">
        <v>2370</v>
      </c>
      <c r="D109" s="1266">
        <v>4500159866</v>
      </c>
      <c r="E109" s="1269"/>
      <c r="F109" s="1266" t="s">
        <v>2371</v>
      </c>
      <c r="G109" s="1101" t="s">
        <v>2118</v>
      </c>
      <c r="H109" s="1101" t="s">
        <v>2118</v>
      </c>
      <c r="I109" s="1098" t="s">
        <v>2119</v>
      </c>
      <c r="J109" s="1120">
        <v>120</v>
      </c>
      <c r="K109" s="1097">
        <v>0</v>
      </c>
      <c r="L109" s="1097">
        <v>12</v>
      </c>
      <c r="M109" s="1114">
        <f t="shared" si="22"/>
        <v>10</v>
      </c>
      <c r="N109" s="1117">
        <v>45769</v>
      </c>
      <c r="O109" s="1117">
        <v>45765</v>
      </c>
      <c r="P109" s="1272"/>
      <c r="Q109" s="1119" t="s">
        <v>1480</v>
      </c>
      <c r="R109" s="1280"/>
      <c r="S109" s="1147">
        <v>45729</v>
      </c>
      <c r="T109" s="1281" t="s">
        <v>58</v>
      </c>
      <c r="U109" s="1281">
        <v>45730</v>
      </c>
      <c r="V109" s="1282" t="s">
        <v>2372</v>
      </c>
      <c r="W109" s="1148" t="s">
        <v>2373</v>
      </c>
      <c r="X109" s="1150" t="s">
        <v>120</v>
      </c>
      <c r="Y109" s="1292">
        <v>2.9668</v>
      </c>
      <c r="Z109" s="1166">
        <f t="shared" si="25"/>
        <v>356.016</v>
      </c>
      <c r="AA109" s="1289" t="s">
        <v>2374</v>
      </c>
      <c r="AB109" s="1137" t="s">
        <v>63</v>
      </c>
      <c r="AC109" s="1137" t="s">
        <v>2040</v>
      </c>
      <c r="AD109" s="1290">
        <v>120</v>
      </c>
      <c r="AE109" s="1167">
        <f t="shared" si="26"/>
        <v>0</v>
      </c>
      <c r="AF109" s="1291" t="s">
        <v>327</v>
      </c>
      <c r="AG109" s="1291"/>
      <c r="AH109" s="1188">
        <f t="shared" si="27"/>
        <v>40</v>
      </c>
      <c r="AI109" s="1188">
        <f t="shared" si="28"/>
        <v>40</v>
      </c>
      <c r="AJ109" s="1188">
        <f t="shared" si="29"/>
        <v>40</v>
      </c>
      <c r="AK109" s="1298"/>
      <c r="AL109" s="1299"/>
      <c r="AM109" s="1299"/>
      <c r="AN109" s="1300"/>
      <c r="AO109" s="1300"/>
      <c r="AP109" s="1300"/>
      <c r="AQ109" s="1300"/>
      <c r="AR109" s="1319">
        <f t="shared" ref="AR109:AR123" si="30">J109</f>
        <v>120</v>
      </c>
      <c r="AS109" s="1320"/>
      <c r="AT109" s="1321"/>
      <c r="AU109" s="1322"/>
      <c r="AV109" s="1322"/>
      <c r="AW109" s="1214">
        <f>J109</f>
        <v>120</v>
      </c>
      <c r="AX109" s="1322"/>
      <c r="AY109" s="1300"/>
      <c r="AZ109" s="1300"/>
      <c r="BA109" s="1319"/>
      <c r="BB109" s="1319"/>
      <c r="BC109" s="1338"/>
      <c r="BD109" s="1214"/>
      <c r="BE109" s="1346"/>
      <c r="BF109" s="1346"/>
      <c r="BG109" s="1344"/>
      <c r="BH109" s="1347"/>
      <c r="BI109" s="1348"/>
      <c r="BJ109" s="1262"/>
      <c r="BK109" s="1262"/>
    </row>
    <row r="110" s="1053" customFormat="1" ht="31" customHeight="1" spans="1:63">
      <c r="A110" s="1265">
        <v>45737</v>
      </c>
      <c r="B110" s="1266" t="s">
        <v>2375</v>
      </c>
      <c r="C110" s="1267" t="s">
        <v>752</v>
      </c>
      <c r="D110" s="1266">
        <v>4500161136</v>
      </c>
      <c r="E110" s="1269"/>
      <c r="F110" s="1266" t="s">
        <v>2376</v>
      </c>
      <c r="G110" s="1101" t="s">
        <v>2118</v>
      </c>
      <c r="H110" s="1101" t="s">
        <v>2118</v>
      </c>
      <c r="I110" s="1098" t="s">
        <v>2119</v>
      </c>
      <c r="J110" s="1120">
        <v>360</v>
      </c>
      <c r="K110" s="1097">
        <v>0</v>
      </c>
      <c r="L110" s="1097">
        <v>12</v>
      </c>
      <c r="M110" s="1114">
        <f t="shared" si="22"/>
        <v>30</v>
      </c>
      <c r="N110" s="1117">
        <v>45770</v>
      </c>
      <c r="O110" s="1117">
        <v>45766</v>
      </c>
      <c r="P110" s="1272"/>
      <c r="Q110" s="1119" t="s">
        <v>1480</v>
      </c>
      <c r="R110" s="1280"/>
      <c r="S110" s="1147">
        <v>45738</v>
      </c>
      <c r="T110" s="1281" t="s">
        <v>58</v>
      </c>
      <c r="U110" s="1281" t="s">
        <v>58</v>
      </c>
      <c r="V110" s="1282" t="s">
        <v>2377</v>
      </c>
      <c r="W110" s="1148" t="s">
        <v>2378</v>
      </c>
      <c r="X110" s="1150" t="s">
        <v>690</v>
      </c>
      <c r="Y110" s="1292">
        <v>2.9064</v>
      </c>
      <c r="Z110" s="1166">
        <f t="shared" si="25"/>
        <v>1046.304</v>
      </c>
      <c r="AA110" s="1289" t="s">
        <v>2379</v>
      </c>
      <c r="AB110" s="1137" t="s">
        <v>63</v>
      </c>
      <c r="AC110" s="1137" t="s">
        <v>2040</v>
      </c>
      <c r="AD110" s="1290">
        <v>360</v>
      </c>
      <c r="AE110" s="1167">
        <f t="shared" si="26"/>
        <v>0</v>
      </c>
      <c r="AF110" s="1294" t="s">
        <v>58</v>
      </c>
      <c r="AG110" s="1291"/>
      <c r="AH110" s="1188">
        <f t="shared" si="27"/>
        <v>120</v>
      </c>
      <c r="AI110" s="1188">
        <f t="shared" si="28"/>
        <v>120</v>
      </c>
      <c r="AJ110" s="1188">
        <f t="shared" si="29"/>
        <v>120</v>
      </c>
      <c r="AK110" s="1298"/>
      <c r="AL110" s="1299"/>
      <c r="AM110" s="1299"/>
      <c r="AN110" s="1300"/>
      <c r="AO110" s="1300"/>
      <c r="AP110" s="1300"/>
      <c r="AQ110" s="1300"/>
      <c r="AR110" s="1319">
        <f t="shared" si="30"/>
        <v>360</v>
      </c>
      <c r="AS110" s="1320"/>
      <c r="AT110" s="1321"/>
      <c r="AU110" s="1322"/>
      <c r="AV110" s="1322"/>
      <c r="AW110" s="1214">
        <f>J110</f>
        <v>360</v>
      </c>
      <c r="AX110" s="1322"/>
      <c r="AY110" s="1300"/>
      <c r="AZ110" s="1300"/>
      <c r="BA110" s="1319"/>
      <c r="BB110" s="1319"/>
      <c r="BC110" s="1338"/>
      <c r="BD110" s="1214"/>
      <c r="BE110" s="1346"/>
      <c r="BF110" s="1346"/>
      <c r="BG110" s="1344"/>
      <c r="BH110" s="1347"/>
      <c r="BI110" s="1348"/>
      <c r="BJ110" s="1262"/>
      <c r="BK110" s="1262"/>
    </row>
    <row r="111" s="1053" customFormat="1" ht="31" customHeight="1" spans="1:63">
      <c r="A111" s="1265">
        <v>45733</v>
      </c>
      <c r="B111" s="1266" t="s">
        <v>122</v>
      </c>
      <c r="C111" s="1267" t="s">
        <v>123</v>
      </c>
      <c r="D111" s="1266">
        <v>4500160258</v>
      </c>
      <c r="E111" s="1269" t="s">
        <v>2380</v>
      </c>
      <c r="F111" s="1266" t="s">
        <v>2381</v>
      </c>
      <c r="G111" s="1101" t="s">
        <v>2309</v>
      </c>
      <c r="H111" s="1101" t="s">
        <v>2310</v>
      </c>
      <c r="I111" s="1270" t="s">
        <v>2042</v>
      </c>
      <c r="J111" s="1120">
        <v>1200</v>
      </c>
      <c r="K111" s="1097">
        <v>0</v>
      </c>
      <c r="L111" s="1097">
        <v>12</v>
      </c>
      <c r="M111" s="1114">
        <f t="shared" si="22"/>
        <v>100</v>
      </c>
      <c r="N111" s="1117">
        <v>45777</v>
      </c>
      <c r="O111" s="1117">
        <v>45773</v>
      </c>
      <c r="P111" s="1272"/>
      <c r="Q111" s="1119" t="s">
        <v>1480</v>
      </c>
      <c r="R111" s="1280"/>
      <c r="S111" s="1147">
        <v>45733</v>
      </c>
      <c r="T111" s="1281" t="s">
        <v>58</v>
      </c>
      <c r="U111" s="1281" t="s">
        <v>2382</v>
      </c>
      <c r="V111" s="1283" t="s">
        <v>2383</v>
      </c>
      <c r="W111" s="1148" t="s">
        <v>2384</v>
      </c>
      <c r="X111" s="1150" t="s">
        <v>674</v>
      </c>
      <c r="Y111" s="1292">
        <v>2.9011</v>
      </c>
      <c r="Z111" s="1166">
        <f t="shared" si="25"/>
        <v>3481.32</v>
      </c>
      <c r="AA111" s="1289" t="s">
        <v>2385</v>
      </c>
      <c r="AB111" s="1137" t="s">
        <v>63</v>
      </c>
      <c r="AC111" s="1137" t="s">
        <v>2040</v>
      </c>
      <c r="AD111" s="1290">
        <v>1200</v>
      </c>
      <c r="AE111" s="1167">
        <f t="shared" si="26"/>
        <v>0</v>
      </c>
      <c r="AF111" s="1291" t="s">
        <v>327</v>
      </c>
      <c r="AG111" s="1291"/>
      <c r="AH111" s="1188"/>
      <c r="AI111" s="1188"/>
      <c r="AJ111" s="1188">
        <f>J111</f>
        <v>1200</v>
      </c>
      <c r="AK111" s="1304"/>
      <c r="AL111" s="1299"/>
      <c r="AM111" s="1299"/>
      <c r="AN111" s="1300"/>
      <c r="AO111" s="1300"/>
      <c r="AP111" s="1300"/>
      <c r="AQ111" s="1300"/>
      <c r="AR111" s="1319">
        <f t="shared" si="30"/>
        <v>1200</v>
      </c>
      <c r="AS111" s="1320"/>
      <c r="AT111" s="1321"/>
      <c r="AU111" s="1322"/>
      <c r="AV111" s="1322"/>
      <c r="AW111" s="1214"/>
      <c r="AX111" s="1322"/>
      <c r="AY111" s="1300"/>
      <c r="AZ111" s="1300"/>
      <c r="BA111" s="1319">
        <f>J111</f>
        <v>1200</v>
      </c>
      <c r="BB111" s="1319"/>
      <c r="BC111" s="1338"/>
      <c r="BD111" s="1214"/>
      <c r="BE111" s="1346"/>
      <c r="BF111" s="1346"/>
      <c r="BG111" s="1344"/>
      <c r="BH111" s="1347"/>
      <c r="BI111" s="1348"/>
      <c r="BJ111" s="1262"/>
      <c r="BK111" s="1262"/>
    </row>
    <row r="112" s="1053" customFormat="1" ht="31" customHeight="1" spans="1:63">
      <c r="A112" s="1265">
        <v>45733</v>
      </c>
      <c r="B112" s="1266" t="s">
        <v>122</v>
      </c>
      <c r="C112" s="1267" t="s">
        <v>123</v>
      </c>
      <c r="D112" s="1266">
        <v>4500160258</v>
      </c>
      <c r="E112" s="1269" t="s">
        <v>2380</v>
      </c>
      <c r="F112" s="1266" t="s">
        <v>2386</v>
      </c>
      <c r="G112" s="1101" t="s">
        <v>2316</v>
      </c>
      <c r="H112" s="1101" t="s">
        <v>2317</v>
      </c>
      <c r="I112" s="1098" t="s">
        <v>2063</v>
      </c>
      <c r="J112" s="1120">
        <v>1500</v>
      </c>
      <c r="K112" s="1097">
        <v>0</v>
      </c>
      <c r="L112" s="1097">
        <v>12</v>
      </c>
      <c r="M112" s="1114">
        <f t="shared" si="22"/>
        <v>125</v>
      </c>
      <c r="N112" s="1117">
        <v>45777</v>
      </c>
      <c r="O112" s="1117">
        <v>45773</v>
      </c>
      <c r="P112" s="1272"/>
      <c r="Q112" s="1119" t="s">
        <v>1480</v>
      </c>
      <c r="R112" s="1280"/>
      <c r="S112" s="1147">
        <v>45733</v>
      </c>
      <c r="T112" s="1281" t="s">
        <v>58</v>
      </c>
      <c r="U112" s="1281" t="s">
        <v>2382</v>
      </c>
      <c r="V112" s="1283" t="s">
        <v>2383</v>
      </c>
      <c r="W112" s="1148" t="s">
        <v>2387</v>
      </c>
      <c r="X112" s="1150" t="s">
        <v>674</v>
      </c>
      <c r="Y112" s="1292">
        <v>2.9011</v>
      </c>
      <c r="Z112" s="1166">
        <f t="shared" si="25"/>
        <v>4351.65</v>
      </c>
      <c r="AA112" s="1289" t="s">
        <v>2385</v>
      </c>
      <c r="AB112" s="1137" t="s">
        <v>63</v>
      </c>
      <c r="AC112" s="1137" t="s">
        <v>2040</v>
      </c>
      <c r="AD112" s="1290">
        <v>1500</v>
      </c>
      <c r="AE112" s="1167">
        <f t="shared" si="26"/>
        <v>0</v>
      </c>
      <c r="AF112" s="1291" t="s">
        <v>327</v>
      </c>
      <c r="AG112" s="1291"/>
      <c r="AH112" s="1188"/>
      <c r="AI112" s="1188">
        <f>J112</f>
        <v>1500</v>
      </c>
      <c r="AJ112" s="1188"/>
      <c r="AK112" s="1305"/>
      <c r="AL112" s="1306"/>
      <c r="AM112" s="1306"/>
      <c r="AN112" s="1307"/>
      <c r="AO112" s="1307"/>
      <c r="AP112" s="1307"/>
      <c r="AQ112" s="1307"/>
      <c r="AR112" s="1319">
        <f t="shared" si="30"/>
        <v>1500</v>
      </c>
      <c r="AS112" s="1326"/>
      <c r="AT112" s="1327"/>
      <c r="AU112" s="1328"/>
      <c r="AV112" s="1328"/>
      <c r="AW112" s="1214"/>
      <c r="AX112" s="1328"/>
      <c r="AY112" s="1307"/>
      <c r="AZ112" s="1307"/>
      <c r="BA112" s="1339">
        <f>J112</f>
        <v>1500</v>
      </c>
      <c r="BB112" s="1340"/>
      <c r="BC112" s="1341"/>
      <c r="BD112" s="1342"/>
      <c r="BE112" s="1350"/>
      <c r="BF112" s="1350"/>
      <c r="BG112" s="1351"/>
      <c r="BH112" s="1347"/>
      <c r="BI112" s="1352"/>
      <c r="BJ112" s="1353"/>
      <c r="BK112" s="1353"/>
    </row>
    <row r="113" s="1053" customFormat="1" ht="31" customHeight="1" spans="1:63">
      <c r="A113" s="1265">
        <v>45735</v>
      </c>
      <c r="B113" s="1266" t="s">
        <v>2106</v>
      </c>
      <c r="C113" s="1267" t="s">
        <v>123</v>
      </c>
      <c r="D113" s="1266">
        <v>4500160662</v>
      </c>
      <c r="E113" s="1269" t="s">
        <v>2388</v>
      </c>
      <c r="F113" s="1266" t="s">
        <v>2389</v>
      </c>
      <c r="G113" s="1101" t="s">
        <v>2390</v>
      </c>
      <c r="H113" s="1101" t="s">
        <v>2390</v>
      </c>
      <c r="I113" s="1270" t="s">
        <v>2063</v>
      </c>
      <c r="J113" s="1120">
        <v>624</v>
      </c>
      <c r="K113" s="1097">
        <v>0</v>
      </c>
      <c r="L113" s="1097">
        <v>24</v>
      </c>
      <c r="M113" s="1114">
        <f t="shared" si="22"/>
        <v>26</v>
      </c>
      <c r="N113" s="1117">
        <v>45777</v>
      </c>
      <c r="O113" s="1117">
        <v>45773</v>
      </c>
      <c r="P113" s="1272"/>
      <c r="Q113" s="1119" t="s">
        <v>1480</v>
      </c>
      <c r="R113" s="1280" t="s">
        <v>2391</v>
      </c>
      <c r="S113" s="1147" t="s">
        <v>2392</v>
      </c>
      <c r="T113" s="1281" t="s">
        <v>2112</v>
      </c>
      <c r="U113" s="1281">
        <v>45754</v>
      </c>
      <c r="V113" s="1282" t="s">
        <v>2393</v>
      </c>
      <c r="W113" s="1148" t="s">
        <v>2394</v>
      </c>
      <c r="X113" s="1150" t="s">
        <v>2115</v>
      </c>
      <c r="Y113" s="1165">
        <v>2.8755</v>
      </c>
      <c r="Z113" s="1166">
        <f t="shared" si="25"/>
        <v>1794.312</v>
      </c>
      <c r="AA113" s="1289"/>
      <c r="AB113" s="1137" t="s">
        <v>63</v>
      </c>
      <c r="AC113" s="1137" t="s">
        <v>2040</v>
      </c>
      <c r="AD113" s="1290">
        <v>624</v>
      </c>
      <c r="AE113" s="1167">
        <f t="shared" si="26"/>
        <v>0</v>
      </c>
      <c r="AF113" s="1291" t="s">
        <v>327</v>
      </c>
      <c r="AG113" s="1291"/>
      <c r="AH113" s="1188"/>
      <c r="AI113" s="1188">
        <f>J113</f>
        <v>624</v>
      </c>
      <c r="AJ113" s="1188"/>
      <c r="AK113" s="1305"/>
      <c r="AL113" s="1306"/>
      <c r="AM113" s="1306"/>
      <c r="AN113" s="1307"/>
      <c r="AO113" s="1307"/>
      <c r="AP113" s="1307"/>
      <c r="AQ113" s="1307"/>
      <c r="AR113" s="1329">
        <f t="shared" si="30"/>
        <v>624</v>
      </c>
      <c r="AS113" s="1326"/>
      <c r="AT113" s="1327"/>
      <c r="AU113" s="1328"/>
      <c r="AV113" s="1328"/>
      <c r="AW113" s="1343"/>
      <c r="AX113" s="1328"/>
      <c r="AY113" s="1307"/>
      <c r="AZ113" s="1307"/>
      <c r="BA113" s="1329"/>
      <c r="BB113" s="1329"/>
      <c r="BC113" s="1344"/>
      <c r="BD113" s="1343"/>
      <c r="BE113" s="1344"/>
      <c r="BF113" s="1344">
        <f>J113</f>
        <v>624</v>
      </c>
      <c r="BG113" s="1344"/>
      <c r="BH113" s="1354"/>
      <c r="BI113" s="1352"/>
      <c r="BJ113" s="1353"/>
      <c r="BK113" s="1353"/>
    </row>
    <row r="114" s="1053" customFormat="1" ht="31" customHeight="1" spans="1:63">
      <c r="A114" s="1265">
        <v>45729</v>
      </c>
      <c r="B114" s="1266" t="s">
        <v>2205</v>
      </c>
      <c r="C114" s="1267" t="s">
        <v>123</v>
      </c>
      <c r="D114" s="1266">
        <v>4500159816</v>
      </c>
      <c r="E114" s="1269">
        <v>14452164</v>
      </c>
      <c r="F114" s="1266" t="s">
        <v>2395</v>
      </c>
      <c r="G114" s="1101" t="s">
        <v>2079</v>
      </c>
      <c r="H114" s="1101" t="s">
        <v>2079</v>
      </c>
      <c r="I114" s="1098" t="s">
        <v>2080</v>
      </c>
      <c r="J114" s="1120">
        <v>5256</v>
      </c>
      <c r="K114" s="1097">
        <v>0</v>
      </c>
      <c r="L114" s="1097">
        <v>6</v>
      </c>
      <c r="M114" s="1114">
        <f t="shared" si="22"/>
        <v>876</v>
      </c>
      <c r="N114" s="1117">
        <v>45772</v>
      </c>
      <c r="O114" s="1117">
        <v>45777</v>
      </c>
      <c r="P114" s="1272"/>
      <c r="Q114" s="1119" t="s">
        <v>1480</v>
      </c>
      <c r="R114" s="1280" t="s">
        <v>2391</v>
      </c>
      <c r="S114" s="1147">
        <v>45749</v>
      </c>
      <c r="T114" s="1281" t="s">
        <v>58</v>
      </c>
      <c r="U114" s="1281">
        <v>45772</v>
      </c>
      <c r="V114" s="1282" t="s">
        <v>2208</v>
      </c>
      <c r="W114" s="1148" t="s">
        <v>2396</v>
      </c>
      <c r="X114" s="1150" t="s">
        <v>700</v>
      </c>
      <c r="Y114" s="1165">
        <v>2.7285</v>
      </c>
      <c r="Z114" s="1166">
        <f t="shared" si="25"/>
        <v>14340.996</v>
      </c>
      <c r="AA114" s="1289"/>
      <c r="AB114" s="1137" t="s">
        <v>63</v>
      </c>
      <c r="AC114" s="1137" t="s">
        <v>2040</v>
      </c>
      <c r="AD114" s="1290">
        <v>5256</v>
      </c>
      <c r="AE114" s="1167">
        <f t="shared" si="26"/>
        <v>0</v>
      </c>
      <c r="AF114" s="1291" t="s">
        <v>327</v>
      </c>
      <c r="AG114" s="1291"/>
      <c r="AH114" s="1188">
        <f>J114/3</f>
        <v>1752</v>
      </c>
      <c r="AI114" s="1188">
        <f>J114/3</f>
        <v>1752</v>
      </c>
      <c r="AJ114" s="1188">
        <f>J114/3</f>
        <v>1752</v>
      </c>
      <c r="AK114" s="1298"/>
      <c r="AL114" s="1299"/>
      <c r="AM114" s="1299"/>
      <c r="AN114" s="1300"/>
      <c r="AO114" s="1300"/>
      <c r="AP114" s="1300"/>
      <c r="AQ114" s="1300"/>
      <c r="AR114" s="1319">
        <f t="shared" si="30"/>
        <v>5256</v>
      </c>
      <c r="AS114" s="1320"/>
      <c r="AT114" s="1321"/>
      <c r="AU114" s="1322"/>
      <c r="AV114" s="1322"/>
      <c r="AW114" s="1214">
        <f>J114</f>
        <v>5256</v>
      </c>
      <c r="AX114" s="1322"/>
      <c r="AY114" s="1300"/>
      <c r="AZ114" s="1300"/>
      <c r="BA114" s="1319"/>
      <c r="BB114" s="1319"/>
      <c r="BC114" s="1338"/>
      <c r="BD114" s="1214"/>
      <c r="BE114" s="1346"/>
      <c r="BF114" s="1346"/>
      <c r="BG114" s="1338"/>
      <c r="BH114" s="1347"/>
      <c r="BI114" s="1348"/>
      <c r="BJ114" s="1262"/>
      <c r="BK114" s="1262"/>
    </row>
    <row r="115" s="1053" customFormat="1" ht="31" customHeight="1" spans="1:63">
      <c r="A115" s="1265">
        <v>45730</v>
      </c>
      <c r="B115" s="1266" t="s">
        <v>1969</v>
      </c>
      <c r="C115" s="1267" t="s">
        <v>752</v>
      </c>
      <c r="D115" s="1266">
        <v>4500160346</v>
      </c>
      <c r="E115" s="1268" t="s">
        <v>2397</v>
      </c>
      <c r="F115" s="1266" t="s">
        <v>2398</v>
      </c>
      <c r="G115" s="1101" t="s">
        <v>2118</v>
      </c>
      <c r="H115" s="1101" t="s">
        <v>2118</v>
      </c>
      <c r="I115" s="1098" t="s">
        <v>2119</v>
      </c>
      <c r="J115" s="1120">
        <v>1008</v>
      </c>
      <c r="K115" s="1097">
        <v>0</v>
      </c>
      <c r="L115" s="1097">
        <v>12</v>
      </c>
      <c r="M115" s="1114">
        <f t="shared" si="22"/>
        <v>84</v>
      </c>
      <c r="N115" s="1117">
        <v>45783</v>
      </c>
      <c r="O115" s="1117">
        <v>45779</v>
      </c>
      <c r="P115" s="1272"/>
      <c r="Q115" s="1119" t="s">
        <v>1480</v>
      </c>
      <c r="R115" s="1280" t="s">
        <v>2399</v>
      </c>
      <c r="S115" s="1147">
        <v>45730</v>
      </c>
      <c r="T115" s="1281" t="s">
        <v>58</v>
      </c>
      <c r="U115" s="1281" t="s">
        <v>58</v>
      </c>
      <c r="V115" s="1283" t="s">
        <v>2400</v>
      </c>
      <c r="W115" s="1148" t="s">
        <v>2401</v>
      </c>
      <c r="X115" s="1150" t="s">
        <v>690</v>
      </c>
      <c r="Y115" s="1292">
        <v>2.785</v>
      </c>
      <c r="Z115" s="1166">
        <f t="shared" si="25"/>
        <v>2807.28</v>
      </c>
      <c r="AA115" s="1289"/>
      <c r="AB115" s="1137" t="s">
        <v>63</v>
      </c>
      <c r="AC115" s="1137" t="s">
        <v>2040</v>
      </c>
      <c r="AD115" s="1290">
        <f>1008</f>
        <v>1008</v>
      </c>
      <c r="AE115" s="1167">
        <f t="shared" si="26"/>
        <v>0</v>
      </c>
      <c r="AF115" s="1294" t="s">
        <v>58</v>
      </c>
      <c r="AG115" s="1291"/>
      <c r="AH115" s="1188">
        <f t="shared" ref="AH115:AH126" si="31">J115/3</f>
        <v>336</v>
      </c>
      <c r="AI115" s="1188">
        <f t="shared" ref="AI115:AI126" si="32">J115/3</f>
        <v>336</v>
      </c>
      <c r="AJ115" s="1188">
        <f t="shared" ref="AJ115:AJ126" si="33">J115/3</f>
        <v>336</v>
      </c>
      <c r="AK115" s="1304"/>
      <c r="AL115" s="1299"/>
      <c r="AM115" s="1299"/>
      <c r="AN115" s="1300"/>
      <c r="AO115" s="1300"/>
      <c r="AP115" s="1300"/>
      <c r="AQ115" s="1300"/>
      <c r="AR115" s="1319">
        <f t="shared" si="30"/>
        <v>1008</v>
      </c>
      <c r="AS115" s="1320"/>
      <c r="AT115" s="1321"/>
      <c r="AU115" s="1322"/>
      <c r="AV115" s="1322"/>
      <c r="AW115" s="1214">
        <f>J115</f>
        <v>1008</v>
      </c>
      <c r="AX115" s="1322"/>
      <c r="AY115" s="1300"/>
      <c r="AZ115" s="1300"/>
      <c r="BA115" s="1319"/>
      <c r="BB115" s="1319"/>
      <c r="BC115" s="1338"/>
      <c r="BD115" s="1214"/>
      <c r="BE115" s="1346"/>
      <c r="BF115" s="1346"/>
      <c r="BG115" s="1344"/>
      <c r="BH115" s="1347"/>
      <c r="BI115" s="1348"/>
      <c r="BJ115" s="1262"/>
      <c r="BK115" s="1262"/>
    </row>
    <row r="116" s="1053" customFormat="1" ht="31" customHeight="1" spans="1:63">
      <c r="A116" s="1265">
        <v>45726</v>
      </c>
      <c r="B116" s="1266" t="s">
        <v>662</v>
      </c>
      <c r="C116" s="1267" t="s">
        <v>398</v>
      </c>
      <c r="D116" s="1266">
        <v>4500159666</v>
      </c>
      <c r="E116" s="1268" t="s">
        <v>2402</v>
      </c>
      <c r="F116" s="1266" t="s">
        <v>2403</v>
      </c>
      <c r="G116" s="1101" t="s">
        <v>2258</v>
      </c>
      <c r="H116" s="1101" t="s">
        <v>2079</v>
      </c>
      <c r="I116" s="1098" t="s">
        <v>2080</v>
      </c>
      <c r="J116" s="1120">
        <v>2400</v>
      </c>
      <c r="K116" s="1097">
        <v>0</v>
      </c>
      <c r="L116" s="1097">
        <v>6</v>
      </c>
      <c r="M116" s="1114">
        <f t="shared" si="22"/>
        <v>400</v>
      </c>
      <c r="N116" s="1117">
        <v>45786</v>
      </c>
      <c r="O116" s="1117">
        <v>45782</v>
      </c>
      <c r="P116" s="1272"/>
      <c r="Q116" s="1119" t="s">
        <v>1480</v>
      </c>
      <c r="R116" s="1280" t="s">
        <v>2404</v>
      </c>
      <c r="S116" s="1147">
        <v>45727</v>
      </c>
      <c r="T116" s="1281" t="s">
        <v>58</v>
      </c>
      <c r="U116" s="1281" t="s">
        <v>58</v>
      </c>
      <c r="V116" s="1283" t="s">
        <v>2405</v>
      </c>
      <c r="W116" s="1148" t="s">
        <v>2406</v>
      </c>
      <c r="X116" s="1150" t="s">
        <v>517</v>
      </c>
      <c r="Y116" s="1292">
        <v>2.9291</v>
      </c>
      <c r="Z116" s="1166">
        <f t="shared" si="25"/>
        <v>7029.84</v>
      </c>
      <c r="AA116" s="1289"/>
      <c r="AB116" s="1137" t="s">
        <v>63</v>
      </c>
      <c r="AC116" s="1137" t="s">
        <v>2040</v>
      </c>
      <c r="AD116" s="1290">
        <f>750+1650</f>
        <v>2400</v>
      </c>
      <c r="AE116" s="1289">
        <f t="shared" si="26"/>
        <v>0</v>
      </c>
      <c r="AF116" s="1294" t="s">
        <v>58</v>
      </c>
      <c r="AG116" s="1291"/>
      <c r="AH116" s="1188">
        <f t="shared" si="31"/>
        <v>800</v>
      </c>
      <c r="AI116" s="1188">
        <f t="shared" si="32"/>
        <v>800</v>
      </c>
      <c r="AJ116" s="1188">
        <f t="shared" si="33"/>
        <v>800</v>
      </c>
      <c r="AK116" s="1304"/>
      <c r="AL116" s="1308"/>
      <c r="AM116" s="1308"/>
      <c r="AN116" s="1309"/>
      <c r="AO116" s="1309"/>
      <c r="AP116" s="1309"/>
      <c r="AQ116" s="1309"/>
      <c r="AR116" s="1319">
        <f t="shared" si="30"/>
        <v>2400</v>
      </c>
      <c r="AS116" s="1330"/>
      <c r="AT116" s="1331"/>
      <c r="AU116" s="1225"/>
      <c r="AV116" s="1225"/>
      <c r="AW116" s="1214"/>
      <c r="AX116" s="1225"/>
      <c r="AY116" s="1309"/>
      <c r="AZ116" s="1309"/>
      <c r="BA116" s="1319">
        <f>J116</f>
        <v>2400</v>
      </c>
      <c r="BB116" s="1319"/>
      <c r="BC116" s="1338"/>
      <c r="BD116" s="1214"/>
      <c r="BE116" s="1346"/>
      <c r="BF116" s="1346"/>
      <c r="BG116" s="1344"/>
      <c r="BH116" s="1347"/>
      <c r="BI116" s="1355"/>
      <c r="BJ116" s="1054"/>
      <c r="BK116" s="1054"/>
    </row>
    <row r="117" s="1053" customFormat="1" ht="31" customHeight="1" spans="1:63">
      <c r="A117" s="1265">
        <v>45747</v>
      </c>
      <c r="B117" s="1266" t="s">
        <v>2297</v>
      </c>
      <c r="C117" s="1267" t="s">
        <v>876</v>
      </c>
      <c r="D117" s="1266">
        <v>4500161960</v>
      </c>
      <c r="E117" s="1269">
        <v>20739446</v>
      </c>
      <c r="F117" s="1266" t="s">
        <v>2407</v>
      </c>
      <c r="G117" s="1101" t="s">
        <v>2118</v>
      </c>
      <c r="H117" s="1101" t="s">
        <v>2118</v>
      </c>
      <c r="I117" s="1098" t="s">
        <v>2119</v>
      </c>
      <c r="J117" s="1120">
        <v>1188</v>
      </c>
      <c r="K117" s="1097">
        <v>0</v>
      </c>
      <c r="L117" s="1097">
        <v>12</v>
      </c>
      <c r="M117" s="1114">
        <f t="shared" si="22"/>
        <v>99</v>
      </c>
      <c r="N117" s="1117">
        <v>45789</v>
      </c>
      <c r="O117" s="1117">
        <v>45785</v>
      </c>
      <c r="P117" s="1272"/>
      <c r="Q117" s="1119" t="s">
        <v>1480</v>
      </c>
      <c r="R117" s="1284" t="s">
        <v>2408</v>
      </c>
      <c r="S117" s="1277">
        <v>45757</v>
      </c>
      <c r="T117" s="1119" t="s">
        <v>2112</v>
      </c>
      <c r="U117" s="1279">
        <v>45768</v>
      </c>
      <c r="V117" s="1282" t="s">
        <v>2341</v>
      </c>
      <c r="W117" s="1148" t="s">
        <v>2409</v>
      </c>
      <c r="X117" s="1150" t="s">
        <v>2302</v>
      </c>
      <c r="Y117" s="1292">
        <v>2.9547</v>
      </c>
      <c r="Z117" s="1166">
        <f t="shared" si="25"/>
        <v>3510.1836</v>
      </c>
      <c r="AA117" s="1289"/>
      <c r="AB117" s="1137" t="s">
        <v>63</v>
      </c>
      <c r="AC117" s="1137" t="s">
        <v>2040</v>
      </c>
      <c r="AD117" s="1290">
        <f>1188</f>
        <v>1188</v>
      </c>
      <c r="AE117" s="1289">
        <f t="shared" si="26"/>
        <v>0</v>
      </c>
      <c r="AF117" s="1294" t="s">
        <v>327</v>
      </c>
      <c r="AG117" s="1291"/>
      <c r="AH117" s="1188">
        <f t="shared" si="31"/>
        <v>396</v>
      </c>
      <c r="AI117" s="1188">
        <f t="shared" si="32"/>
        <v>396</v>
      </c>
      <c r="AJ117" s="1188">
        <f t="shared" si="33"/>
        <v>396</v>
      </c>
      <c r="AK117" s="1298"/>
      <c r="AL117" s="1299"/>
      <c r="AM117" s="1299"/>
      <c r="AN117" s="1300"/>
      <c r="AO117" s="1300"/>
      <c r="AP117" s="1300"/>
      <c r="AQ117" s="1300"/>
      <c r="AR117" s="1319">
        <f t="shared" si="30"/>
        <v>1188</v>
      </c>
      <c r="AS117" s="1320"/>
      <c r="AT117" s="1321"/>
      <c r="AU117" s="1322"/>
      <c r="AV117" s="1322"/>
      <c r="AW117" s="1214">
        <f t="shared" ref="AW117:AW126" si="34">J117</f>
        <v>1188</v>
      </c>
      <c r="AX117" s="1322"/>
      <c r="AY117" s="1300"/>
      <c r="AZ117" s="1300"/>
      <c r="BA117" s="1319"/>
      <c r="BB117" s="1319"/>
      <c r="BC117" s="1338"/>
      <c r="BD117" s="1214"/>
      <c r="BE117" s="1346"/>
      <c r="BF117" s="1346"/>
      <c r="BG117" s="1344"/>
      <c r="BH117" s="1347"/>
      <c r="BI117" s="1348"/>
      <c r="BJ117" s="1262"/>
      <c r="BK117" s="1262"/>
    </row>
    <row r="118" s="1053" customFormat="1" ht="31" customHeight="1" spans="1:63">
      <c r="A118" s="1265">
        <v>45747</v>
      </c>
      <c r="B118" s="1266" t="s">
        <v>2304</v>
      </c>
      <c r="C118" s="1267" t="s">
        <v>258</v>
      </c>
      <c r="D118" s="1266">
        <v>4500161963</v>
      </c>
      <c r="E118" s="1269">
        <v>20739447</v>
      </c>
      <c r="F118" s="1266" t="s">
        <v>2410</v>
      </c>
      <c r="G118" s="1101" t="s">
        <v>2118</v>
      </c>
      <c r="H118" s="1101" t="s">
        <v>2118</v>
      </c>
      <c r="I118" s="1098" t="s">
        <v>2119</v>
      </c>
      <c r="J118" s="1120">
        <v>312</v>
      </c>
      <c r="K118" s="1097">
        <v>0</v>
      </c>
      <c r="L118" s="1097">
        <v>12</v>
      </c>
      <c r="M118" s="1114">
        <f t="shared" si="22"/>
        <v>26</v>
      </c>
      <c r="N118" s="1117">
        <v>45789</v>
      </c>
      <c r="O118" s="1117">
        <v>45785</v>
      </c>
      <c r="P118" s="1272"/>
      <c r="Q118" s="1119" t="s">
        <v>1480</v>
      </c>
      <c r="R118" s="1284" t="s">
        <v>2408</v>
      </c>
      <c r="S118" s="1277">
        <v>45757</v>
      </c>
      <c r="T118" s="1119" t="s">
        <v>2112</v>
      </c>
      <c r="U118" s="1279">
        <v>45768</v>
      </c>
      <c r="V118" s="1282" t="s">
        <v>2341</v>
      </c>
      <c r="W118" s="1148" t="s">
        <v>2411</v>
      </c>
      <c r="X118" s="1150" t="s">
        <v>2302</v>
      </c>
      <c r="Y118" s="1292">
        <v>3.0761</v>
      </c>
      <c r="Z118" s="1166">
        <f t="shared" si="25"/>
        <v>959.7432</v>
      </c>
      <c r="AA118" s="1289"/>
      <c r="AB118" s="1137" t="s">
        <v>63</v>
      </c>
      <c r="AC118" s="1137" t="s">
        <v>2040</v>
      </c>
      <c r="AD118" s="1290">
        <v>312</v>
      </c>
      <c r="AE118" s="1289">
        <f t="shared" si="26"/>
        <v>0</v>
      </c>
      <c r="AF118" s="1294" t="s">
        <v>327</v>
      </c>
      <c r="AG118" s="1291"/>
      <c r="AH118" s="1188">
        <f t="shared" si="31"/>
        <v>104</v>
      </c>
      <c r="AI118" s="1188">
        <f t="shared" si="32"/>
        <v>104</v>
      </c>
      <c r="AJ118" s="1188">
        <f t="shared" si="33"/>
        <v>104</v>
      </c>
      <c r="AK118" s="1298"/>
      <c r="AL118" s="1299"/>
      <c r="AM118" s="1299"/>
      <c r="AN118" s="1300"/>
      <c r="AO118" s="1300"/>
      <c r="AP118" s="1300"/>
      <c r="AQ118" s="1300"/>
      <c r="AR118" s="1319">
        <f t="shared" si="30"/>
        <v>312</v>
      </c>
      <c r="AS118" s="1320"/>
      <c r="AT118" s="1321"/>
      <c r="AU118" s="1322"/>
      <c r="AV118" s="1322"/>
      <c r="AW118" s="1214">
        <f t="shared" si="34"/>
        <v>312</v>
      </c>
      <c r="AX118" s="1322"/>
      <c r="AY118" s="1300"/>
      <c r="AZ118" s="1300"/>
      <c r="BA118" s="1319"/>
      <c r="BB118" s="1319"/>
      <c r="BC118" s="1338"/>
      <c r="BD118" s="1214"/>
      <c r="BE118" s="1346"/>
      <c r="BF118" s="1346"/>
      <c r="BG118" s="1344"/>
      <c r="BH118" s="1347"/>
      <c r="BI118" s="1348"/>
      <c r="BJ118" s="1262"/>
      <c r="BK118" s="1262"/>
    </row>
    <row r="119" s="1053" customFormat="1" ht="31" customHeight="1" spans="1:63">
      <c r="A119" s="1265">
        <v>45757</v>
      </c>
      <c r="B119" s="1266" t="s">
        <v>589</v>
      </c>
      <c r="C119" s="1267" t="s">
        <v>91</v>
      </c>
      <c r="D119" s="1266">
        <v>4500163159</v>
      </c>
      <c r="E119" s="1269">
        <v>216811279</v>
      </c>
      <c r="F119" s="1266" t="s">
        <v>2412</v>
      </c>
      <c r="G119" s="1101" t="s">
        <v>2321</v>
      </c>
      <c r="H119" s="1101" t="s">
        <v>2321</v>
      </c>
      <c r="I119" s="1098" t="s">
        <v>2322</v>
      </c>
      <c r="J119" s="1120">
        <v>2100</v>
      </c>
      <c r="K119" s="1097">
        <v>0</v>
      </c>
      <c r="L119" s="1097">
        <v>3</v>
      </c>
      <c r="M119" s="1114">
        <f t="shared" si="22"/>
        <v>700</v>
      </c>
      <c r="N119" s="1117">
        <v>45800</v>
      </c>
      <c r="O119" s="1117">
        <v>45796</v>
      </c>
      <c r="P119" s="1272"/>
      <c r="Q119" s="1119" t="s">
        <v>1480</v>
      </c>
      <c r="R119" s="1285" t="s">
        <v>2413</v>
      </c>
      <c r="S119" s="1147">
        <v>45772</v>
      </c>
      <c r="T119" s="1281" t="s">
        <v>58</v>
      </c>
      <c r="U119" s="1281" t="s">
        <v>58</v>
      </c>
      <c r="V119" s="1143" t="s">
        <v>594</v>
      </c>
      <c r="W119" s="1148" t="s">
        <v>595</v>
      </c>
      <c r="X119" s="1150" t="s">
        <v>596</v>
      </c>
      <c r="Y119" s="1165">
        <v>2.8644</v>
      </c>
      <c r="Z119" s="1166">
        <f>J119*Y119</f>
        <v>6015.24</v>
      </c>
      <c r="AA119" s="1289"/>
      <c r="AB119" s="1137" t="s">
        <v>63</v>
      </c>
      <c r="AC119" s="1137" t="s">
        <v>2040</v>
      </c>
      <c r="AD119" s="1290">
        <v>2100</v>
      </c>
      <c r="AE119" s="1289">
        <f t="shared" si="26"/>
        <v>0</v>
      </c>
      <c r="AF119" s="1173" t="s">
        <v>58</v>
      </c>
      <c r="AG119" s="1291"/>
      <c r="AH119" s="1188">
        <f t="shared" si="31"/>
        <v>700</v>
      </c>
      <c r="AI119" s="1188">
        <f t="shared" si="32"/>
        <v>700</v>
      </c>
      <c r="AJ119" s="1188">
        <f t="shared" si="33"/>
        <v>700</v>
      </c>
      <c r="AK119" s="1310"/>
      <c r="AL119" s="1311"/>
      <c r="AM119" s="1311"/>
      <c r="AN119" s="1312"/>
      <c r="AO119" s="1312"/>
      <c r="AP119" s="1312"/>
      <c r="AQ119" s="1312"/>
      <c r="AR119" s="1214">
        <f t="shared" si="30"/>
        <v>2100</v>
      </c>
      <c r="AS119" s="1221"/>
      <c r="AT119" s="1222"/>
      <c r="AU119" s="1199"/>
      <c r="AV119" s="1199"/>
      <c r="AW119" s="1214">
        <f t="shared" si="34"/>
        <v>2100</v>
      </c>
      <c r="AX119" s="1228"/>
      <c r="AY119" s="1312"/>
      <c r="AZ119" s="1312"/>
      <c r="BA119" s="1319"/>
      <c r="BB119" s="1319"/>
      <c r="BC119" s="1338"/>
      <c r="BD119" s="1214"/>
      <c r="BE119" s="1346"/>
      <c r="BF119" s="1346"/>
      <c r="BG119" s="1344"/>
      <c r="BH119" s="1347"/>
      <c r="BI119" s="1356"/>
      <c r="BJ119" s="1263"/>
      <c r="BK119" s="1263"/>
    </row>
    <row r="120" s="1053" customFormat="1" ht="31" customHeight="1" spans="1:63">
      <c r="A120" s="1265">
        <v>45757</v>
      </c>
      <c r="B120" s="1266" t="s">
        <v>589</v>
      </c>
      <c r="C120" s="1267" t="s">
        <v>91</v>
      </c>
      <c r="D120" s="1266">
        <v>4500163162</v>
      </c>
      <c r="E120" s="1269">
        <v>216811287</v>
      </c>
      <c r="F120" s="1266" t="s">
        <v>2414</v>
      </c>
      <c r="G120" s="1101" t="s">
        <v>2321</v>
      </c>
      <c r="H120" s="1101" t="s">
        <v>2321</v>
      </c>
      <c r="I120" s="1098" t="s">
        <v>2322</v>
      </c>
      <c r="J120" s="1120">
        <v>900</v>
      </c>
      <c r="K120" s="1097">
        <v>0</v>
      </c>
      <c r="L120" s="1097">
        <v>3</v>
      </c>
      <c r="M120" s="1114">
        <f t="shared" si="22"/>
        <v>300</v>
      </c>
      <c r="N120" s="1117">
        <v>45800</v>
      </c>
      <c r="O120" s="1117">
        <v>45796</v>
      </c>
      <c r="P120" s="1272"/>
      <c r="Q120" s="1119" t="s">
        <v>1480</v>
      </c>
      <c r="R120" s="1285" t="s">
        <v>2413</v>
      </c>
      <c r="S120" s="1147">
        <v>45772</v>
      </c>
      <c r="T120" s="1281" t="s">
        <v>58</v>
      </c>
      <c r="U120" s="1281" t="s">
        <v>58</v>
      </c>
      <c r="V120" s="1143" t="s">
        <v>594</v>
      </c>
      <c r="W120" s="1148" t="s">
        <v>595</v>
      </c>
      <c r="X120" s="1150" t="s">
        <v>596</v>
      </c>
      <c r="Y120" s="1165">
        <v>3.0581</v>
      </c>
      <c r="Z120" s="1166">
        <f>J120*Y120</f>
        <v>2752.29</v>
      </c>
      <c r="AA120" s="1289"/>
      <c r="AB120" s="1137" t="s">
        <v>63</v>
      </c>
      <c r="AC120" s="1137" t="s">
        <v>2040</v>
      </c>
      <c r="AD120" s="1290">
        <v>900</v>
      </c>
      <c r="AE120" s="1289">
        <f t="shared" si="26"/>
        <v>0</v>
      </c>
      <c r="AF120" s="1173" t="s">
        <v>58</v>
      </c>
      <c r="AG120" s="1291"/>
      <c r="AH120" s="1188">
        <f t="shared" si="31"/>
        <v>300</v>
      </c>
      <c r="AI120" s="1188">
        <f t="shared" si="32"/>
        <v>300</v>
      </c>
      <c r="AJ120" s="1188">
        <f t="shared" si="33"/>
        <v>300</v>
      </c>
      <c r="AK120" s="1310"/>
      <c r="AL120" s="1311"/>
      <c r="AM120" s="1311"/>
      <c r="AN120" s="1312"/>
      <c r="AO120" s="1312"/>
      <c r="AP120" s="1312"/>
      <c r="AQ120" s="1312"/>
      <c r="AR120" s="1214">
        <f t="shared" si="30"/>
        <v>900</v>
      </c>
      <c r="AS120" s="1221"/>
      <c r="AT120" s="1222"/>
      <c r="AU120" s="1199"/>
      <c r="AV120" s="1199"/>
      <c r="AW120" s="1214">
        <f t="shared" si="34"/>
        <v>900</v>
      </c>
      <c r="AX120" s="1228"/>
      <c r="AY120" s="1312"/>
      <c r="AZ120" s="1312"/>
      <c r="BA120" s="1319"/>
      <c r="BB120" s="1319"/>
      <c r="BC120" s="1338"/>
      <c r="BD120" s="1214"/>
      <c r="BE120" s="1346"/>
      <c r="BF120" s="1346"/>
      <c r="BG120" s="1344"/>
      <c r="BH120" s="1347"/>
      <c r="BI120" s="1356"/>
      <c r="BJ120" s="1263"/>
      <c r="BK120" s="1263"/>
    </row>
    <row r="121" s="1053" customFormat="1" ht="31" customHeight="1" spans="1:63">
      <c r="A121" s="1265">
        <v>45756</v>
      </c>
      <c r="B121" s="1266" t="s">
        <v>2297</v>
      </c>
      <c r="C121" s="1267" t="s">
        <v>876</v>
      </c>
      <c r="D121" s="1266">
        <v>4500162968</v>
      </c>
      <c r="E121" s="1269">
        <v>20768284</v>
      </c>
      <c r="F121" s="1266" t="s">
        <v>2415</v>
      </c>
      <c r="G121" s="1101" t="s">
        <v>2118</v>
      </c>
      <c r="H121" s="1101" t="s">
        <v>2118</v>
      </c>
      <c r="I121" s="1098" t="s">
        <v>2119</v>
      </c>
      <c r="J121" s="1120">
        <v>1260</v>
      </c>
      <c r="K121" s="1097">
        <v>0</v>
      </c>
      <c r="L121" s="1097">
        <v>12</v>
      </c>
      <c r="M121" s="1114">
        <f t="shared" si="22"/>
        <v>105</v>
      </c>
      <c r="N121" s="1117">
        <v>45803</v>
      </c>
      <c r="O121" s="1117">
        <v>45799</v>
      </c>
      <c r="P121" s="1272" t="s">
        <v>2416</v>
      </c>
      <c r="Q121" s="1119" t="s">
        <v>1480</v>
      </c>
      <c r="R121" s="1280" t="s">
        <v>2417</v>
      </c>
      <c r="S121" s="1147">
        <v>45769</v>
      </c>
      <c r="T121" s="1281" t="s">
        <v>2112</v>
      </c>
      <c r="U121" s="1286" t="s">
        <v>2418</v>
      </c>
      <c r="V121" s="1143" t="s">
        <v>594</v>
      </c>
      <c r="W121" s="1148" t="s">
        <v>2409</v>
      </c>
      <c r="X121" s="1150" t="s">
        <v>2302</v>
      </c>
      <c r="Y121" s="1292">
        <v>2.9547</v>
      </c>
      <c r="Z121" s="1166">
        <f t="shared" ref="Z121:Z126" si="35">Y121*J121</f>
        <v>3722.922</v>
      </c>
      <c r="AA121" s="1289"/>
      <c r="AB121" s="1137" t="s">
        <v>63</v>
      </c>
      <c r="AC121" s="1137" t="s">
        <v>2040</v>
      </c>
      <c r="AD121" s="1290">
        <v>1260</v>
      </c>
      <c r="AE121" s="1289">
        <f t="shared" si="26"/>
        <v>0</v>
      </c>
      <c r="AF121" s="1294" t="s">
        <v>327</v>
      </c>
      <c r="AG121" s="1291"/>
      <c r="AH121" s="1188">
        <f t="shared" si="31"/>
        <v>420</v>
      </c>
      <c r="AI121" s="1188">
        <f t="shared" si="32"/>
        <v>420</v>
      </c>
      <c r="AJ121" s="1188">
        <f t="shared" si="33"/>
        <v>420</v>
      </c>
      <c r="AK121" s="1298"/>
      <c r="AL121" s="1299"/>
      <c r="AM121" s="1299"/>
      <c r="AN121" s="1300"/>
      <c r="AO121" s="1300"/>
      <c r="AP121" s="1300"/>
      <c r="AQ121" s="1300"/>
      <c r="AR121" s="1319">
        <f t="shared" si="30"/>
        <v>1260</v>
      </c>
      <c r="AS121" s="1320"/>
      <c r="AT121" s="1321"/>
      <c r="AU121" s="1322"/>
      <c r="AV121" s="1322"/>
      <c r="AW121" s="1214">
        <f t="shared" si="34"/>
        <v>1260</v>
      </c>
      <c r="AX121" s="1322"/>
      <c r="AY121" s="1300"/>
      <c r="AZ121" s="1300"/>
      <c r="BA121" s="1319"/>
      <c r="BB121" s="1319"/>
      <c r="BC121" s="1338"/>
      <c r="BD121" s="1214"/>
      <c r="BE121" s="1346"/>
      <c r="BF121" s="1346"/>
      <c r="BG121" s="1344"/>
      <c r="BH121" s="1347"/>
      <c r="BI121" s="1348"/>
      <c r="BJ121" s="1262"/>
      <c r="BK121" s="1262"/>
    </row>
    <row r="122" s="1053" customFormat="1" ht="31" customHeight="1" spans="1:63">
      <c r="A122" s="1265">
        <v>45756</v>
      </c>
      <c r="B122" s="1266" t="s">
        <v>2304</v>
      </c>
      <c r="C122" s="1267" t="s">
        <v>258</v>
      </c>
      <c r="D122" s="1266">
        <v>4500162969</v>
      </c>
      <c r="E122" s="1269">
        <v>20768285</v>
      </c>
      <c r="F122" s="1266" t="s">
        <v>2419</v>
      </c>
      <c r="G122" s="1101" t="s">
        <v>2118</v>
      </c>
      <c r="H122" s="1101" t="s">
        <v>2118</v>
      </c>
      <c r="I122" s="1098" t="s">
        <v>2119</v>
      </c>
      <c r="J122" s="1120">
        <v>240</v>
      </c>
      <c r="K122" s="1097">
        <v>0</v>
      </c>
      <c r="L122" s="1097">
        <v>12</v>
      </c>
      <c r="M122" s="1114">
        <f t="shared" si="22"/>
        <v>20</v>
      </c>
      <c r="N122" s="1117">
        <v>45803</v>
      </c>
      <c r="O122" s="1117">
        <v>45799</v>
      </c>
      <c r="P122" s="1272" t="s">
        <v>2416</v>
      </c>
      <c r="Q122" s="1119" t="s">
        <v>1480</v>
      </c>
      <c r="R122" s="1280" t="s">
        <v>2417</v>
      </c>
      <c r="S122" s="1147">
        <v>45769</v>
      </c>
      <c r="T122" s="1281" t="s">
        <v>2112</v>
      </c>
      <c r="U122" s="1286" t="s">
        <v>2418</v>
      </c>
      <c r="V122" s="1143" t="s">
        <v>594</v>
      </c>
      <c r="W122" s="1148" t="s">
        <v>2411</v>
      </c>
      <c r="X122" s="1150" t="s">
        <v>2302</v>
      </c>
      <c r="Y122" s="1292">
        <v>3.0761</v>
      </c>
      <c r="Z122" s="1166">
        <f t="shared" si="35"/>
        <v>738.264</v>
      </c>
      <c r="AA122" s="1289"/>
      <c r="AB122" s="1137" t="s">
        <v>63</v>
      </c>
      <c r="AC122" s="1137" t="s">
        <v>2040</v>
      </c>
      <c r="AD122" s="1290">
        <v>240</v>
      </c>
      <c r="AE122" s="1289">
        <f t="shared" si="26"/>
        <v>0</v>
      </c>
      <c r="AF122" s="1294" t="s">
        <v>327</v>
      </c>
      <c r="AG122" s="1291"/>
      <c r="AH122" s="1188">
        <f t="shared" si="31"/>
        <v>80</v>
      </c>
      <c r="AI122" s="1188">
        <f t="shared" si="32"/>
        <v>80</v>
      </c>
      <c r="AJ122" s="1188">
        <f t="shared" si="33"/>
        <v>80</v>
      </c>
      <c r="AK122" s="1298"/>
      <c r="AL122" s="1299"/>
      <c r="AM122" s="1299"/>
      <c r="AN122" s="1300"/>
      <c r="AO122" s="1300"/>
      <c r="AP122" s="1300"/>
      <c r="AQ122" s="1300"/>
      <c r="AR122" s="1319">
        <f t="shared" si="30"/>
        <v>240</v>
      </c>
      <c r="AS122" s="1320"/>
      <c r="AT122" s="1321"/>
      <c r="AU122" s="1322"/>
      <c r="AV122" s="1322"/>
      <c r="AW122" s="1214">
        <f t="shared" si="34"/>
        <v>240</v>
      </c>
      <c r="AX122" s="1322"/>
      <c r="AY122" s="1300"/>
      <c r="AZ122" s="1300"/>
      <c r="BA122" s="1319"/>
      <c r="BB122" s="1319"/>
      <c r="BC122" s="1338"/>
      <c r="BD122" s="1214"/>
      <c r="BE122" s="1346"/>
      <c r="BF122" s="1346"/>
      <c r="BG122" s="1344"/>
      <c r="BH122" s="1347"/>
      <c r="BI122" s="1348"/>
      <c r="BJ122" s="1262"/>
      <c r="BK122" s="1262"/>
    </row>
    <row r="123" s="1053" customFormat="1" ht="31" customHeight="1" spans="1:63">
      <c r="A123" s="1265">
        <v>45727</v>
      </c>
      <c r="B123" s="1266" t="s">
        <v>230</v>
      </c>
      <c r="C123" s="1267" t="s">
        <v>91</v>
      </c>
      <c r="D123" s="1266">
        <v>4500159720</v>
      </c>
      <c r="E123" s="1268">
        <v>60188346</v>
      </c>
      <c r="F123" s="1266" t="s">
        <v>2420</v>
      </c>
      <c r="G123" s="1101" t="s">
        <v>2118</v>
      </c>
      <c r="H123" s="1101" t="s">
        <v>2118</v>
      </c>
      <c r="I123" s="1098" t="s">
        <v>2119</v>
      </c>
      <c r="J123" s="1120">
        <v>2256</v>
      </c>
      <c r="K123" s="1097">
        <v>0</v>
      </c>
      <c r="L123" s="1097">
        <v>12</v>
      </c>
      <c r="M123" s="1114">
        <f t="shared" si="22"/>
        <v>188</v>
      </c>
      <c r="N123" s="1117">
        <v>45807</v>
      </c>
      <c r="O123" s="1117">
        <v>45803</v>
      </c>
      <c r="P123" s="1272" t="s">
        <v>2336</v>
      </c>
      <c r="Q123" s="1119" t="s">
        <v>1480</v>
      </c>
      <c r="R123" s="1280" t="s">
        <v>2421</v>
      </c>
      <c r="S123" s="1147" t="s">
        <v>2120</v>
      </c>
      <c r="T123" s="1281" t="s">
        <v>58</v>
      </c>
      <c r="U123" s="1281">
        <v>45740</v>
      </c>
      <c r="V123" s="1283" t="s">
        <v>2338</v>
      </c>
      <c r="W123" s="1148" t="s">
        <v>2422</v>
      </c>
      <c r="X123" s="1150" t="s">
        <v>681</v>
      </c>
      <c r="Y123" s="1292">
        <v>2.7167</v>
      </c>
      <c r="Z123" s="1166">
        <f t="shared" si="35"/>
        <v>6128.8752</v>
      </c>
      <c r="AA123" s="1289"/>
      <c r="AB123" s="1137" t="s">
        <v>63</v>
      </c>
      <c r="AC123" s="1137" t="s">
        <v>2040</v>
      </c>
      <c r="AD123" s="1290">
        <v>2256</v>
      </c>
      <c r="AE123" s="1167">
        <f t="shared" si="26"/>
        <v>0</v>
      </c>
      <c r="AF123" s="1291" t="s">
        <v>327</v>
      </c>
      <c r="AG123" s="1291"/>
      <c r="AH123" s="1188">
        <f t="shared" si="31"/>
        <v>752</v>
      </c>
      <c r="AI123" s="1188">
        <f t="shared" si="32"/>
        <v>752</v>
      </c>
      <c r="AJ123" s="1188">
        <f t="shared" si="33"/>
        <v>752</v>
      </c>
      <c r="AK123" s="1298"/>
      <c r="AL123" s="1299"/>
      <c r="AM123" s="1299"/>
      <c r="AN123" s="1300"/>
      <c r="AO123" s="1300"/>
      <c r="AP123" s="1300"/>
      <c r="AQ123" s="1300"/>
      <c r="AR123" s="1319">
        <f t="shared" si="30"/>
        <v>2256</v>
      </c>
      <c r="AS123" s="1320"/>
      <c r="AT123" s="1321"/>
      <c r="AU123" s="1322"/>
      <c r="AV123" s="1322"/>
      <c r="AW123" s="1214">
        <f t="shared" si="34"/>
        <v>2256</v>
      </c>
      <c r="AX123" s="1322"/>
      <c r="AY123" s="1300"/>
      <c r="AZ123" s="1300"/>
      <c r="BA123" s="1319"/>
      <c r="BB123" s="1319"/>
      <c r="BC123" s="1338"/>
      <c r="BD123" s="1214"/>
      <c r="BE123" s="1346"/>
      <c r="BF123" s="1346"/>
      <c r="BG123" s="1344"/>
      <c r="BH123" s="1347"/>
      <c r="BI123" s="1348"/>
      <c r="BJ123" s="1262"/>
      <c r="BK123" s="1262"/>
    </row>
    <row r="124" s="1053" customFormat="1" ht="31" customHeight="1" spans="1:63">
      <c r="A124" s="1265">
        <v>45771</v>
      </c>
      <c r="B124" s="1266" t="s">
        <v>2423</v>
      </c>
      <c r="C124" s="1267" t="s">
        <v>123</v>
      </c>
      <c r="D124" s="1266">
        <v>4500164759</v>
      </c>
      <c r="E124" s="1269" t="s">
        <v>2424</v>
      </c>
      <c r="F124" s="1266" t="s">
        <v>2425</v>
      </c>
      <c r="G124" s="1101" t="s">
        <v>2118</v>
      </c>
      <c r="H124" s="1101" t="s">
        <v>2118</v>
      </c>
      <c r="I124" s="1098" t="s">
        <v>2119</v>
      </c>
      <c r="J124" s="1120">
        <v>504</v>
      </c>
      <c r="K124" s="1097">
        <v>0</v>
      </c>
      <c r="L124" s="1097">
        <v>12</v>
      </c>
      <c r="M124" s="1114">
        <f t="shared" si="22"/>
        <v>42</v>
      </c>
      <c r="N124" s="1117">
        <v>45812</v>
      </c>
      <c r="O124" s="1117">
        <f>N124-4</f>
        <v>45808</v>
      </c>
      <c r="P124" s="1272"/>
      <c r="Q124" s="1119" t="s">
        <v>1480</v>
      </c>
      <c r="R124" s="1280" t="s">
        <v>2426</v>
      </c>
      <c r="S124" s="1147">
        <v>45771</v>
      </c>
      <c r="T124" s="1281" t="s">
        <v>58</v>
      </c>
      <c r="U124" s="1281" t="s">
        <v>58</v>
      </c>
      <c r="V124" s="1282" t="s">
        <v>2427</v>
      </c>
      <c r="W124" s="1287" t="s">
        <v>2428</v>
      </c>
      <c r="X124" s="1150" t="s">
        <v>700</v>
      </c>
      <c r="Y124" s="1292">
        <v>2.9668</v>
      </c>
      <c r="Z124" s="1166">
        <f t="shared" si="35"/>
        <v>1495.2672</v>
      </c>
      <c r="AA124" s="1289"/>
      <c r="AB124" s="1137" t="s">
        <v>63</v>
      </c>
      <c r="AC124" s="1137" t="s">
        <v>2040</v>
      </c>
      <c r="AD124" s="1290">
        <v>504</v>
      </c>
      <c r="AE124" s="1289">
        <f t="shared" si="26"/>
        <v>0</v>
      </c>
      <c r="AF124" s="1294" t="s">
        <v>327</v>
      </c>
      <c r="AG124" s="1291"/>
      <c r="AH124" s="1188">
        <f t="shared" si="31"/>
        <v>168</v>
      </c>
      <c r="AI124" s="1188">
        <f t="shared" si="32"/>
        <v>168</v>
      </c>
      <c r="AJ124" s="1188">
        <f t="shared" si="33"/>
        <v>168</v>
      </c>
      <c r="AK124" s="1298"/>
      <c r="AL124" s="1299"/>
      <c r="AM124" s="1299"/>
      <c r="AN124" s="1300"/>
      <c r="AO124" s="1300"/>
      <c r="AP124" s="1300"/>
      <c r="AQ124" s="1300"/>
      <c r="AR124" s="1319">
        <f t="shared" ref="AR110:AR160" si="36">J124</f>
        <v>504</v>
      </c>
      <c r="AS124" s="1320"/>
      <c r="AT124" s="1321"/>
      <c r="AU124" s="1322"/>
      <c r="AV124" s="1322"/>
      <c r="AW124" s="1214">
        <f t="shared" si="34"/>
        <v>504</v>
      </c>
      <c r="AX124" s="1322"/>
      <c r="AY124" s="1300"/>
      <c r="AZ124" s="1300"/>
      <c r="BA124" s="1319"/>
      <c r="BB124" s="1319"/>
      <c r="BC124" s="1338"/>
      <c r="BD124" s="1214"/>
      <c r="BE124" s="1346"/>
      <c r="BF124" s="1346"/>
      <c r="BG124" s="1344"/>
      <c r="BH124" s="1347"/>
      <c r="BI124" s="1348"/>
      <c r="BJ124" s="1262"/>
      <c r="BK124" s="1262"/>
    </row>
    <row r="125" s="1053" customFormat="1" ht="31" customHeight="1" spans="1:63">
      <c r="A125" s="1265">
        <v>45775</v>
      </c>
      <c r="B125" s="1266" t="s">
        <v>2304</v>
      </c>
      <c r="C125" s="1267" t="s">
        <v>258</v>
      </c>
      <c r="D125" s="1266">
        <v>4500165216</v>
      </c>
      <c r="E125" s="1269">
        <v>20797146</v>
      </c>
      <c r="F125" s="1266" t="s">
        <v>2429</v>
      </c>
      <c r="G125" s="1101" t="s">
        <v>2118</v>
      </c>
      <c r="H125" s="1101" t="s">
        <v>2118</v>
      </c>
      <c r="I125" s="1098" t="s">
        <v>2119</v>
      </c>
      <c r="J125" s="1120">
        <v>132</v>
      </c>
      <c r="K125" s="1097">
        <v>0</v>
      </c>
      <c r="L125" s="1097">
        <v>12</v>
      </c>
      <c r="M125" s="1114">
        <f t="shared" si="22"/>
        <v>11</v>
      </c>
      <c r="N125" s="1117">
        <v>45817</v>
      </c>
      <c r="O125" s="1117">
        <v>45813</v>
      </c>
      <c r="P125" s="1272" t="s">
        <v>2416</v>
      </c>
      <c r="Q125" s="1119" t="s">
        <v>1480</v>
      </c>
      <c r="R125" s="1280" t="s">
        <v>2430</v>
      </c>
      <c r="S125" s="1147" t="s">
        <v>1595</v>
      </c>
      <c r="T125" s="1281" t="s">
        <v>2112</v>
      </c>
      <c r="U125" s="1286" t="s">
        <v>2431</v>
      </c>
      <c r="V125" s="1282" t="s">
        <v>2341</v>
      </c>
      <c r="W125" s="1287" t="s">
        <v>2432</v>
      </c>
      <c r="X125" s="1150" t="s">
        <v>2302</v>
      </c>
      <c r="Y125" s="1292">
        <v>3.0761</v>
      </c>
      <c r="Z125" s="1166">
        <f t="shared" si="35"/>
        <v>406.0452</v>
      </c>
      <c r="AA125" s="1289"/>
      <c r="AB125" s="1137" t="s">
        <v>63</v>
      </c>
      <c r="AC125" s="1137" t="s">
        <v>2040</v>
      </c>
      <c r="AD125" s="1290">
        <v>132</v>
      </c>
      <c r="AE125" s="1289">
        <f t="shared" si="26"/>
        <v>0</v>
      </c>
      <c r="AF125" s="1294" t="s">
        <v>327</v>
      </c>
      <c r="AG125" s="1291"/>
      <c r="AH125" s="1188">
        <f t="shared" si="31"/>
        <v>44</v>
      </c>
      <c r="AI125" s="1188">
        <f t="shared" si="32"/>
        <v>44</v>
      </c>
      <c r="AJ125" s="1188">
        <f t="shared" si="33"/>
        <v>44</v>
      </c>
      <c r="AK125" s="1310"/>
      <c r="AL125" s="1311"/>
      <c r="AM125" s="1311"/>
      <c r="AN125" s="1312"/>
      <c r="AO125" s="1312"/>
      <c r="AP125" s="1312"/>
      <c r="AQ125" s="1312"/>
      <c r="AR125" s="1319">
        <f t="shared" si="36"/>
        <v>132</v>
      </c>
      <c r="AS125" s="1332"/>
      <c r="AT125" s="1333"/>
      <c r="AU125" s="1228"/>
      <c r="AV125" s="1228"/>
      <c r="AW125" s="1214">
        <f t="shared" si="34"/>
        <v>132</v>
      </c>
      <c r="AX125" s="1228"/>
      <c r="AY125" s="1312"/>
      <c r="AZ125" s="1312"/>
      <c r="BA125" s="1319"/>
      <c r="BB125" s="1319"/>
      <c r="BC125" s="1338"/>
      <c r="BD125" s="1214"/>
      <c r="BE125" s="1346"/>
      <c r="BF125" s="1346"/>
      <c r="BG125" s="1344"/>
      <c r="BH125" s="1347"/>
      <c r="BI125" s="1356"/>
      <c r="BJ125" s="1263"/>
      <c r="BK125" s="1263"/>
    </row>
    <row r="126" s="1053" customFormat="1" ht="31" customHeight="1" spans="1:63">
      <c r="A126" s="1265">
        <v>45775</v>
      </c>
      <c r="B126" s="1266" t="s">
        <v>2297</v>
      </c>
      <c r="C126" s="1267" t="s">
        <v>876</v>
      </c>
      <c r="D126" s="1266">
        <v>4500165215</v>
      </c>
      <c r="E126" s="1269">
        <v>20797145</v>
      </c>
      <c r="F126" s="1266" t="s">
        <v>2433</v>
      </c>
      <c r="G126" s="1101" t="s">
        <v>2118</v>
      </c>
      <c r="H126" s="1101" t="s">
        <v>2118</v>
      </c>
      <c r="I126" s="1098" t="s">
        <v>2119</v>
      </c>
      <c r="J126" s="1120">
        <v>1368</v>
      </c>
      <c r="K126" s="1097">
        <v>0</v>
      </c>
      <c r="L126" s="1097">
        <v>12</v>
      </c>
      <c r="M126" s="1114">
        <f t="shared" si="22"/>
        <v>114</v>
      </c>
      <c r="N126" s="1117">
        <v>45817</v>
      </c>
      <c r="O126" s="1117">
        <v>45813</v>
      </c>
      <c r="P126" s="1272" t="s">
        <v>2416</v>
      </c>
      <c r="Q126" s="1119" t="s">
        <v>1480</v>
      </c>
      <c r="R126" s="1280" t="s">
        <v>2430</v>
      </c>
      <c r="S126" s="1147" t="s">
        <v>1595</v>
      </c>
      <c r="T126" s="1281" t="s">
        <v>2112</v>
      </c>
      <c r="U126" s="1286" t="s">
        <v>2431</v>
      </c>
      <c r="V126" s="1282" t="s">
        <v>2341</v>
      </c>
      <c r="W126" s="1287" t="s">
        <v>2434</v>
      </c>
      <c r="X126" s="1150" t="s">
        <v>2302</v>
      </c>
      <c r="Y126" s="1292">
        <v>2.9547</v>
      </c>
      <c r="Z126" s="1166">
        <f t="shared" si="35"/>
        <v>4042.0296</v>
      </c>
      <c r="AA126" s="1289"/>
      <c r="AB126" s="1137" t="s">
        <v>63</v>
      </c>
      <c r="AC126" s="1137" t="s">
        <v>2040</v>
      </c>
      <c r="AD126" s="1290">
        <v>1368</v>
      </c>
      <c r="AE126" s="1289">
        <f t="shared" si="26"/>
        <v>0</v>
      </c>
      <c r="AF126" s="1294" t="s">
        <v>327</v>
      </c>
      <c r="AG126" s="1291"/>
      <c r="AH126" s="1188">
        <f t="shared" si="31"/>
        <v>456</v>
      </c>
      <c r="AI126" s="1188">
        <f t="shared" si="32"/>
        <v>456</v>
      </c>
      <c r="AJ126" s="1188">
        <f t="shared" si="33"/>
        <v>456</v>
      </c>
      <c r="AK126" s="1310"/>
      <c r="AL126" s="1311"/>
      <c r="AM126" s="1311"/>
      <c r="AN126" s="1312"/>
      <c r="AO126" s="1312"/>
      <c r="AP126" s="1312"/>
      <c r="AQ126" s="1312"/>
      <c r="AR126" s="1319">
        <f t="shared" si="36"/>
        <v>1368</v>
      </c>
      <c r="AS126" s="1332"/>
      <c r="AT126" s="1333"/>
      <c r="AU126" s="1228"/>
      <c r="AV126" s="1228"/>
      <c r="AW126" s="1214">
        <f t="shared" si="34"/>
        <v>1368</v>
      </c>
      <c r="AX126" s="1228"/>
      <c r="AY126" s="1312"/>
      <c r="AZ126" s="1312"/>
      <c r="BA126" s="1319"/>
      <c r="BB126" s="1319"/>
      <c r="BC126" s="1338"/>
      <c r="BD126" s="1214"/>
      <c r="BE126" s="1346"/>
      <c r="BF126" s="1346"/>
      <c r="BG126" s="1344"/>
      <c r="BH126" s="1347"/>
      <c r="BI126" s="1356"/>
      <c r="BJ126" s="1263"/>
      <c r="BK126" s="1263"/>
    </row>
    <row r="127" s="1053" customFormat="1" ht="31" customHeight="1" spans="1:63">
      <c r="A127" s="1265">
        <v>45775</v>
      </c>
      <c r="B127" s="1266" t="s">
        <v>122</v>
      </c>
      <c r="C127" s="1267" t="s">
        <v>123</v>
      </c>
      <c r="D127" s="1266">
        <v>4500165069</v>
      </c>
      <c r="E127" s="1269">
        <v>4400480634</v>
      </c>
      <c r="F127" s="1266" t="s">
        <v>2435</v>
      </c>
      <c r="G127" s="1101" t="s">
        <v>2316</v>
      </c>
      <c r="H127" s="1101" t="s">
        <v>2317</v>
      </c>
      <c r="I127" s="1098" t="s">
        <v>2063</v>
      </c>
      <c r="J127" s="1120">
        <v>1800</v>
      </c>
      <c r="K127" s="1097">
        <v>0</v>
      </c>
      <c r="L127" s="1097">
        <v>12</v>
      </c>
      <c r="M127" s="1114">
        <f t="shared" si="22"/>
        <v>150</v>
      </c>
      <c r="N127" s="1117">
        <v>45821</v>
      </c>
      <c r="O127" s="1117">
        <v>45817</v>
      </c>
      <c r="P127" s="1137"/>
      <c r="Q127" s="1285" t="s">
        <v>1480</v>
      </c>
      <c r="R127" s="1280" t="s">
        <v>2436</v>
      </c>
      <c r="S127" s="1147">
        <v>45776</v>
      </c>
      <c r="T127" s="1281" t="s">
        <v>58</v>
      </c>
      <c r="U127" s="1281" t="s">
        <v>2437</v>
      </c>
      <c r="V127" s="1282" t="s">
        <v>2438</v>
      </c>
      <c r="W127" s="1287" t="s">
        <v>2439</v>
      </c>
      <c r="X127" s="1150" t="s">
        <v>700</v>
      </c>
      <c r="Y127" s="1292">
        <v>2.8454</v>
      </c>
      <c r="Z127" s="1166">
        <f t="shared" ref="Z127:Z161" si="37">Y127*J127</f>
        <v>5121.72</v>
      </c>
      <c r="AA127" s="1289"/>
      <c r="AB127" s="1137" t="s">
        <v>63</v>
      </c>
      <c r="AC127" s="1137" t="s">
        <v>2040</v>
      </c>
      <c r="AD127" s="1290">
        <v>1800</v>
      </c>
      <c r="AE127" s="1289">
        <f t="shared" ref="AE127:AE162" si="38">AD127-J127</f>
        <v>0</v>
      </c>
      <c r="AF127" s="1294" t="s">
        <v>327</v>
      </c>
      <c r="AG127" s="1291"/>
      <c r="AH127" s="1188"/>
      <c r="AI127" s="1188">
        <f>J127</f>
        <v>1800</v>
      </c>
      <c r="AJ127" s="1188"/>
      <c r="AK127" s="1313"/>
      <c r="AL127" s="1314"/>
      <c r="AM127" s="1314"/>
      <c r="AN127" s="1315"/>
      <c r="AO127" s="1315"/>
      <c r="AP127" s="1315"/>
      <c r="AQ127" s="1315"/>
      <c r="AR127" s="1319">
        <f t="shared" si="36"/>
        <v>1800</v>
      </c>
      <c r="AS127" s="1334"/>
      <c r="AT127" s="1335"/>
      <c r="AU127" s="1336"/>
      <c r="AV127" s="1336"/>
      <c r="AW127" s="1214"/>
      <c r="AX127" s="1336"/>
      <c r="AY127" s="1315"/>
      <c r="AZ127" s="1315"/>
      <c r="BA127" s="1319">
        <f>J127</f>
        <v>1800</v>
      </c>
      <c r="BB127" s="1319"/>
      <c r="BC127" s="1338"/>
      <c r="BD127" s="1214"/>
      <c r="BE127" s="1346"/>
      <c r="BF127" s="1346"/>
      <c r="BG127" s="1344"/>
      <c r="BH127" s="1347"/>
      <c r="BI127" s="1357"/>
      <c r="BJ127" s="1358"/>
      <c r="BK127" s="1358"/>
    </row>
    <row r="128" s="1053" customFormat="1" ht="31" customHeight="1" spans="1:63">
      <c r="A128" s="1265">
        <v>45775</v>
      </c>
      <c r="B128" s="1266" t="s">
        <v>122</v>
      </c>
      <c r="C128" s="1267" t="s">
        <v>123</v>
      </c>
      <c r="D128" s="1266">
        <v>4500165069</v>
      </c>
      <c r="E128" s="1269">
        <v>4400480634</v>
      </c>
      <c r="F128" s="1266" t="s">
        <v>2440</v>
      </c>
      <c r="G128" s="1101" t="s">
        <v>2309</v>
      </c>
      <c r="H128" s="1101" t="s">
        <v>2310</v>
      </c>
      <c r="I128" s="1270" t="s">
        <v>2042</v>
      </c>
      <c r="J128" s="1120">
        <v>1500</v>
      </c>
      <c r="K128" s="1097">
        <v>0</v>
      </c>
      <c r="L128" s="1097">
        <v>12</v>
      </c>
      <c r="M128" s="1114">
        <f t="shared" si="22"/>
        <v>125</v>
      </c>
      <c r="N128" s="1117">
        <v>45821</v>
      </c>
      <c r="O128" s="1117">
        <v>45817</v>
      </c>
      <c r="P128" s="1137"/>
      <c r="Q128" s="1285" t="s">
        <v>1480</v>
      </c>
      <c r="R128" s="1280" t="s">
        <v>2436</v>
      </c>
      <c r="S128" s="1147">
        <v>45776</v>
      </c>
      <c r="T128" s="1281" t="s">
        <v>58</v>
      </c>
      <c r="U128" s="1281" t="s">
        <v>2437</v>
      </c>
      <c r="V128" s="1282" t="s">
        <v>2441</v>
      </c>
      <c r="W128" s="1287" t="s">
        <v>2442</v>
      </c>
      <c r="X128" s="1150" t="s">
        <v>700</v>
      </c>
      <c r="Y128" s="1292">
        <v>2.8454</v>
      </c>
      <c r="Z128" s="1166">
        <f t="shared" si="37"/>
        <v>4268.1</v>
      </c>
      <c r="AA128" s="1289"/>
      <c r="AB128" s="1137" t="s">
        <v>63</v>
      </c>
      <c r="AC128" s="1137" t="s">
        <v>2040</v>
      </c>
      <c r="AD128" s="1290">
        <v>1500</v>
      </c>
      <c r="AE128" s="1289">
        <f t="shared" si="38"/>
        <v>0</v>
      </c>
      <c r="AF128" s="1294" t="s">
        <v>327</v>
      </c>
      <c r="AG128" s="1291"/>
      <c r="AH128" s="1188"/>
      <c r="AI128" s="1188"/>
      <c r="AJ128" s="1188">
        <f>J128</f>
        <v>1500</v>
      </c>
      <c r="AK128" s="1313"/>
      <c r="AL128" s="1314"/>
      <c r="AM128" s="1314"/>
      <c r="AN128" s="1315"/>
      <c r="AO128" s="1315"/>
      <c r="AP128" s="1315"/>
      <c r="AQ128" s="1315"/>
      <c r="AR128" s="1319">
        <f t="shared" si="36"/>
        <v>1500</v>
      </c>
      <c r="AS128" s="1334"/>
      <c r="AT128" s="1335"/>
      <c r="AU128" s="1336"/>
      <c r="AV128" s="1336"/>
      <c r="AW128" s="1214"/>
      <c r="AX128" s="1336"/>
      <c r="AY128" s="1315"/>
      <c r="AZ128" s="1315"/>
      <c r="BA128" s="1319">
        <f>J128</f>
        <v>1500</v>
      </c>
      <c r="BB128" s="1319"/>
      <c r="BC128" s="1338"/>
      <c r="BD128" s="1214"/>
      <c r="BE128" s="1346"/>
      <c r="BF128" s="1346"/>
      <c r="BG128" s="1344"/>
      <c r="BH128" s="1347"/>
      <c r="BI128" s="1357"/>
      <c r="BJ128" s="1358"/>
      <c r="BK128" s="1358"/>
    </row>
    <row r="129" s="1053" customFormat="1" ht="31" customHeight="1" spans="1:63">
      <c r="A129" s="1265">
        <v>45775</v>
      </c>
      <c r="B129" s="1266" t="s">
        <v>122</v>
      </c>
      <c r="C129" s="1267" t="s">
        <v>123</v>
      </c>
      <c r="D129" s="1266">
        <v>4500165069</v>
      </c>
      <c r="E129" s="1269">
        <v>4400480634</v>
      </c>
      <c r="F129" s="1266" t="s">
        <v>2443</v>
      </c>
      <c r="G129" s="1101" t="s">
        <v>2444</v>
      </c>
      <c r="H129" s="1101" t="s">
        <v>2445</v>
      </c>
      <c r="I129" s="1361" t="s">
        <v>2446</v>
      </c>
      <c r="J129" s="1120">
        <v>1500</v>
      </c>
      <c r="K129" s="1097">
        <v>0</v>
      </c>
      <c r="L129" s="1097">
        <v>12</v>
      </c>
      <c r="M129" s="1114">
        <f t="shared" si="22"/>
        <v>125</v>
      </c>
      <c r="N129" s="1117">
        <v>45821</v>
      </c>
      <c r="O129" s="1117">
        <v>45817</v>
      </c>
      <c r="P129" s="1137"/>
      <c r="Q129" s="1285" t="s">
        <v>1480</v>
      </c>
      <c r="R129" s="1280" t="s">
        <v>2436</v>
      </c>
      <c r="S129" s="1147">
        <v>45776</v>
      </c>
      <c r="T129" s="1281" t="s">
        <v>58</v>
      </c>
      <c r="U129" s="1281" t="s">
        <v>2437</v>
      </c>
      <c r="V129" s="1282" t="s">
        <v>2447</v>
      </c>
      <c r="W129" s="1287" t="s">
        <v>2448</v>
      </c>
      <c r="X129" s="1150" t="s">
        <v>700</v>
      </c>
      <c r="Y129" s="1292">
        <v>2.9011</v>
      </c>
      <c r="Z129" s="1166">
        <f t="shared" si="37"/>
        <v>4351.65</v>
      </c>
      <c r="AA129" s="1289"/>
      <c r="AB129" s="1137" t="s">
        <v>63</v>
      </c>
      <c r="AC129" s="1137" t="s">
        <v>2040</v>
      </c>
      <c r="AD129" s="1290">
        <v>1500</v>
      </c>
      <c r="AE129" s="1289">
        <f t="shared" si="38"/>
        <v>0</v>
      </c>
      <c r="AF129" s="1294" t="s">
        <v>327</v>
      </c>
      <c r="AG129" s="1291"/>
      <c r="AH129" s="1188">
        <f>J129</f>
        <v>1500</v>
      </c>
      <c r="AI129" s="1188"/>
      <c r="AJ129" s="1188"/>
      <c r="AK129" s="1313"/>
      <c r="AL129" s="1314"/>
      <c r="AM129" s="1314"/>
      <c r="AN129" s="1315"/>
      <c r="AO129" s="1315"/>
      <c r="AP129" s="1315"/>
      <c r="AQ129" s="1315"/>
      <c r="AR129" s="1319">
        <f t="shared" si="36"/>
        <v>1500</v>
      </c>
      <c r="AS129" s="1334"/>
      <c r="AT129" s="1335"/>
      <c r="AU129" s="1336"/>
      <c r="AV129" s="1336"/>
      <c r="AW129" s="1214"/>
      <c r="AX129" s="1336"/>
      <c r="AY129" s="1315"/>
      <c r="AZ129" s="1315"/>
      <c r="BA129" s="1319">
        <f>J129</f>
        <v>1500</v>
      </c>
      <c r="BB129" s="1319"/>
      <c r="BC129" s="1338"/>
      <c r="BD129" s="1214"/>
      <c r="BE129" s="1346"/>
      <c r="BF129" s="1346"/>
      <c r="BG129" s="1344"/>
      <c r="BH129" s="1347"/>
      <c r="BI129" s="1357"/>
      <c r="BJ129" s="1358"/>
      <c r="BK129" s="1358"/>
    </row>
    <row r="130" s="1053" customFormat="1" ht="31" customHeight="1" spans="1:63">
      <c r="A130" s="1265">
        <v>45791</v>
      </c>
      <c r="B130" s="1266" t="s">
        <v>2449</v>
      </c>
      <c r="C130" s="1267" t="s">
        <v>398</v>
      </c>
      <c r="D130" s="1266">
        <v>4500166364</v>
      </c>
      <c r="E130" s="1269" t="s">
        <v>2450</v>
      </c>
      <c r="F130" s="1266" t="s">
        <v>2451</v>
      </c>
      <c r="G130" s="1359" t="s">
        <v>2452</v>
      </c>
      <c r="H130" s="1101" t="s">
        <v>2452</v>
      </c>
      <c r="I130" s="1361" t="s">
        <v>2052</v>
      </c>
      <c r="J130" s="1120">
        <v>48</v>
      </c>
      <c r="K130" s="1097">
        <v>0</v>
      </c>
      <c r="L130" s="1097">
        <v>24</v>
      </c>
      <c r="M130" s="1114">
        <f t="shared" si="22"/>
        <v>2</v>
      </c>
      <c r="N130" s="1117">
        <v>45821</v>
      </c>
      <c r="O130" s="1117">
        <v>45817</v>
      </c>
      <c r="P130" s="1137"/>
      <c r="Q130" s="1285" t="s">
        <v>1480</v>
      </c>
      <c r="R130" s="1280"/>
      <c r="S130" s="1147" t="s">
        <v>2453</v>
      </c>
      <c r="T130" s="1281" t="s">
        <v>2454</v>
      </c>
      <c r="U130" s="1281" t="s">
        <v>2455</v>
      </c>
      <c r="V130" s="1282" t="s">
        <v>2456</v>
      </c>
      <c r="W130" s="1287" t="s">
        <v>2457</v>
      </c>
      <c r="X130" s="1150" t="s">
        <v>2458</v>
      </c>
      <c r="Y130" s="1292">
        <v>2.9197</v>
      </c>
      <c r="Z130" s="1166">
        <f t="shared" si="37"/>
        <v>140.1456</v>
      </c>
      <c r="AA130" s="1289"/>
      <c r="AB130" s="1137" t="s">
        <v>63</v>
      </c>
      <c r="AC130" s="1137" t="s">
        <v>2040</v>
      </c>
      <c r="AD130" s="1290">
        <v>48</v>
      </c>
      <c r="AE130" s="1289">
        <f t="shared" si="38"/>
        <v>0</v>
      </c>
      <c r="AF130" s="1294" t="s">
        <v>327</v>
      </c>
      <c r="AG130" s="1291"/>
      <c r="AH130" s="1188">
        <f>J130</f>
        <v>48</v>
      </c>
      <c r="AI130" s="1188"/>
      <c r="AJ130" s="1188"/>
      <c r="AK130" s="1310"/>
      <c r="AL130" s="1311"/>
      <c r="AM130" s="1311"/>
      <c r="AN130" s="1312"/>
      <c r="AO130" s="1312"/>
      <c r="AP130" s="1312"/>
      <c r="AQ130" s="1312"/>
      <c r="AR130" s="1319">
        <f t="shared" si="36"/>
        <v>48</v>
      </c>
      <c r="AS130" s="1332"/>
      <c r="AT130" s="1333"/>
      <c r="AU130" s="1228"/>
      <c r="AV130" s="1228"/>
      <c r="AW130" s="1214"/>
      <c r="AX130" s="1228"/>
      <c r="AY130" s="1312"/>
      <c r="AZ130" s="1312"/>
      <c r="BA130" s="1319"/>
      <c r="BB130" s="1319"/>
      <c r="BC130" s="1338"/>
      <c r="BD130" s="1214"/>
      <c r="BE130" s="1346"/>
      <c r="BF130" s="1346">
        <f>J130</f>
        <v>48</v>
      </c>
      <c r="BG130" s="1344"/>
      <c r="BH130" s="1347"/>
      <c r="BI130" s="1356"/>
      <c r="BJ130" s="1263"/>
      <c r="BK130" s="1263"/>
    </row>
    <row r="131" s="1053" customFormat="1" ht="31" customHeight="1" spans="1:63">
      <c r="A131" s="1265">
        <v>45791</v>
      </c>
      <c r="B131" s="1266" t="s">
        <v>2449</v>
      </c>
      <c r="C131" s="1267" t="s">
        <v>398</v>
      </c>
      <c r="D131" s="1266">
        <v>4500166364</v>
      </c>
      <c r="E131" s="1269" t="s">
        <v>2459</v>
      </c>
      <c r="F131" s="1266" t="s">
        <v>2460</v>
      </c>
      <c r="G131" s="1359" t="s">
        <v>2452</v>
      </c>
      <c r="H131" s="1101" t="s">
        <v>2452</v>
      </c>
      <c r="I131" s="1361" t="s">
        <v>2052</v>
      </c>
      <c r="J131" s="1120">
        <v>24</v>
      </c>
      <c r="K131" s="1097">
        <v>0</v>
      </c>
      <c r="L131" s="1097">
        <v>24</v>
      </c>
      <c r="M131" s="1114">
        <f t="shared" si="22"/>
        <v>1</v>
      </c>
      <c r="N131" s="1117">
        <v>45821</v>
      </c>
      <c r="O131" s="1117">
        <v>45817</v>
      </c>
      <c r="P131" s="1137"/>
      <c r="Q131" s="1285" t="s">
        <v>1480</v>
      </c>
      <c r="R131" s="1280"/>
      <c r="S131" s="1147" t="s">
        <v>2453</v>
      </c>
      <c r="T131" s="1281" t="s">
        <v>2454</v>
      </c>
      <c r="U131" s="1281" t="s">
        <v>2455</v>
      </c>
      <c r="V131" s="1282" t="s">
        <v>2456</v>
      </c>
      <c r="W131" s="1287" t="s">
        <v>2457</v>
      </c>
      <c r="X131" s="1150" t="s">
        <v>2458</v>
      </c>
      <c r="Y131" s="1292">
        <v>2.9197</v>
      </c>
      <c r="Z131" s="1166">
        <f t="shared" si="37"/>
        <v>70.0728</v>
      </c>
      <c r="AA131" s="1289"/>
      <c r="AB131" s="1137" t="s">
        <v>63</v>
      </c>
      <c r="AC131" s="1137" t="s">
        <v>2040</v>
      </c>
      <c r="AD131" s="1290">
        <v>24</v>
      </c>
      <c r="AE131" s="1289">
        <f t="shared" si="38"/>
        <v>0</v>
      </c>
      <c r="AF131" s="1294" t="s">
        <v>327</v>
      </c>
      <c r="AG131" s="1291"/>
      <c r="AH131" s="1188">
        <f t="shared" ref="AH131:AH136" si="39">J131</f>
        <v>24</v>
      </c>
      <c r="AI131" s="1188"/>
      <c r="AJ131" s="1188"/>
      <c r="AK131" s="1310"/>
      <c r="AL131" s="1311"/>
      <c r="AM131" s="1311"/>
      <c r="AN131" s="1312"/>
      <c r="AO131" s="1312"/>
      <c r="AP131" s="1312"/>
      <c r="AQ131" s="1312"/>
      <c r="AR131" s="1319">
        <f t="shared" si="36"/>
        <v>24</v>
      </c>
      <c r="AS131" s="1332"/>
      <c r="AT131" s="1333"/>
      <c r="AU131" s="1228"/>
      <c r="AV131" s="1228"/>
      <c r="AW131" s="1214"/>
      <c r="AX131" s="1228"/>
      <c r="AY131" s="1312"/>
      <c r="AZ131" s="1312"/>
      <c r="BA131" s="1319"/>
      <c r="BB131" s="1319"/>
      <c r="BC131" s="1338"/>
      <c r="BD131" s="1214"/>
      <c r="BE131" s="1346"/>
      <c r="BF131" s="1346">
        <f t="shared" ref="BF131:BF136" si="40">J131</f>
        <v>24</v>
      </c>
      <c r="BG131" s="1344"/>
      <c r="BH131" s="1347"/>
      <c r="BI131" s="1356"/>
      <c r="BJ131" s="1263"/>
      <c r="BK131" s="1263"/>
    </row>
    <row r="132" s="1053" customFormat="1" ht="31" customHeight="1" spans="1:63">
      <c r="A132" s="1265">
        <v>45791</v>
      </c>
      <c r="B132" s="1266" t="s">
        <v>2449</v>
      </c>
      <c r="C132" s="1267" t="s">
        <v>398</v>
      </c>
      <c r="D132" s="1266">
        <v>4500166364</v>
      </c>
      <c r="E132" s="1269" t="s">
        <v>2461</v>
      </c>
      <c r="F132" s="1266" t="s">
        <v>2462</v>
      </c>
      <c r="G132" s="1359" t="s">
        <v>2452</v>
      </c>
      <c r="H132" s="1101" t="s">
        <v>2452</v>
      </c>
      <c r="I132" s="1361" t="s">
        <v>2052</v>
      </c>
      <c r="J132" s="1120">
        <v>24</v>
      </c>
      <c r="K132" s="1097">
        <v>0</v>
      </c>
      <c r="L132" s="1097">
        <v>24</v>
      </c>
      <c r="M132" s="1114">
        <f t="shared" si="22"/>
        <v>1</v>
      </c>
      <c r="N132" s="1117">
        <v>45821</v>
      </c>
      <c r="O132" s="1117">
        <v>45817</v>
      </c>
      <c r="P132" s="1137"/>
      <c r="Q132" s="1285" t="s">
        <v>1480</v>
      </c>
      <c r="R132" s="1280"/>
      <c r="S132" s="1147" t="s">
        <v>2453</v>
      </c>
      <c r="T132" s="1281" t="s">
        <v>2454</v>
      </c>
      <c r="U132" s="1281" t="s">
        <v>2455</v>
      </c>
      <c r="V132" s="1282" t="s">
        <v>2456</v>
      </c>
      <c r="W132" s="1287" t="s">
        <v>2457</v>
      </c>
      <c r="X132" s="1150" t="s">
        <v>2458</v>
      </c>
      <c r="Y132" s="1292">
        <v>2.9197</v>
      </c>
      <c r="Z132" s="1166">
        <f t="shared" si="37"/>
        <v>70.0728</v>
      </c>
      <c r="AA132" s="1289"/>
      <c r="AB132" s="1137" t="s">
        <v>63</v>
      </c>
      <c r="AC132" s="1137" t="s">
        <v>2040</v>
      </c>
      <c r="AD132" s="1290">
        <v>24</v>
      </c>
      <c r="AE132" s="1289">
        <f t="shared" si="38"/>
        <v>0</v>
      </c>
      <c r="AF132" s="1294" t="s">
        <v>327</v>
      </c>
      <c r="AG132" s="1291"/>
      <c r="AH132" s="1188">
        <f t="shared" si="39"/>
        <v>24</v>
      </c>
      <c r="AI132" s="1188"/>
      <c r="AJ132" s="1188"/>
      <c r="AK132" s="1310"/>
      <c r="AL132" s="1311"/>
      <c r="AM132" s="1311"/>
      <c r="AN132" s="1312"/>
      <c r="AO132" s="1312"/>
      <c r="AP132" s="1312"/>
      <c r="AQ132" s="1312"/>
      <c r="AR132" s="1319">
        <f t="shared" si="36"/>
        <v>24</v>
      </c>
      <c r="AS132" s="1332"/>
      <c r="AT132" s="1333"/>
      <c r="AU132" s="1228"/>
      <c r="AV132" s="1228"/>
      <c r="AW132" s="1214"/>
      <c r="AX132" s="1228"/>
      <c r="AY132" s="1312"/>
      <c r="AZ132" s="1312"/>
      <c r="BA132" s="1319"/>
      <c r="BB132" s="1319"/>
      <c r="BC132" s="1338"/>
      <c r="BD132" s="1214"/>
      <c r="BE132" s="1346"/>
      <c r="BF132" s="1346">
        <f t="shared" si="40"/>
        <v>24</v>
      </c>
      <c r="BG132" s="1344"/>
      <c r="BH132" s="1347"/>
      <c r="BI132" s="1356"/>
      <c r="BJ132" s="1263"/>
      <c r="BK132" s="1263"/>
    </row>
    <row r="133" s="1053" customFormat="1" ht="31" customHeight="1" spans="1:63">
      <c r="A133" s="1265">
        <v>45791</v>
      </c>
      <c r="B133" s="1266" t="s">
        <v>2449</v>
      </c>
      <c r="C133" s="1267" t="s">
        <v>398</v>
      </c>
      <c r="D133" s="1266">
        <v>4500166364</v>
      </c>
      <c r="E133" s="1269" t="s">
        <v>2463</v>
      </c>
      <c r="F133" s="1266" t="s">
        <v>2464</v>
      </c>
      <c r="G133" s="1359" t="s">
        <v>2452</v>
      </c>
      <c r="H133" s="1101" t="s">
        <v>2452</v>
      </c>
      <c r="I133" s="1361" t="s">
        <v>2052</v>
      </c>
      <c r="J133" s="1120">
        <v>24</v>
      </c>
      <c r="K133" s="1097">
        <v>0</v>
      </c>
      <c r="L133" s="1097">
        <v>24</v>
      </c>
      <c r="M133" s="1114">
        <f t="shared" si="22"/>
        <v>1</v>
      </c>
      <c r="N133" s="1117">
        <v>45821</v>
      </c>
      <c r="O133" s="1117">
        <v>45817</v>
      </c>
      <c r="P133" s="1137"/>
      <c r="Q133" s="1285" t="s">
        <v>1480</v>
      </c>
      <c r="R133" s="1280"/>
      <c r="S133" s="1147" t="s">
        <v>2453</v>
      </c>
      <c r="T133" s="1281" t="s">
        <v>2454</v>
      </c>
      <c r="U133" s="1281" t="s">
        <v>2455</v>
      </c>
      <c r="V133" s="1282" t="s">
        <v>2456</v>
      </c>
      <c r="W133" s="1287" t="s">
        <v>2457</v>
      </c>
      <c r="X133" s="1150" t="s">
        <v>2458</v>
      </c>
      <c r="Y133" s="1292">
        <v>2.9197</v>
      </c>
      <c r="Z133" s="1166">
        <f t="shared" si="37"/>
        <v>70.0728</v>
      </c>
      <c r="AA133" s="1289"/>
      <c r="AB133" s="1137" t="s">
        <v>63</v>
      </c>
      <c r="AC133" s="1137" t="s">
        <v>2040</v>
      </c>
      <c r="AD133" s="1290">
        <v>24</v>
      </c>
      <c r="AE133" s="1289">
        <f t="shared" si="38"/>
        <v>0</v>
      </c>
      <c r="AF133" s="1294" t="s">
        <v>327</v>
      </c>
      <c r="AG133" s="1291"/>
      <c r="AH133" s="1188">
        <f t="shared" si="39"/>
        <v>24</v>
      </c>
      <c r="AI133" s="1188"/>
      <c r="AJ133" s="1188"/>
      <c r="AK133" s="1310"/>
      <c r="AL133" s="1311"/>
      <c r="AM133" s="1311"/>
      <c r="AN133" s="1312"/>
      <c r="AO133" s="1312"/>
      <c r="AP133" s="1312"/>
      <c r="AQ133" s="1312"/>
      <c r="AR133" s="1319">
        <f t="shared" si="36"/>
        <v>24</v>
      </c>
      <c r="AS133" s="1332"/>
      <c r="AT133" s="1333"/>
      <c r="AU133" s="1228"/>
      <c r="AV133" s="1228"/>
      <c r="AW133" s="1214"/>
      <c r="AX133" s="1228"/>
      <c r="AY133" s="1312"/>
      <c r="AZ133" s="1312"/>
      <c r="BA133" s="1319"/>
      <c r="BB133" s="1319"/>
      <c r="BC133" s="1338"/>
      <c r="BD133" s="1214"/>
      <c r="BE133" s="1346"/>
      <c r="BF133" s="1346">
        <f t="shared" si="40"/>
        <v>24</v>
      </c>
      <c r="BG133" s="1344"/>
      <c r="BH133" s="1347"/>
      <c r="BI133" s="1356"/>
      <c r="BJ133" s="1263"/>
      <c r="BK133" s="1263"/>
    </row>
    <row r="134" s="1053" customFormat="1" ht="31" customHeight="1" spans="1:63">
      <c r="A134" s="1265">
        <v>45791</v>
      </c>
      <c r="B134" s="1266" t="s">
        <v>2449</v>
      </c>
      <c r="C134" s="1267" t="s">
        <v>398</v>
      </c>
      <c r="D134" s="1266">
        <v>4500166364</v>
      </c>
      <c r="E134" s="1269" t="s">
        <v>2465</v>
      </c>
      <c r="F134" s="1266" t="s">
        <v>2466</v>
      </c>
      <c r="G134" s="1359" t="s">
        <v>2452</v>
      </c>
      <c r="H134" s="1101" t="s">
        <v>2452</v>
      </c>
      <c r="I134" s="1361" t="s">
        <v>2052</v>
      </c>
      <c r="J134" s="1120">
        <v>24</v>
      </c>
      <c r="K134" s="1097">
        <v>0</v>
      </c>
      <c r="L134" s="1097">
        <v>24</v>
      </c>
      <c r="M134" s="1114">
        <f t="shared" si="22"/>
        <v>1</v>
      </c>
      <c r="N134" s="1117">
        <v>45821</v>
      </c>
      <c r="O134" s="1117">
        <v>45817</v>
      </c>
      <c r="P134" s="1137"/>
      <c r="Q134" s="1285" t="s">
        <v>1480</v>
      </c>
      <c r="R134" s="1280"/>
      <c r="S134" s="1147" t="s">
        <v>2453</v>
      </c>
      <c r="T134" s="1281" t="s">
        <v>2454</v>
      </c>
      <c r="U134" s="1281" t="s">
        <v>2455</v>
      </c>
      <c r="V134" s="1282" t="s">
        <v>2456</v>
      </c>
      <c r="W134" s="1287" t="s">
        <v>2457</v>
      </c>
      <c r="X134" s="1150" t="s">
        <v>2458</v>
      </c>
      <c r="Y134" s="1292">
        <v>2.9197</v>
      </c>
      <c r="Z134" s="1166">
        <f t="shared" si="37"/>
        <v>70.0728</v>
      </c>
      <c r="AA134" s="1289"/>
      <c r="AB134" s="1137" t="s">
        <v>63</v>
      </c>
      <c r="AC134" s="1137" t="s">
        <v>2040</v>
      </c>
      <c r="AD134" s="1290">
        <v>24</v>
      </c>
      <c r="AE134" s="1289">
        <f t="shared" si="38"/>
        <v>0</v>
      </c>
      <c r="AF134" s="1294" t="s">
        <v>327</v>
      </c>
      <c r="AG134" s="1291"/>
      <c r="AH134" s="1188">
        <f t="shared" si="39"/>
        <v>24</v>
      </c>
      <c r="AI134" s="1188"/>
      <c r="AJ134" s="1188"/>
      <c r="AK134" s="1310"/>
      <c r="AL134" s="1311"/>
      <c r="AM134" s="1311"/>
      <c r="AN134" s="1312"/>
      <c r="AO134" s="1312"/>
      <c r="AP134" s="1312"/>
      <c r="AQ134" s="1312"/>
      <c r="AR134" s="1319">
        <f t="shared" si="36"/>
        <v>24</v>
      </c>
      <c r="AS134" s="1332"/>
      <c r="AT134" s="1333"/>
      <c r="AU134" s="1228"/>
      <c r="AV134" s="1228"/>
      <c r="AW134" s="1214"/>
      <c r="AX134" s="1228"/>
      <c r="AY134" s="1312"/>
      <c r="AZ134" s="1312"/>
      <c r="BA134" s="1319"/>
      <c r="BB134" s="1319"/>
      <c r="BC134" s="1338"/>
      <c r="BD134" s="1214"/>
      <c r="BE134" s="1346"/>
      <c r="BF134" s="1346">
        <f t="shared" si="40"/>
        <v>24</v>
      </c>
      <c r="BG134" s="1344"/>
      <c r="BH134" s="1347"/>
      <c r="BI134" s="1356"/>
      <c r="BJ134" s="1263"/>
      <c r="BK134" s="1263"/>
    </row>
    <row r="135" s="1053" customFormat="1" ht="31" customHeight="1" spans="1:63">
      <c r="A135" s="1265">
        <v>45791</v>
      </c>
      <c r="B135" s="1266" t="s">
        <v>2449</v>
      </c>
      <c r="C135" s="1267" t="s">
        <v>398</v>
      </c>
      <c r="D135" s="1266">
        <v>4500166364</v>
      </c>
      <c r="E135" s="1269" t="s">
        <v>2467</v>
      </c>
      <c r="F135" s="1266" t="s">
        <v>2468</v>
      </c>
      <c r="G135" s="1359" t="s">
        <v>2452</v>
      </c>
      <c r="H135" s="1101" t="s">
        <v>2452</v>
      </c>
      <c r="I135" s="1361" t="s">
        <v>2052</v>
      </c>
      <c r="J135" s="1120">
        <v>48</v>
      </c>
      <c r="K135" s="1097">
        <v>0</v>
      </c>
      <c r="L135" s="1097">
        <v>24</v>
      </c>
      <c r="M135" s="1114">
        <f t="shared" si="22"/>
        <v>2</v>
      </c>
      <c r="N135" s="1117">
        <v>45821</v>
      </c>
      <c r="O135" s="1117">
        <v>45817</v>
      </c>
      <c r="P135" s="1137"/>
      <c r="Q135" s="1285" t="s">
        <v>1480</v>
      </c>
      <c r="R135" s="1280"/>
      <c r="S135" s="1147" t="s">
        <v>2453</v>
      </c>
      <c r="T135" s="1281" t="s">
        <v>2454</v>
      </c>
      <c r="U135" s="1281" t="s">
        <v>2455</v>
      </c>
      <c r="V135" s="1282" t="s">
        <v>2456</v>
      </c>
      <c r="W135" s="1287" t="s">
        <v>2457</v>
      </c>
      <c r="X135" s="1150" t="s">
        <v>2458</v>
      </c>
      <c r="Y135" s="1292">
        <v>2.9197</v>
      </c>
      <c r="Z135" s="1166">
        <f t="shared" si="37"/>
        <v>140.1456</v>
      </c>
      <c r="AA135" s="1289"/>
      <c r="AB135" s="1137" t="s">
        <v>63</v>
      </c>
      <c r="AC135" s="1137" t="s">
        <v>2040</v>
      </c>
      <c r="AD135" s="1290">
        <v>48</v>
      </c>
      <c r="AE135" s="1289">
        <f t="shared" si="38"/>
        <v>0</v>
      </c>
      <c r="AF135" s="1294" t="s">
        <v>327</v>
      </c>
      <c r="AG135" s="1291"/>
      <c r="AH135" s="1188">
        <f t="shared" si="39"/>
        <v>48</v>
      </c>
      <c r="AI135" s="1188"/>
      <c r="AJ135" s="1188"/>
      <c r="AK135" s="1310"/>
      <c r="AL135" s="1311"/>
      <c r="AM135" s="1311"/>
      <c r="AN135" s="1312"/>
      <c r="AO135" s="1312"/>
      <c r="AP135" s="1312"/>
      <c r="AQ135" s="1312"/>
      <c r="AR135" s="1319">
        <f t="shared" si="36"/>
        <v>48</v>
      </c>
      <c r="AS135" s="1332"/>
      <c r="AT135" s="1333"/>
      <c r="AU135" s="1228"/>
      <c r="AV135" s="1228"/>
      <c r="AW135" s="1214"/>
      <c r="AX135" s="1228"/>
      <c r="AY135" s="1312"/>
      <c r="AZ135" s="1312"/>
      <c r="BA135" s="1319"/>
      <c r="BB135" s="1319"/>
      <c r="BC135" s="1338"/>
      <c r="BD135" s="1214"/>
      <c r="BE135" s="1346"/>
      <c r="BF135" s="1346">
        <f t="shared" si="40"/>
        <v>48</v>
      </c>
      <c r="BG135" s="1344"/>
      <c r="BH135" s="1347"/>
      <c r="BI135" s="1356"/>
      <c r="BJ135" s="1263"/>
      <c r="BK135" s="1263"/>
    </row>
    <row r="136" s="1053" customFormat="1" ht="31" customHeight="1" spans="1:63">
      <c r="A136" s="1265">
        <v>45791</v>
      </c>
      <c r="B136" s="1266" t="s">
        <v>2449</v>
      </c>
      <c r="C136" s="1267" t="s">
        <v>398</v>
      </c>
      <c r="D136" s="1266">
        <v>4500166364</v>
      </c>
      <c r="E136" s="1269" t="s">
        <v>2469</v>
      </c>
      <c r="F136" s="1266" t="s">
        <v>2470</v>
      </c>
      <c r="G136" s="1359" t="s">
        <v>2452</v>
      </c>
      <c r="H136" s="1101" t="s">
        <v>2452</v>
      </c>
      <c r="I136" s="1361" t="s">
        <v>2052</v>
      </c>
      <c r="J136" s="1120">
        <v>24</v>
      </c>
      <c r="K136" s="1097">
        <v>0</v>
      </c>
      <c r="L136" s="1097">
        <v>24</v>
      </c>
      <c r="M136" s="1114">
        <f t="shared" si="22"/>
        <v>1</v>
      </c>
      <c r="N136" s="1117">
        <v>45821</v>
      </c>
      <c r="O136" s="1117">
        <v>45817</v>
      </c>
      <c r="P136" s="1137"/>
      <c r="Q136" s="1285" t="s">
        <v>1480</v>
      </c>
      <c r="R136" s="1280"/>
      <c r="S136" s="1147" t="s">
        <v>2453</v>
      </c>
      <c r="T136" s="1281" t="s">
        <v>2454</v>
      </c>
      <c r="U136" s="1281" t="s">
        <v>2455</v>
      </c>
      <c r="V136" s="1282" t="s">
        <v>2456</v>
      </c>
      <c r="W136" s="1287" t="s">
        <v>2457</v>
      </c>
      <c r="X136" s="1150" t="s">
        <v>2458</v>
      </c>
      <c r="Y136" s="1292">
        <v>2.9197</v>
      </c>
      <c r="Z136" s="1166">
        <f t="shared" si="37"/>
        <v>70.0728</v>
      </c>
      <c r="AA136" s="1289"/>
      <c r="AB136" s="1137" t="s">
        <v>63</v>
      </c>
      <c r="AC136" s="1137" t="s">
        <v>2040</v>
      </c>
      <c r="AD136" s="1290">
        <v>24</v>
      </c>
      <c r="AE136" s="1289">
        <f t="shared" si="38"/>
        <v>0</v>
      </c>
      <c r="AF136" s="1294" t="s">
        <v>327</v>
      </c>
      <c r="AG136" s="1291"/>
      <c r="AH136" s="1188">
        <f t="shared" si="39"/>
        <v>24</v>
      </c>
      <c r="AI136" s="1188"/>
      <c r="AJ136" s="1188"/>
      <c r="AK136" s="1310"/>
      <c r="AL136" s="1311"/>
      <c r="AM136" s="1311"/>
      <c r="AN136" s="1312"/>
      <c r="AO136" s="1312"/>
      <c r="AP136" s="1312"/>
      <c r="AQ136" s="1312"/>
      <c r="AR136" s="1319">
        <f t="shared" si="36"/>
        <v>24</v>
      </c>
      <c r="AS136" s="1332"/>
      <c r="AT136" s="1333"/>
      <c r="AU136" s="1228"/>
      <c r="AV136" s="1228"/>
      <c r="AW136" s="1214"/>
      <c r="AX136" s="1228"/>
      <c r="AY136" s="1312"/>
      <c r="AZ136" s="1312"/>
      <c r="BA136" s="1319"/>
      <c r="BB136" s="1319"/>
      <c r="BC136" s="1338"/>
      <c r="BD136" s="1214"/>
      <c r="BE136" s="1346"/>
      <c r="BF136" s="1346">
        <f t="shared" si="40"/>
        <v>24</v>
      </c>
      <c r="BG136" s="1344"/>
      <c r="BH136" s="1347"/>
      <c r="BI136" s="1356"/>
      <c r="BJ136" s="1263"/>
      <c r="BK136" s="1263"/>
    </row>
    <row r="137" s="1053" customFormat="1" ht="31" customHeight="1" spans="1:63">
      <c r="A137" s="1265">
        <v>45727</v>
      </c>
      <c r="B137" s="1266" t="s">
        <v>2471</v>
      </c>
      <c r="C137" s="1267" t="s">
        <v>123</v>
      </c>
      <c r="D137" s="1266">
        <v>4500159588</v>
      </c>
      <c r="E137" s="1269" t="s">
        <v>2472</v>
      </c>
      <c r="F137" s="1266" t="s">
        <v>2473</v>
      </c>
      <c r="G137" s="1359" t="s">
        <v>2118</v>
      </c>
      <c r="H137" s="1101" t="s">
        <v>2118</v>
      </c>
      <c r="I137" s="1361" t="s">
        <v>2119</v>
      </c>
      <c r="J137" s="1120">
        <v>4008</v>
      </c>
      <c r="K137" s="1097">
        <v>0</v>
      </c>
      <c r="L137" s="1097">
        <v>12</v>
      </c>
      <c r="M137" s="1114">
        <f t="shared" si="22"/>
        <v>334</v>
      </c>
      <c r="N137" s="1117">
        <v>45824</v>
      </c>
      <c r="O137" s="1117">
        <v>45820</v>
      </c>
      <c r="P137" s="1137"/>
      <c r="Q137" s="1285" t="s">
        <v>1480</v>
      </c>
      <c r="R137" s="1280" t="s">
        <v>2474</v>
      </c>
      <c r="S137" s="1147">
        <v>45727</v>
      </c>
      <c r="T137" s="1281" t="s">
        <v>58</v>
      </c>
      <c r="U137" s="1281" t="s">
        <v>58</v>
      </c>
      <c r="V137" s="1282" t="s">
        <v>2475</v>
      </c>
      <c r="W137" s="1287" t="s">
        <v>2476</v>
      </c>
      <c r="X137" s="1150" t="s">
        <v>2477</v>
      </c>
      <c r="Y137" s="1292">
        <v>2.7513</v>
      </c>
      <c r="Z137" s="1166">
        <f t="shared" si="37"/>
        <v>11027.2104</v>
      </c>
      <c r="AA137" s="1289"/>
      <c r="AB137" s="1137" t="s">
        <v>63</v>
      </c>
      <c r="AC137" s="1137" t="s">
        <v>2040</v>
      </c>
      <c r="AD137" s="1290">
        <v>4008</v>
      </c>
      <c r="AE137" s="1289">
        <f t="shared" si="38"/>
        <v>0</v>
      </c>
      <c r="AF137" s="1294" t="s">
        <v>58</v>
      </c>
      <c r="AG137" s="1291"/>
      <c r="AH137" s="1188">
        <f>J137/3</f>
        <v>1336</v>
      </c>
      <c r="AI137" s="1188">
        <f>J137/3</f>
        <v>1336</v>
      </c>
      <c r="AJ137" s="1188">
        <f>J137/3</f>
        <v>1336</v>
      </c>
      <c r="AK137" s="1310"/>
      <c r="AL137" s="1311"/>
      <c r="AM137" s="1311"/>
      <c r="AN137" s="1312"/>
      <c r="AO137" s="1312"/>
      <c r="AP137" s="1312"/>
      <c r="AQ137" s="1312"/>
      <c r="AR137" s="1319">
        <f t="shared" si="36"/>
        <v>4008</v>
      </c>
      <c r="AS137" s="1332"/>
      <c r="AT137" s="1333"/>
      <c r="AU137" s="1228"/>
      <c r="AV137" s="1228"/>
      <c r="AW137" s="1214">
        <f>J137</f>
        <v>4008</v>
      </c>
      <c r="AX137" s="1228"/>
      <c r="AY137" s="1312"/>
      <c r="AZ137" s="1312"/>
      <c r="BA137" s="1319"/>
      <c r="BB137" s="1319"/>
      <c r="BC137" s="1338"/>
      <c r="BD137" s="1214"/>
      <c r="BE137" s="1346"/>
      <c r="BF137" s="1346"/>
      <c r="BG137" s="1344"/>
      <c r="BH137" s="1347"/>
      <c r="BI137" s="1356"/>
      <c r="BJ137" s="1263"/>
      <c r="BK137" s="1263"/>
    </row>
    <row r="138" s="1053" customFormat="1" ht="31" customHeight="1" spans="1:63">
      <c r="A138" s="1265">
        <v>45727</v>
      </c>
      <c r="B138" s="1266" t="s">
        <v>2471</v>
      </c>
      <c r="C138" s="1267" t="s">
        <v>123</v>
      </c>
      <c r="D138" s="1266">
        <v>4500159588</v>
      </c>
      <c r="E138" s="1269" t="s">
        <v>2478</v>
      </c>
      <c r="F138" s="1266" t="s">
        <v>2479</v>
      </c>
      <c r="G138" s="1359" t="s">
        <v>2118</v>
      </c>
      <c r="H138" s="1101" t="s">
        <v>2118</v>
      </c>
      <c r="I138" s="1361" t="s">
        <v>2119</v>
      </c>
      <c r="J138" s="1120">
        <v>4008</v>
      </c>
      <c r="K138" s="1097">
        <v>0</v>
      </c>
      <c r="L138" s="1097">
        <v>12</v>
      </c>
      <c r="M138" s="1114">
        <f t="shared" si="22"/>
        <v>334</v>
      </c>
      <c r="N138" s="1117">
        <v>45824</v>
      </c>
      <c r="O138" s="1117">
        <v>45820</v>
      </c>
      <c r="P138" s="1137"/>
      <c r="Q138" s="1285" t="s">
        <v>1480</v>
      </c>
      <c r="R138" s="1280" t="s">
        <v>2474</v>
      </c>
      <c r="S138" s="1147">
        <v>45727</v>
      </c>
      <c r="T138" s="1281" t="s">
        <v>58</v>
      </c>
      <c r="U138" s="1281" t="s">
        <v>58</v>
      </c>
      <c r="V138" s="1282" t="s">
        <v>2475</v>
      </c>
      <c r="W138" s="1287" t="s">
        <v>2476</v>
      </c>
      <c r="X138" s="1150" t="s">
        <v>2477</v>
      </c>
      <c r="Y138" s="1292">
        <v>2.7513</v>
      </c>
      <c r="Z138" s="1166">
        <f t="shared" si="37"/>
        <v>11027.2104</v>
      </c>
      <c r="AA138" s="1289"/>
      <c r="AB138" s="1137" t="s">
        <v>63</v>
      </c>
      <c r="AC138" s="1137" t="s">
        <v>2040</v>
      </c>
      <c r="AD138" s="1290">
        <v>4008</v>
      </c>
      <c r="AE138" s="1289">
        <f t="shared" si="38"/>
        <v>0</v>
      </c>
      <c r="AF138" s="1294" t="s">
        <v>58</v>
      </c>
      <c r="AG138" s="1291"/>
      <c r="AH138" s="1188">
        <f>J138/3</f>
        <v>1336</v>
      </c>
      <c r="AI138" s="1188">
        <f>J138/3</f>
        <v>1336</v>
      </c>
      <c r="AJ138" s="1188">
        <f>J138/3</f>
        <v>1336</v>
      </c>
      <c r="AK138" s="1310"/>
      <c r="AL138" s="1311"/>
      <c r="AM138" s="1311"/>
      <c r="AN138" s="1312"/>
      <c r="AO138" s="1312"/>
      <c r="AP138" s="1312"/>
      <c r="AQ138" s="1312"/>
      <c r="AR138" s="1319">
        <f t="shared" si="36"/>
        <v>4008</v>
      </c>
      <c r="AS138" s="1332"/>
      <c r="AT138" s="1333"/>
      <c r="AU138" s="1228"/>
      <c r="AV138" s="1228"/>
      <c r="AW138" s="1214">
        <f>J138</f>
        <v>4008</v>
      </c>
      <c r="AX138" s="1228"/>
      <c r="AY138" s="1312"/>
      <c r="AZ138" s="1312"/>
      <c r="BA138" s="1319"/>
      <c r="BB138" s="1319"/>
      <c r="BC138" s="1338"/>
      <c r="BD138" s="1214"/>
      <c r="BE138" s="1346"/>
      <c r="BF138" s="1346"/>
      <c r="BG138" s="1344"/>
      <c r="BH138" s="1347"/>
      <c r="BI138" s="1356"/>
      <c r="BJ138" s="1263"/>
      <c r="BK138" s="1263"/>
    </row>
    <row r="139" s="1053" customFormat="1" ht="31" customHeight="1" spans="1:63">
      <c r="A139" s="1265">
        <v>45740</v>
      </c>
      <c r="B139" s="1266" t="s">
        <v>2480</v>
      </c>
      <c r="C139" s="1267" t="s">
        <v>91</v>
      </c>
      <c r="D139" s="1266">
        <v>4500161275</v>
      </c>
      <c r="E139" s="1269">
        <v>70057514</v>
      </c>
      <c r="F139" s="1266" t="s">
        <v>2481</v>
      </c>
      <c r="G139" s="1101" t="s">
        <v>2118</v>
      </c>
      <c r="H139" s="1101" t="s">
        <v>2118</v>
      </c>
      <c r="I139" s="1098" t="s">
        <v>2119</v>
      </c>
      <c r="J139" s="1120">
        <v>1200</v>
      </c>
      <c r="K139" s="1097">
        <v>0</v>
      </c>
      <c r="L139" s="1097">
        <v>12</v>
      </c>
      <c r="M139" s="1114">
        <f t="shared" si="22"/>
        <v>100</v>
      </c>
      <c r="N139" s="1117">
        <v>45828</v>
      </c>
      <c r="O139" s="1117">
        <v>45822</v>
      </c>
      <c r="P139" s="1272" t="s">
        <v>2482</v>
      </c>
      <c r="Q139" s="1285" t="s">
        <v>1480</v>
      </c>
      <c r="R139" s="1280" t="s">
        <v>2483</v>
      </c>
      <c r="S139" s="1147" t="s">
        <v>2453</v>
      </c>
      <c r="T139" s="1281" t="s">
        <v>58</v>
      </c>
      <c r="U139" s="1281" t="s">
        <v>58</v>
      </c>
      <c r="V139" s="1282" t="s">
        <v>235</v>
      </c>
      <c r="W139" s="1148" t="s">
        <v>2484</v>
      </c>
      <c r="X139" s="1150" t="s">
        <v>681</v>
      </c>
      <c r="Y139" s="1292">
        <v>2.8454</v>
      </c>
      <c r="Z139" s="1166">
        <f t="shared" si="37"/>
        <v>3414.48</v>
      </c>
      <c r="AA139" s="1289"/>
      <c r="AB139" s="1137" t="s">
        <v>63</v>
      </c>
      <c r="AC139" s="1137" t="s">
        <v>2040</v>
      </c>
      <c r="AD139" s="1290">
        <v>1200</v>
      </c>
      <c r="AE139" s="1289">
        <f t="shared" si="38"/>
        <v>0</v>
      </c>
      <c r="AF139" s="1291"/>
      <c r="AG139" s="1291"/>
      <c r="AH139" s="1188">
        <f>J139/3</f>
        <v>400</v>
      </c>
      <c r="AI139" s="1188">
        <f>J139/3</f>
        <v>400</v>
      </c>
      <c r="AJ139" s="1188">
        <f>J139/3</f>
        <v>400</v>
      </c>
      <c r="AK139" s="1298"/>
      <c r="AL139" s="1299"/>
      <c r="AM139" s="1299"/>
      <c r="AN139" s="1300"/>
      <c r="AO139" s="1300"/>
      <c r="AP139" s="1300"/>
      <c r="AQ139" s="1300"/>
      <c r="AR139" s="1319">
        <f t="shared" si="36"/>
        <v>1200</v>
      </c>
      <c r="AS139" s="1320"/>
      <c r="AT139" s="1321"/>
      <c r="AU139" s="1322"/>
      <c r="AV139" s="1322"/>
      <c r="AW139" s="1214">
        <f>J139</f>
        <v>1200</v>
      </c>
      <c r="AX139" s="1322"/>
      <c r="AY139" s="1300"/>
      <c r="AZ139" s="1300"/>
      <c r="BA139" s="1319"/>
      <c r="BB139" s="1319"/>
      <c r="BC139" s="1338"/>
      <c r="BD139" s="1214"/>
      <c r="BE139" s="1346"/>
      <c r="BF139" s="1346"/>
      <c r="BG139" s="1344"/>
      <c r="BH139" s="1347"/>
      <c r="BI139" s="1348"/>
      <c r="BJ139" s="1262"/>
      <c r="BK139" s="1262"/>
    </row>
    <row r="140" s="1053" customFormat="1" ht="31" customHeight="1" spans="1:63">
      <c r="A140" s="1265">
        <v>45786</v>
      </c>
      <c r="B140" s="1266" t="s">
        <v>492</v>
      </c>
      <c r="C140" s="1267" t="s">
        <v>493</v>
      </c>
      <c r="D140" s="1266">
        <v>4500165963</v>
      </c>
      <c r="E140" s="1269">
        <v>4400481921</v>
      </c>
      <c r="F140" s="1266" t="s">
        <v>2485</v>
      </c>
      <c r="G140" s="1101" t="s">
        <v>2444</v>
      </c>
      <c r="H140" s="1101" t="s">
        <v>2445</v>
      </c>
      <c r="I140" s="1361" t="s">
        <v>2446</v>
      </c>
      <c r="J140" s="1120">
        <v>1200</v>
      </c>
      <c r="K140" s="1097">
        <v>0</v>
      </c>
      <c r="L140" s="1097">
        <v>12</v>
      </c>
      <c r="M140" s="1114">
        <f t="shared" si="22"/>
        <v>100</v>
      </c>
      <c r="N140" s="1117">
        <v>45824</v>
      </c>
      <c r="O140" s="1117">
        <v>45820</v>
      </c>
      <c r="P140" s="1137"/>
      <c r="Q140" s="1285" t="s">
        <v>1480</v>
      </c>
      <c r="R140" s="1280" t="s">
        <v>2486</v>
      </c>
      <c r="S140" s="1147" t="s">
        <v>2487</v>
      </c>
      <c r="T140" s="1281" t="s">
        <v>58</v>
      </c>
      <c r="U140" s="1281" t="s">
        <v>2488</v>
      </c>
      <c r="V140" s="1282" t="s">
        <v>2489</v>
      </c>
      <c r="W140" s="1287" t="s">
        <v>2490</v>
      </c>
      <c r="X140" s="1150" t="s">
        <v>775</v>
      </c>
      <c r="Y140" s="1292">
        <v>2.8395</v>
      </c>
      <c r="Z140" s="1166">
        <f t="shared" si="37"/>
        <v>3407.4</v>
      </c>
      <c r="AA140" s="1289"/>
      <c r="AB140" s="1137" t="s">
        <v>63</v>
      </c>
      <c r="AC140" s="1137" t="s">
        <v>2040</v>
      </c>
      <c r="AD140" s="1290">
        <v>1200</v>
      </c>
      <c r="AE140" s="1289">
        <f t="shared" si="38"/>
        <v>0</v>
      </c>
      <c r="AF140" s="1366" t="s">
        <v>327</v>
      </c>
      <c r="AG140" s="1291"/>
      <c r="AH140" s="1188">
        <f>J140</f>
        <v>1200</v>
      </c>
      <c r="AI140" s="1188"/>
      <c r="AJ140" s="1188"/>
      <c r="AK140" s="1298"/>
      <c r="AL140" s="1299"/>
      <c r="AM140" s="1299"/>
      <c r="AN140" s="1300"/>
      <c r="AO140" s="1300"/>
      <c r="AP140" s="1300"/>
      <c r="AQ140" s="1300"/>
      <c r="AR140" s="1319">
        <f t="shared" si="36"/>
        <v>1200</v>
      </c>
      <c r="AS140" s="1320"/>
      <c r="AT140" s="1321"/>
      <c r="AU140" s="1322"/>
      <c r="AV140" s="1322"/>
      <c r="AW140" s="1214"/>
      <c r="AX140" s="1322"/>
      <c r="AY140" s="1300"/>
      <c r="AZ140" s="1300"/>
      <c r="BA140" s="1319">
        <f>J140</f>
        <v>1200</v>
      </c>
      <c r="BB140" s="1319"/>
      <c r="BC140" s="1338"/>
      <c r="BD140" s="1214"/>
      <c r="BE140" s="1346"/>
      <c r="BF140" s="1346"/>
      <c r="BG140" s="1344"/>
      <c r="BH140" s="1347"/>
      <c r="BI140" s="1348"/>
      <c r="BJ140" s="1262"/>
      <c r="BK140" s="1262"/>
    </row>
    <row r="141" s="1053" customFormat="1" ht="31" customHeight="1" spans="1:63">
      <c r="A141" s="1265">
        <v>45786</v>
      </c>
      <c r="B141" s="1266" t="s">
        <v>492</v>
      </c>
      <c r="C141" s="1267" t="s">
        <v>493</v>
      </c>
      <c r="D141" s="1266">
        <v>4500165963</v>
      </c>
      <c r="E141" s="1269">
        <v>4400481921</v>
      </c>
      <c r="F141" s="1266" t="s">
        <v>2491</v>
      </c>
      <c r="G141" s="1359" t="s">
        <v>2309</v>
      </c>
      <c r="H141" s="1101" t="s">
        <v>2310</v>
      </c>
      <c r="I141" s="1270" t="s">
        <v>2042</v>
      </c>
      <c r="J141" s="1120">
        <v>1200</v>
      </c>
      <c r="K141" s="1097">
        <v>0</v>
      </c>
      <c r="L141" s="1097">
        <v>12</v>
      </c>
      <c r="M141" s="1114">
        <f t="shared" si="22"/>
        <v>100</v>
      </c>
      <c r="N141" s="1117">
        <v>45824</v>
      </c>
      <c r="O141" s="1117">
        <v>45820</v>
      </c>
      <c r="P141" s="1137"/>
      <c r="Q141" s="1285" t="s">
        <v>1480</v>
      </c>
      <c r="R141" s="1280" t="s">
        <v>2486</v>
      </c>
      <c r="S141" s="1147" t="s">
        <v>2487</v>
      </c>
      <c r="T141" s="1281" t="s">
        <v>58</v>
      </c>
      <c r="U141" s="1281" t="s">
        <v>2492</v>
      </c>
      <c r="V141" s="1282" t="s">
        <v>2493</v>
      </c>
      <c r="W141" s="1287" t="s">
        <v>2494</v>
      </c>
      <c r="X141" s="1150" t="s">
        <v>775</v>
      </c>
      <c r="Y141" s="1292">
        <v>2.8454</v>
      </c>
      <c r="Z141" s="1166">
        <f t="shared" si="37"/>
        <v>3414.48</v>
      </c>
      <c r="AA141" s="1289"/>
      <c r="AB141" s="1137" t="s">
        <v>63</v>
      </c>
      <c r="AC141" s="1137" t="s">
        <v>2040</v>
      </c>
      <c r="AD141" s="1290">
        <v>1200</v>
      </c>
      <c r="AE141" s="1289">
        <f t="shared" si="38"/>
        <v>0</v>
      </c>
      <c r="AF141" s="1294"/>
      <c r="AG141" s="1291"/>
      <c r="AH141" s="1188"/>
      <c r="AI141" s="1188"/>
      <c r="AJ141" s="1188">
        <f>J141</f>
        <v>1200</v>
      </c>
      <c r="AK141" s="1298"/>
      <c r="AL141" s="1299"/>
      <c r="AM141" s="1299"/>
      <c r="AN141" s="1300"/>
      <c r="AO141" s="1300"/>
      <c r="AP141" s="1300"/>
      <c r="AQ141" s="1300"/>
      <c r="AR141" s="1319">
        <f t="shared" si="36"/>
        <v>1200</v>
      </c>
      <c r="AS141" s="1320"/>
      <c r="AT141" s="1321"/>
      <c r="AU141" s="1322"/>
      <c r="AV141" s="1322"/>
      <c r="AW141" s="1214"/>
      <c r="AX141" s="1322"/>
      <c r="AY141" s="1300"/>
      <c r="AZ141" s="1300"/>
      <c r="BA141" s="1319">
        <f>J141</f>
        <v>1200</v>
      </c>
      <c r="BB141" s="1319"/>
      <c r="BC141" s="1338"/>
      <c r="BD141" s="1214"/>
      <c r="BE141" s="1346"/>
      <c r="BF141" s="1346"/>
      <c r="BG141" s="1344"/>
      <c r="BH141" s="1347"/>
      <c r="BI141" s="1348"/>
      <c r="BJ141" s="1262"/>
      <c r="BK141" s="1262"/>
    </row>
    <row r="142" s="1053" customFormat="1" ht="31" customHeight="1" spans="1:63">
      <c r="A142" s="1265">
        <v>45798</v>
      </c>
      <c r="B142" s="1266" t="s">
        <v>710</v>
      </c>
      <c r="C142" s="1267" t="s">
        <v>91</v>
      </c>
      <c r="D142" s="1266">
        <v>4500167243</v>
      </c>
      <c r="E142" s="1269" t="s">
        <v>720</v>
      </c>
      <c r="F142" s="1266" t="s">
        <v>2495</v>
      </c>
      <c r="G142" s="1101" t="s">
        <v>2118</v>
      </c>
      <c r="H142" s="1101" t="s">
        <v>2118</v>
      </c>
      <c r="I142" s="1098" t="s">
        <v>2119</v>
      </c>
      <c r="J142" s="1120">
        <v>1200</v>
      </c>
      <c r="K142" s="1097">
        <v>0</v>
      </c>
      <c r="L142" s="1097">
        <v>12</v>
      </c>
      <c r="M142" s="1114">
        <f t="shared" si="22"/>
        <v>100</v>
      </c>
      <c r="N142" s="1117">
        <v>45832</v>
      </c>
      <c r="O142" s="1117">
        <v>45828</v>
      </c>
      <c r="P142" s="1137"/>
      <c r="Q142" s="1285" t="s">
        <v>1480</v>
      </c>
      <c r="R142" s="1363" t="s">
        <v>722</v>
      </c>
      <c r="S142" s="1147" t="s">
        <v>723</v>
      </c>
      <c r="T142" s="1281" t="s">
        <v>58</v>
      </c>
      <c r="U142" s="1281" t="s">
        <v>58</v>
      </c>
      <c r="V142" s="1282"/>
      <c r="W142" s="1148" t="s">
        <v>725</v>
      </c>
      <c r="X142" s="1150" t="s">
        <v>350</v>
      </c>
      <c r="Y142" s="1292">
        <v>1.7072</v>
      </c>
      <c r="Z142" s="1166">
        <f t="shared" si="37"/>
        <v>2048.64</v>
      </c>
      <c r="AA142" s="1120" t="s">
        <v>726</v>
      </c>
      <c r="AB142" s="1137" t="s">
        <v>63</v>
      </c>
      <c r="AC142" s="1137" t="s">
        <v>2040</v>
      </c>
      <c r="AD142" s="1290">
        <v>1200</v>
      </c>
      <c r="AE142" s="1289">
        <f t="shared" si="38"/>
        <v>0</v>
      </c>
      <c r="AF142" s="1294" t="s">
        <v>58</v>
      </c>
      <c r="AG142" s="1291"/>
      <c r="AH142" s="1188">
        <f t="shared" ref="AH142:AH148" si="41">J142/3</f>
        <v>400</v>
      </c>
      <c r="AI142" s="1188">
        <f t="shared" ref="AI142:AI148" si="42">J142/3</f>
        <v>400</v>
      </c>
      <c r="AJ142" s="1188">
        <f t="shared" ref="AJ142:AJ148" si="43">J142/3</f>
        <v>400</v>
      </c>
      <c r="AK142" s="1310"/>
      <c r="AL142" s="1311"/>
      <c r="AM142" s="1311"/>
      <c r="AN142" s="1312"/>
      <c r="AO142" s="1312"/>
      <c r="AP142" s="1312"/>
      <c r="AQ142" s="1312"/>
      <c r="AR142" s="1319">
        <f t="shared" si="36"/>
        <v>1200</v>
      </c>
      <c r="AS142" s="1332"/>
      <c r="AT142" s="1333"/>
      <c r="AU142" s="1228"/>
      <c r="AV142" s="1228"/>
      <c r="AW142" s="1214">
        <f t="shared" ref="AW142:AW148" si="44">J142</f>
        <v>1200</v>
      </c>
      <c r="AX142" s="1228"/>
      <c r="AY142" s="1312"/>
      <c r="AZ142" s="1312"/>
      <c r="BA142" s="1319"/>
      <c r="BB142" s="1319"/>
      <c r="BC142" s="1338"/>
      <c r="BD142" s="1214"/>
      <c r="BE142" s="1346"/>
      <c r="BF142" s="1346"/>
      <c r="BG142" s="1344"/>
      <c r="BH142" s="1347"/>
      <c r="BI142" s="1356"/>
      <c r="BJ142" s="1263"/>
      <c r="BK142" s="1263"/>
    </row>
    <row r="143" s="1053" customFormat="1" ht="31" customHeight="1" spans="1:63">
      <c r="A143" s="1265">
        <v>45792</v>
      </c>
      <c r="B143" s="1266" t="s">
        <v>1608</v>
      </c>
      <c r="C143" s="1267" t="s">
        <v>752</v>
      </c>
      <c r="D143" s="1266">
        <v>4500166516</v>
      </c>
      <c r="E143" s="1269"/>
      <c r="F143" s="1266" t="s">
        <v>2496</v>
      </c>
      <c r="G143" s="1101" t="s">
        <v>2118</v>
      </c>
      <c r="H143" s="1101" t="s">
        <v>2118</v>
      </c>
      <c r="I143" s="1098" t="s">
        <v>2119</v>
      </c>
      <c r="J143" s="1120">
        <v>120</v>
      </c>
      <c r="K143" s="1097">
        <v>0</v>
      </c>
      <c r="L143" s="1097">
        <v>12</v>
      </c>
      <c r="M143" s="1114">
        <f t="shared" si="22"/>
        <v>10</v>
      </c>
      <c r="N143" s="1117">
        <v>45838</v>
      </c>
      <c r="O143" s="1117">
        <v>45834</v>
      </c>
      <c r="P143" s="1272"/>
      <c r="Q143" s="1285" t="s">
        <v>1480</v>
      </c>
      <c r="R143" s="1280" t="s">
        <v>2497</v>
      </c>
      <c r="S143" s="1147" t="s">
        <v>755</v>
      </c>
      <c r="T143" s="1281" t="s">
        <v>58</v>
      </c>
      <c r="U143" s="1281" t="s">
        <v>58</v>
      </c>
      <c r="V143" s="1282" t="s">
        <v>756</v>
      </c>
      <c r="W143" s="1148" t="s">
        <v>1611</v>
      </c>
      <c r="X143" s="1150" t="s">
        <v>758</v>
      </c>
      <c r="Y143" s="1292">
        <v>2.9668</v>
      </c>
      <c r="Z143" s="1166">
        <f t="shared" si="37"/>
        <v>356.016</v>
      </c>
      <c r="AA143" s="1289" t="s">
        <v>759</v>
      </c>
      <c r="AB143" s="1367" t="s">
        <v>63</v>
      </c>
      <c r="AC143" s="1137" t="s">
        <v>2040</v>
      </c>
      <c r="AD143" s="1290">
        <v>120</v>
      </c>
      <c r="AE143" s="1289">
        <f t="shared" si="38"/>
        <v>0</v>
      </c>
      <c r="AF143" s="1294" t="s">
        <v>58</v>
      </c>
      <c r="AG143" s="1291"/>
      <c r="AH143" s="1188">
        <f t="shared" si="41"/>
        <v>40</v>
      </c>
      <c r="AI143" s="1188">
        <f t="shared" si="42"/>
        <v>40</v>
      </c>
      <c r="AJ143" s="1188">
        <f t="shared" si="43"/>
        <v>40</v>
      </c>
      <c r="AK143" s="1310"/>
      <c r="AL143" s="1311"/>
      <c r="AM143" s="1311"/>
      <c r="AN143" s="1312"/>
      <c r="AO143" s="1312"/>
      <c r="AP143" s="1312"/>
      <c r="AQ143" s="1312"/>
      <c r="AR143" s="1319">
        <f t="shared" si="36"/>
        <v>120</v>
      </c>
      <c r="AS143" s="1332"/>
      <c r="AT143" s="1333"/>
      <c r="AU143" s="1228"/>
      <c r="AV143" s="1228"/>
      <c r="AW143" s="1214">
        <f t="shared" si="44"/>
        <v>120</v>
      </c>
      <c r="AX143" s="1228"/>
      <c r="AY143" s="1312"/>
      <c r="AZ143" s="1312"/>
      <c r="BA143" s="1319"/>
      <c r="BB143" s="1319"/>
      <c r="BC143" s="1338"/>
      <c r="BD143" s="1214"/>
      <c r="BE143" s="1346"/>
      <c r="BF143" s="1346"/>
      <c r="BG143" s="1344"/>
      <c r="BH143" s="1347"/>
      <c r="BI143" s="1356"/>
      <c r="BJ143" s="1263"/>
      <c r="BK143" s="1263"/>
    </row>
    <row r="144" s="1053" customFormat="1" ht="31" customHeight="1" spans="1:63">
      <c r="A144" s="1265">
        <v>45797</v>
      </c>
      <c r="B144" s="1266" t="s">
        <v>2304</v>
      </c>
      <c r="C144" s="1267" t="s">
        <v>258</v>
      </c>
      <c r="D144" s="1266">
        <v>4500166977</v>
      </c>
      <c r="E144" s="1269">
        <v>20846868</v>
      </c>
      <c r="F144" s="1266" t="s">
        <v>2498</v>
      </c>
      <c r="G144" s="1101" t="s">
        <v>2118</v>
      </c>
      <c r="H144" s="1101" t="s">
        <v>2118</v>
      </c>
      <c r="I144" s="1098" t="s">
        <v>2119</v>
      </c>
      <c r="J144" s="1120">
        <v>108</v>
      </c>
      <c r="K144" s="1097">
        <v>0</v>
      </c>
      <c r="L144" s="1097">
        <v>12</v>
      </c>
      <c r="M144" s="1114">
        <f t="shared" si="22"/>
        <v>9</v>
      </c>
      <c r="N144" s="1117">
        <v>45838</v>
      </c>
      <c r="O144" s="1117">
        <v>45834</v>
      </c>
      <c r="P144" s="1272"/>
      <c r="Q144" s="1285" t="s">
        <v>1480</v>
      </c>
      <c r="R144" s="1280" t="s">
        <v>2499</v>
      </c>
      <c r="S144" s="1147" t="s">
        <v>1710</v>
      </c>
      <c r="T144" s="1281"/>
      <c r="U144" s="1281" t="s">
        <v>2500</v>
      </c>
      <c r="V144" s="1282" t="s">
        <v>2501</v>
      </c>
      <c r="W144" s="1148" t="s">
        <v>2432</v>
      </c>
      <c r="X144" s="1150" t="s">
        <v>2302</v>
      </c>
      <c r="Y144" s="1292">
        <v>3.0761</v>
      </c>
      <c r="Z144" s="1166">
        <f t="shared" si="37"/>
        <v>332.2188</v>
      </c>
      <c r="AA144" s="1289" t="s">
        <v>2502</v>
      </c>
      <c r="AB144" s="1137" t="s">
        <v>63</v>
      </c>
      <c r="AC144" s="1137" t="s">
        <v>2040</v>
      </c>
      <c r="AD144" s="1290">
        <v>108</v>
      </c>
      <c r="AE144" s="1289">
        <f t="shared" si="38"/>
        <v>0</v>
      </c>
      <c r="AF144" s="1291" t="s">
        <v>327</v>
      </c>
      <c r="AG144" s="1291"/>
      <c r="AH144" s="1188">
        <f t="shared" si="41"/>
        <v>36</v>
      </c>
      <c r="AI144" s="1188">
        <f t="shared" si="42"/>
        <v>36</v>
      </c>
      <c r="AJ144" s="1188">
        <f t="shared" si="43"/>
        <v>36</v>
      </c>
      <c r="AK144" s="1304"/>
      <c r="AL144" s="1308"/>
      <c r="AM144" s="1308"/>
      <c r="AN144" s="1309"/>
      <c r="AO144" s="1309"/>
      <c r="AP144" s="1309"/>
      <c r="AQ144" s="1309"/>
      <c r="AR144" s="1319">
        <f t="shared" si="36"/>
        <v>108</v>
      </c>
      <c r="AS144" s="1330"/>
      <c r="AT144" s="1331"/>
      <c r="AU144" s="1225"/>
      <c r="AV144" s="1225"/>
      <c r="AW144" s="1214">
        <f t="shared" si="44"/>
        <v>108</v>
      </c>
      <c r="AX144" s="1225"/>
      <c r="AY144" s="1309"/>
      <c r="AZ144" s="1309"/>
      <c r="BA144" s="1319"/>
      <c r="BB144" s="1319"/>
      <c r="BC144" s="1338"/>
      <c r="BD144" s="1214"/>
      <c r="BE144" s="1346"/>
      <c r="BF144" s="1346"/>
      <c r="BG144" s="1344"/>
      <c r="BH144" s="1347"/>
      <c r="BI144" s="1355"/>
      <c r="BJ144" s="1054"/>
      <c r="BK144" s="1054"/>
    </row>
    <row r="145" s="1053" customFormat="1" ht="31" customHeight="1" spans="1:63">
      <c r="A145" s="1265">
        <v>45797</v>
      </c>
      <c r="B145" s="1266" t="s">
        <v>2297</v>
      </c>
      <c r="C145" s="1267" t="s">
        <v>876</v>
      </c>
      <c r="D145" s="1266">
        <v>4500166286</v>
      </c>
      <c r="E145" s="1269">
        <v>20846867</v>
      </c>
      <c r="F145" s="1266" t="s">
        <v>2503</v>
      </c>
      <c r="G145" s="1101" t="s">
        <v>2118</v>
      </c>
      <c r="H145" s="1101" t="s">
        <v>2118</v>
      </c>
      <c r="I145" s="1098" t="s">
        <v>2119</v>
      </c>
      <c r="J145" s="1120">
        <v>816</v>
      </c>
      <c r="K145" s="1097">
        <v>0</v>
      </c>
      <c r="L145" s="1097">
        <v>12</v>
      </c>
      <c r="M145" s="1114">
        <f t="shared" si="22"/>
        <v>68</v>
      </c>
      <c r="N145" s="1117">
        <v>45838</v>
      </c>
      <c r="O145" s="1117">
        <v>45834</v>
      </c>
      <c r="P145" s="1272"/>
      <c r="Q145" s="1285" t="s">
        <v>1480</v>
      </c>
      <c r="R145" s="1280" t="s">
        <v>2499</v>
      </c>
      <c r="S145" s="1147" t="s">
        <v>1710</v>
      </c>
      <c r="T145" s="1281"/>
      <c r="U145" s="1281" t="s">
        <v>2500</v>
      </c>
      <c r="V145" s="1282" t="s">
        <v>2501</v>
      </c>
      <c r="W145" s="1148" t="s">
        <v>2504</v>
      </c>
      <c r="X145" s="1150" t="s">
        <v>2302</v>
      </c>
      <c r="Y145" s="1292">
        <v>2.9547</v>
      </c>
      <c r="Z145" s="1166">
        <f t="shared" si="37"/>
        <v>2411.0352</v>
      </c>
      <c r="AA145" s="1289" t="s">
        <v>2505</v>
      </c>
      <c r="AB145" s="1137" t="s">
        <v>63</v>
      </c>
      <c r="AC145" s="1137" t="s">
        <v>2040</v>
      </c>
      <c r="AD145" s="1290">
        <v>816</v>
      </c>
      <c r="AE145" s="1289">
        <f t="shared" si="38"/>
        <v>0</v>
      </c>
      <c r="AF145" s="1291" t="s">
        <v>327</v>
      </c>
      <c r="AG145" s="1291"/>
      <c r="AH145" s="1188">
        <f t="shared" si="41"/>
        <v>272</v>
      </c>
      <c r="AI145" s="1188">
        <f t="shared" si="42"/>
        <v>272</v>
      </c>
      <c r="AJ145" s="1188">
        <f t="shared" si="43"/>
        <v>272</v>
      </c>
      <c r="AK145" s="1304"/>
      <c r="AL145" s="1308"/>
      <c r="AM145" s="1308"/>
      <c r="AN145" s="1309"/>
      <c r="AO145" s="1309"/>
      <c r="AP145" s="1309"/>
      <c r="AQ145" s="1309"/>
      <c r="AR145" s="1319">
        <f t="shared" si="36"/>
        <v>816</v>
      </c>
      <c r="AS145" s="1330"/>
      <c r="AT145" s="1331"/>
      <c r="AU145" s="1225"/>
      <c r="AV145" s="1225"/>
      <c r="AW145" s="1214">
        <f t="shared" si="44"/>
        <v>816</v>
      </c>
      <c r="AX145" s="1225"/>
      <c r="AY145" s="1309"/>
      <c r="AZ145" s="1309"/>
      <c r="BA145" s="1319"/>
      <c r="BB145" s="1319"/>
      <c r="BC145" s="1338"/>
      <c r="BD145" s="1214"/>
      <c r="BE145" s="1346"/>
      <c r="BF145" s="1346"/>
      <c r="BG145" s="1344"/>
      <c r="BH145" s="1347"/>
      <c r="BI145" s="1355"/>
      <c r="BJ145" s="1054"/>
      <c r="BK145" s="1054"/>
    </row>
    <row r="146" s="1053" customFormat="1" ht="31" customHeight="1" spans="1:63">
      <c r="A146" s="1265">
        <v>45826</v>
      </c>
      <c r="B146" s="1266" t="s">
        <v>2297</v>
      </c>
      <c r="C146" s="1267" t="s">
        <v>876</v>
      </c>
      <c r="D146" s="1266">
        <v>4500166286</v>
      </c>
      <c r="E146" s="1269">
        <v>20846867</v>
      </c>
      <c r="F146" s="1266" t="s">
        <v>2506</v>
      </c>
      <c r="G146" s="1101" t="s">
        <v>2118</v>
      </c>
      <c r="H146" s="1101" t="s">
        <v>2118</v>
      </c>
      <c r="I146" s="1098" t="s">
        <v>2119</v>
      </c>
      <c r="J146" s="1120">
        <v>576</v>
      </c>
      <c r="K146" s="1097">
        <v>0</v>
      </c>
      <c r="L146" s="1097">
        <v>12</v>
      </c>
      <c r="M146" s="1114">
        <f t="shared" si="22"/>
        <v>48</v>
      </c>
      <c r="N146" s="1117">
        <v>45838</v>
      </c>
      <c r="O146" s="1117">
        <v>45834</v>
      </c>
      <c r="P146" s="1272"/>
      <c r="Q146" s="1285" t="s">
        <v>1480</v>
      </c>
      <c r="R146" s="1280" t="s">
        <v>2499</v>
      </c>
      <c r="S146" s="1147" t="s">
        <v>1710</v>
      </c>
      <c r="T146" s="1281"/>
      <c r="U146" s="1281" t="s">
        <v>2500</v>
      </c>
      <c r="V146" s="1282" t="s">
        <v>2501</v>
      </c>
      <c r="W146" s="1148" t="s">
        <v>2504</v>
      </c>
      <c r="X146" s="1150" t="s">
        <v>2302</v>
      </c>
      <c r="Y146" s="1292">
        <v>2.9547</v>
      </c>
      <c r="Z146" s="1166">
        <f t="shared" si="37"/>
        <v>1701.9072</v>
      </c>
      <c r="AA146" s="1289" t="s">
        <v>2507</v>
      </c>
      <c r="AB146" s="1137" t="s">
        <v>63</v>
      </c>
      <c r="AC146" s="1137" t="s">
        <v>2040</v>
      </c>
      <c r="AD146" s="1290">
        <v>576</v>
      </c>
      <c r="AE146" s="1289">
        <f t="shared" si="38"/>
        <v>0</v>
      </c>
      <c r="AF146" s="1291" t="s">
        <v>327</v>
      </c>
      <c r="AG146" s="1291"/>
      <c r="AH146" s="1188">
        <f t="shared" si="41"/>
        <v>192</v>
      </c>
      <c r="AI146" s="1188">
        <f t="shared" si="42"/>
        <v>192</v>
      </c>
      <c r="AJ146" s="1188">
        <f t="shared" si="43"/>
        <v>192</v>
      </c>
      <c r="AK146" s="1304"/>
      <c r="AL146" s="1308"/>
      <c r="AM146" s="1308"/>
      <c r="AN146" s="1309"/>
      <c r="AO146" s="1309"/>
      <c r="AP146" s="1309"/>
      <c r="AQ146" s="1309"/>
      <c r="AR146" s="1319">
        <f t="shared" si="36"/>
        <v>576</v>
      </c>
      <c r="AS146" s="1330"/>
      <c r="AT146" s="1331"/>
      <c r="AU146" s="1225"/>
      <c r="AV146" s="1225"/>
      <c r="AW146" s="1214">
        <f t="shared" si="44"/>
        <v>576</v>
      </c>
      <c r="AX146" s="1225"/>
      <c r="AY146" s="1309"/>
      <c r="AZ146" s="1309"/>
      <c r="BA146" s="1319"/>
      <c r="BB146" s="1319"/>
      <c r="BC146" s="1338"/>
      <c r="BD146" s="1214"/>
      <c r="BE146" s="1346"/>
      <c r="BF146" s="1346"/>
      <c r="BG146" s="1344"/>
      <c r="BH146" s="1347"/>
      <c r="BI146" s="1355"/>
      <c r="BJ146" s="1054"/>
      <c r="BK146" s="1054"/>
    </row>
    <row r="147" s="1053" customFormat="1" ht="31" customHeight="1" spans="1:63">
      <c r="A147" s="1265">
        <v>45791</v>
      </c>
      <c r="B147" s="1266" t="s">
        <v>2508</v>
      </c>
      <c r="C147" s="1267" t="s">
        <v>2509</v>
      </c>
      <c r="D147" s="1266">
        <v>4500165462</v>
      </c>
      <c r="E147" s="1269" t="s">
        <v>2510</v>
      </c>
      <c r="F147" s="1266" t="s">
        <v>2511</v>
      </c>
      <c r="G147" s="1359" t="s">
        <v>2118</v>
      </c>
      <c r="H147" s="1101" t="s">
        <v>2118</v>
      </c>
      <c r="I147" s="1098" t="s">
        <v>2119</v>
      </c>
      <c r="J147" s="1120">
        <v>252</v>
      </c>
      <c r="K147" s="1097">
        <v>0</v>
      </c>
      <c r="L147" s="1097">
        <v>12</v>
      </c>
      <c r="M147" s="1114">
        <f t="shared" si="22"/>
        <v>21</v>
      </c>
      <c r="N147" s="1117">
        <v>45842</v>
      </c>
      <c r="O147" s="1117">
        <v>45839</v>
      </c>
      <c r="P147" s="1285"/>
      <c r="Q147" s="1285" t="s">
        <v>1480</v>
      </c>
      <c r="R147" s="1280" t="s">
        <v>2512</v>
      </c>
      <c r="S147" s="1147" t="s">
        <v>2513</v>
      </c>
      <c r="T147" s="1281" t="s">
        <v>58</v>
      </c>
      <c r="U147" s="1281" t="s">
        <v>2514</v>
      </c>
      <c r="V147" s="1282" t="s">
        <v>2515</v>
      </c>
      <c r="W147" s="1287" t="s">
        <v>2516</v>
      </c>
      <c r="X147" s="1150" t="s">
        <v>2517</v>
      </c>
      <c r="Y147" s="1292">
        <v>2.9668</v>
      </c>
      <c r="Z147" s="1166">
        <f t="shared" si="37"/>
        <v>747.6336</v>
      </c>
      <c r="AA147" s="1289" t="s">
        <v>2518</v>
      </c>
      <c r="AB147" s="1137" t="s">
        <v>63</v>
      </c>
      <c r="AC147" s="1137" t="s">
        <v>2040</v>
      </c>
      <c r="AD147" s="1290">
        <v>252</v>
      </c>
      <c r="AE147" s="1289">
        <f t="shared" si="38"/>
        <v>0</v>
      </c>
      <c r="AF147" s="1294" t="s">
        <v>327</v>
      </c>
      <c r="AG147" s="1291"/>
      <c r="AH147" s="1188">
        <f t="shared" si="41"/>
        <v>84</v>
      </c>
      <c r="AI147" s="1188">
        <f t="shared" si="42"/>
        <v>84</v>
      </c>
      <c r="AJ147" s="1188">
        <f t="shared" si="43"/>
        <v>84</v>
      </c>
      <c r="AK147" s="1310"/>
      <c r="AL147" s="1311"/>
      <c r="AM147" s="1311"/>
      <c r="AN147" s="1312"/>
      <c r="AO147" s="1312"/>
      <c r="AP147" s="1312"/>
      <c r="AQ147" s="1312"/>
      <c r="AR147" s="1319">
        <f t="shared" si="36"/>
        <v>252</v>
      </c>
      <c r="AS147" s="1320"/>
      <c r="AT147" s="1321"/>
      <c r="AU147" s="1322"/>
      <c r="AV147" s="1322"/>
      <c r="AW147" s="1214">
        <f t="shared" si="44"/>
        <v>252</v>
      </c>
      <c r="AX147" s="1228"/>
      <c r="AY147" s="1312"/>
      <c r="AZ147" s="1312"/>
      <c r="BA147" s="1319"/>
      <c r="BB147" s="1319"/>
      <c r="BC147" s="1338"/>
      <c r="BD147" s="1214"/>
      <c r="BE147" s="1346"/>
      <c r="BF147" s="1346"/>
      <c r="BG147" s="1344"/>
      <c r="BH147" s="1347"/>
      <c r="BI147" s="1356"/>
      <c r="BJ147" s="1263"/>
      <c r="BK147" s="1263"/>
    </row>
    <row r="148" s="1053" customFormat="1" ht="31" customHeight="1" spans="1:63">
      <c r="A148" s="1265">
        <v>45740</v>
      </c>
      <c r="B148" s="1266" t="s">
        <v>230</v>
      </c>
      <c r="C148" s="1267" t="s">
        <v>91</v>
      </c>
      <c r="D148" s="1266">
        <v>4500161262</v>
      </c>
      <c r="E148" s="1269">
        <v>60188354</v>
      </c>
      <c r="F148" s="1266" t="s">
        <v>2519</v>
      </c>
      <c r="G148" s="1101" t="s">
        <v>2118</v>
      </c>
      <c r="H148" s="1101" t="s">
        <v>2118</v>
      </c>
      <c r="I148" s="1098" t="s">
        <v>2119</v>
      </c>
      <c r="J148" s="1120">
        <v>3600</v>
      </c>
      <c r="K148" s="1097">
        <v>0</v>
      </c>
      <c r="L148" s="1097">
        <v>12</v>
      </c>
      <c r="M148" s="1114">
        <f t="shared" si="22"/>
        <v>300</v>
      </c>
      <c r="N148" s="1117">
        <v>45838</v>
      </c>
      <c r="O148" s="1117">
        <v>45834</v>
      </c>
      <c r="P148" s="1285"/>
      <c r="Q148" s="1285" t="s">
        <v>1480</v>
      </c>
      <c r="R148" s="1280" t="s">
        <v>2520</v>
      </c>
      <c r="S148" s="1147" t="s">
        <v>2120</v>
      </c>
      <c r="T148" s="1281" t="s">
        <v>58</v>
      </c>
      <c r="U148" s="1281" t="s">
        <v>2521</v>
      </c>
      <c r="V148" s="1282" t="s">
        <v>235</v>
      </c>
      <c r="W148" s="1148" t="s">
        <v>2192</v>
      </c>
      <c r="X148" s="1150" t="s">
        <v>681</v>
      </c>
      <c r="Y148" s="1292">
        <v>2.691</v>
      </c>
      <c r="Z148" s="1166">
        <f t="shared" si="37"/>
        <v>9687.6</v>
      </c>
      <c r="AA148" s="1120" t="s">
        <v>750</v>
      </c>
      <c r="AB148" s="1137" t="s">
        <v>63</v>
      </c>
      <c r="AC148" s="1137" t="s">
        <v>2040</v>
      </c>
      <c r="AD148" s="1290">
        <v>3600</v>
      </c>
      <c r="AE148" s="1289">
        <f t="shared" si="38"/>
        <v>0</v>
      </c>
      <c r="AF148" s="1291" t="s">
        <v>1485</v>
      </c>
      <c r="AG148" s="1291"/>
      <c r="AH148" s="1188">
        <f t="shared" si="41"/>
        <v>1200</v>
      </c>
      <c r="AI148" s="1188">
        <f t="shared" si="42"/>
        <v>1200</v>
      </c>
      <c r="AJ148" s="1188">
        <f t="shared" si="43"/>
        <v>1200</v>
      </c>
      <c r="AK148" s="1008"/>
      <c r="AL148" s="1009"/>
      <c r="AM148" s="1009"/>
      <c r="AN148" s="1010"/>
      <c r="AO148" s="1010"/>
      <c r="AP148" s="1010"/>
      <c r="AQ148" s="1010"/>
      <c r="AR148" s="1319">
        <f t="shared" si="36"/>
        <v>3600</v>
      </c>
      <c r="AS148" s="1029"/>
      <c r="AT148" s="1030"/>
      <c r="AU148" s="1031"/>
      <c r="AV148" s="1031"/>
      <c r="AW148" s="1214">
        <f t="shared" si="44"/>
        <v>3600</v>
      </c>
      <c r="AX148" s="1031"/>
      <c r="AY148" s="1010"/>
      <c r="AZ148" s="1010"/>
      <c r="BA148" s="1319"/>
      <c r="BB148" s="1319"/>
      <c r="BC148" s="1338"/>
      <c r="BD148" s="1214"/>
      <c r="BE148" s="1346"/>
      <c r="BF148" s="1346"/>
      <c r="BG148" s="1344"/>
      <c r="BH148" s="1347"/>
      <c r="BI148" s="1047"/>
      <c r="BJ148" s="1048"/>
      <c r="BK148" s="1048"/>
    </row>
    <row r="149" s="1053" customFormat="1" ht="31" customHeight="1" spans="1:63">
      <c r="A149" s="1265">
        <v>45806</v>
      </c>
      <c r="B149" s="1266" t="s">
        <v>1486</v>
      </c>
      <c r="C149" s="1267" t="s">
        <v>398</v>
      </c>
      <c r="D149" s="1266">
        <v>4500168266</v>
      </c>
      <c r="E149" s="1269" t="s">
        <v>2522</v>
      </c>
      <c r="F149" s="1266" t="s">
        <v>2523</v>
      </c>
      <c r="G149" s="1359" t="s">
        <v>2452</v>
      </c>
      <c r="H149" s="1101" t="s">
        <v>2452</v>
      </c>
      <c r="I149" s="1361" t="s">
        <v>2052</v>
      </c>
      <c r="J149" s="1120">
        <v>24</v>
      </c>
      <c r="K149" s="1097">
        <v>0</v>
      </c>
      <c r="L149" s="1097">
        <v>24</v>
      </c>
      <c r="M149" s="1114">
        <f t="shared" si="22"/>
        <v>1</v>
      </c>
      <c r="N149" s="1117">
        <v>45849</v>
      </c>
      <c r="O149" s="1117">
        <v>45845</v>
      </c>
      <c r="P149" s="1272" t="s">
        <v>2524</v>
      </c>
      <c r="Q149" s="1285" t="s">
        <v>1480</v>
      </c>
      <c r="R149" s="1280"/>
      <c r="S149" s="1147" t="s">
        <v>1652</v>
      </c>
      <c r="T149" s="1281"/>
      <c r="U149" s="1281" t="s">
        <v>2525</v>
      </c>
      <c r="V149" s="1282" t="s">
        <v>2526</v>
      </c>
      <c r="W149" s="1148" t="s">
        <v>2527</v>
      </c>
      <c r="X149" s="1150" t="s">
        <v>220</v>
      </c>
      <c r="Y149" s="1292">
        <v>2.9197</v>
      </c>
      <c r="Z149" s="1166">
        <f t="shared" si="37"/>
        <v>70.0728</v>
      </c>
      <c r="AA149" s="1289" t="s">
        <v>2528</v>
      </c>
      <c r="AB149" s="1137" t="s">
        <v>63</v>
      </c>
      <c r="AC149" s="1137" t="s">
        <v>2040</v>
      </c>
      <c r="AD149" s="1290">
        <v>24</v>
      </c>
      <c r="AE149" s="1289">
        <f t="shared" si="38"/>
        <v>0</v>
      </c>
      <c r="AF149" s="1291" t="s">
        <v>327</v>
      </c>
      <c r="AG149" s="1291"/>
      <c r="AH149" s="1188">
        <f>J149</f>
        <v>24</v>
      </c>
      <c r="AI149" s="1188"/>
      <c r="AJ149" s="1188"/>
      <c r="AK149" s="1310"/>
      <c r="AL149" s="1311"/>
      <c r="AM149" s="1311"/>
      <c r="AN149" s="1312"/>
      <c r="AO149" s="1312"/>
      <c r="AP149" s="1312"/>
      <c r="AQ149" s="1312"/>
      <c r="AR149" s="1319">
        <f t="shared" si="36"/>
        <v>24</v>
      </c>
      <c r="AS149" s="1332"/>
      <c r="AT149" s="1333"/>
      <c r="AU149" s="1228"/>
      <c r="AV149" s="1228"/>
      <c r="AW149" s="1214"/>
      <c r="AX149" s="1228"/>
      <c r="AY149" s="1312"/>
      <c r="AZ149" s="1312"/>
      <c r="BA149" s="1319"/>
      <c r="BB149" s="1319"/>
      <c r="BC149" s="1338"/>
      <c r="BD149" s="1214"/>
      <c r="BE149" s="1346"/>
      <c r="BF149" s="1346">
        <f>J149</f>
        <v>24</v>
      </c>
      <c r="BG149" s="1344"/>
      <c r="BH149" s="1347"/>
      <c r="BI149" s="1356"/>
      <c r="BJ149" s="1263"/>
      <c r="BK149" s="1263"/>
    </row>
    <row r="150" s="1053" customFormat="1" ht="31" customHeight="1" spans="1:63">
      <c r="A150" s="1265">
        <v>45806</v>
      </c>
      <c r="B150" s="1266" t="s">
        <v>1486</v>
      </c>
      <c r="C150" s="1267" t="s">
        <v>398</v>
      </c>
      <c r="D150" s="1266">
        <v>4500168266</v>
      </c>
      <c r="E150" s="1269" t="s">
        <v>2529</v>
      </c>
      <c r="F150" s="1266" t="s">
        <v>2530</v>
      </c>
      <c r="G150" s="1359" t="s">
        <v>2452</v>
      </c>
      <c r="H150" s="1101" t="s">
        <v>2452</v>
      </c>
      <c r="I150" s="1361" t="s">
        <v>2052</v>
      </c>
      <c r="J150" s="1120">
        <v>24</v>
      </c>
      <c r="K150" s="1097">
        <v>0</v>
      </c>
      <c r="L150" s="1097">
        <v>24</v>
      </c>
      <c r="M150" s="1114">
        <f t="shared" si="22"/>
        <v>1</v>
      </c>
      <c r="N150" s="1117">
        <v>45849</v>
      </c>
      <c r="O150" s="1117">
        <v>45845</v>
      </c>
      <c r="P150" s="1272" t="s">
        <v>2524</v>
      </c>
      <c r="Q150" s="1285" t="s">
        <v>1480</v>
      </c>
      <c r="R150" s="1280"/>
      <c r="S150" s="1147" t="s">
        <v>1652</v>
      </c>
      <c r="T150" s="1281"/>
      <c r="U150" s="1281" t="s">
        <v>2525</v>
      </c>
      <c r="V150" s="1282" t="s">
        <v>2526</v>
      </c>
      <c r="W150" s="1148" t="s">
        <v>2527</v>
      </c>
      <c r="X150" s="1150" t="s">
        <v>220</v>
      </c>
      <c r="Y150" s="1292">
        <v>2.9197</v>
      </c>
      <c r="Z150" s="1166">
        <f t="shared" si="37"/>
        <v>70.0728</v>
      </c>
      <c r="AA150" s="1289" t="s">
        <v>2528</v>
      </c>
      <c r="AB150" s="1137" t="s">
        <v>63</v>
      </c>
      <c r="AC150" s="1137" t="s">
        <v>2040</v>
      </c>
      <c r="AD150" s="1290">
        <v>24</v>
      </c>
      <c r="AE150" s="1289">
        <f t="shared" si="38"/>
        <v>0</v>
      </c>
      <c r="AF150" s="1291" t="s">
        <v>327</v>
      </c>
      <c r="AG150" s="1291"/>
      <c r="AH150" s="1188">
        <f>J150</f>
        <v>24</v>
      </c>
      <c r="AI150" s="1188"/>
      <c r="AJ150" s="1188"/>
      <c r="AK150" s="1310"/>
      <c r="AL150" s="1311"/>
      <c r="AM150" s="1311"/>
      <c r="AN150" s="1312"/>
      <c r="AO150" s="1312"/>
      <c r="AP150" s="1312"/>
      <c r="AQ150" s="1312"/>
      <c r="AR150" s="1319">
        <f t="shared" si="36"/>
        <v>24</v>
      </c>
      <c r="AS150" s="1332"/>
      <c r="AT150" s="1333"/>
      <c r="AU150" s="1228"/>
      <c r="AV150" s="1228"/>
      <c r="AW150" s="1214"/>
      <c r="AX150" s="1228"/>
      <c r="AY150" s="1312"/>
      <c r="AZ150" s="1312"/>
      <c r="BA150" s="1319"/>
      <c r="BB150" s="1319"/>
      <c r="BC150" s="1338"/>
      <c r="BD150" s="1214"/>
      <c r="BE150" s="1346"/>
      <c r="BF150" s="1346">
        <f>J150</f>
        <v>24</v>
      </c>
      <c r="BG150" s="1344"/>
      <c r="BH150" s="1347"/>
      <c r="BI150" s="1356"/>
      <c r="BJ150" s="1263"/>
      <c r="BK150" s="1263"/>
    </row>
    <row r="151" s="1053" customFormat="1" ht="31" customHeight="1" spans="1:63">
      <c r="A151" s="1265">
        <v>45806</v>
      </c>
      <c r="B151" s="1266" t="s">
        <v>1486</v>
      </c>
      <c r="C151" s="1267" t="s">
        <v>398</v>
      </c>
      <c r="D151" s="1266">
        <v>4500168266</v>
      </c>
      <c r="E151" s="1269" t="s">
        <v>2531</v>
      </c>
      <c r="F151" s="1266" t="s">
        <v>2532</v>
      </c>
      <c r="G151" s="1359" t="s">
        <v>2452</v>
      </c>
      <c r="H151" s="1101" t="s">
        <v>2452</v>
      </c>
      <c r="I151" s="1361" t="s">
        <v>2052</v>
      </c>
      <c r="J151" s="1120">
        <v>24</v>
      </c>
      <c r="K151" s="1097">
        <v>0</v>
      </c>
      <c r="L151" s="1097">
        <v>24</v>
      </c>
      <c r="M151" s="1114">
        <f t="shared" si="22"/>
        <v>1</v>
      </c>
      <c r="N151" s="1117">
        <v>45849</v>
      </c>
      <c r="O151" s="1117">
        <v>45845</v>
      </c>
      <c r="P151" s="1272" t="s">
        <v>2524</v>
      </c>
      <c r="Q151" s="1285" t="s">
        <v>1480</v>
      </c>
      <c r="R151" s="1280"/>
      <c r="S151" s="1147" t="s">
        <v>1652</v>
      </c>
      <c r="T151" s="1281"/>
      <c r="U151" s="1281" t="s">
        <v>2525</v>
      </c>
      <c r="V151" s="1282" t="s">
        <v>2526</v>
      </c>
      <c r="W151" s="1148" t="s">
        <v>2527</v>
      </c>
      <c r="X151" s="1150" t="s">
        <v>220</v>
      </c>
      <c r="Y151" s="1292">
        <v>2.9197</v>
      </c>
      <c r="Z151" s="1166">
        <f t="shared" si="37"/>
        <v>70.0728</v>
      </c>
      <c r="AA151" s="1289" t="s">
        <v>2528</v>
      </c>
      <c r="AB151" s="1137" t="s">
        <v>63</v>
      </c>
      <c r="AC151" s="1137" t="s">
        <v>2040</v>
      </c>
      <c r="AD151" s="1290">
        <v>24</v>
      </c>
      <c r="AE151" s="1289">
        <f t="shared" si="38"/>
        <v>0</v>
      </c>
      <c r="AF151" s="1291" t="s">
        <v>327</v>
      </c>
      <c r="AG151" s="1291"/>
      <c r="AH151" s="1188">
        <f>J151</f>
        <v>24</v>
      </c>
      <c r="AI151" s="1188"/>
      <c r="AJ151" s="1188"/>
      <c r="AK151" s="1310"/>
      <c r="AL151" s="1311"/>
      <c r="AM151" s="1311"/>
      <c r="AN151" s="1312"/>
      <c r="AO151" s="1312"/>
      <c r="AP151" s="1312"/>
      <c r="AQ151" s="1312"/>
      <c r="AR151" s="1319">
        <f t="shared" si="36"/>
        <v>24</v>
      </c>
      <c r="AS151" s="1332"/>
      <c r="AT151" s="1333"/>
      <c r="AU151" s="1228"/>
      <c r="AV151" s="1228"/>
      <c r="AW151" s="1214"/>
      <c r="AX151" s="1228"/>
      <c r="AY151" s="1312"/>
      <c r="AZ151" s="1312"/>
      <c r="BA151" s="1319"/>
      <c r="BB151" s="1319"/>
      <c r="BC151" s="1338"/>
      <c r="BD151" s="1214"/>
      <c r="BE151" s="1346"/>
      <c r="BF151" s="1346">
        <f>J151</f>
        <v>24</v>
      </c>
      <c r="BG151" s="1344"/>
      <c r="BH151" s="1347"/>
      <c r="BI151" s="1356"/>
      <c r="BJ151" s="1263"/>
      <c r="BK151" s="1263"/>
    </row>
    <row r="152" s="1053" customFormat="1" ht="31" customHeight="1" spans="1:63">
      <c r="A152" s="1265">
        <v>45806</v>
      </c>
      <c r="B152" s="1266" t="s">
        <v>1486</v>
      </c>
      <c r="C152" s="1267" t="s">
        <v>398</v>
      </c>
      <c r="D152" s="1266">
        <v>4500168266</v>
      </c>
      <c r="E152" s="1269" t="s">
        <v>2533</v>
      </c>
      <c r="F152" s="1266" t="s">
        <v>2534</v>
      </c>
      <c r="G152" s="1359" t="s">
        <v>2452</v>
      </c>
      <c r="H152" s="1101" t="s">
        <v>2452</v>
      </c>
      <c r="I152" s="1361" t="s">
        <v>2052</v>
      </c>
      <c r="J152" s="1120">
        <v>24</v>
      </c>
      <c r="K152" s="1097">
        <v>0</v>
      </c>
      <c r="L152" s="1097">
        <v>24</v>
      </c>
      <c r="M152" s="1114">
        <f t="shared" si="22"/>
        <v>1</v>
      </c>
      <c r="N152" s="1117">
        <v>45849</v>
      </c>
      <c r="O152" s="1117">
        <v>45845</v>
      </c>
      <c r="P152" s="1272" t="s">
        <v>2524</v>
      </c>
      <c r="Q152" s="1285" t="s">
        <v>1480</v>
      </c>
      <c r="R152" s="1280"/>
      <c r="S152" s="1147" t="s">
        <v>1652</v>
      </c>
      <c r="T152" s="1281"/>
      <c r="U152" s="1281" t="s">
        <v>2525</v>
      </c>
      <c r="V152" s="1282" t="s">
        <v>2526</v>
      </c>
      <c r="W152" s="1148" t="s">
        <v>2527</v>
      </c>
      <c r="X152" s="1150" t="s">
        <v>220</v>
      </c>
      <c r="Y152" s="1292">
        <v>2.9197</v>
      </c>
      <c r="Z152" s="1166">
        <f t="shared" si="37"/>
        <v>70.0728</v>
      </c>
      <c r="AA152" s="1289" t="s">
        <v>2528</v>
      </c>
      <c r="AB152" s="1137" t="s">
        <v>63</v>
      </c>
      <c r="AC152" s="1137" t="s">
        <v>2040</v>
      </c>
      <c r="AD152" s="1290">
        <v>24</v>
      </c>
      <c r="AE152" s="1289">
        <f t="shared" si="38"/>
        <v>0</v>
      </c>
      <c r="AF152" s="1291" t="s">
        <v>327</v>
      </c>
      <c r="AG152" s="1291"/>
      <c r="AH152" s="1188">
        <f>J152</f>
        <v>24</v>
      </c>
      <c r="AI152" s="1188"/>
      <c r="AJ152" s="1188"/>
      <c r="AK152" s="1310"/>
      <c r="AL152" s="1311"/>
      <c r="AM152" s="1311"/>
      <c r="AN152" s="1312"/>
      <c r="AO152" s="1312"/>
      <c r="AP152" s="1312"/>
      <c r="AQ152" s="1312"/>
      <c r="AR152" s="1319">
        <f t="shared" si="36"/>
        <v>24</v>
      </c>
      <c r="AS152" s="1332"/>
      <c r="AT152" s="1333"/>
      <c r="AU152" s="1228"/>
      <c r="AV152" s="1228"/>
      <c r="AW152" s="1214"/>
      <c r="AX152" s="1228"/>
      <c r="AY152" s="1312"/>
      <c r="AZ152" s="1312"/>
      <c r="BA152" s="1319"/>
      <c r="BB152" s="1319"/>
      <c r="BC152" s="1338"/>
      <c r="BD152" s="1214"/>
      <c r="BE152" s="1346"/>
      <c r="BF152" s="1346">
        <f>J152</f>
        <v>24</v>
      </c>
      <c r="BG152" s="1344"/>
      <c r="BH152" s="1347"/>
      <c r="BI152" s="1356"/>
      <c r="BJ152" s="1263"/>
      <c r="BK152" s="1263"/>
    </row>
    <row r="153" s="1053" customFormat="1" ht="31" customHeight="1" spans="1:63">
      <c r="A153" s="1265">
        <v>45813</v>
      </c>
      <c r="B153" s="1266" t="s">
        <v>2297</v>
      </c>
      <c r="C153" s="1267" t="s">
        <v>876</v>
      </c>
      <c r="D153" s="1266">
        <v>4500169040</v>
      </c>
      <c r="E153" s="1269">
        <v>20882951</v>
      </c>
      <c r="F153" s="1360" t="s">
        <v>2535</v>
      </c>
      <c r="G153" s="1097" t="s">
        <v>2118</v>
      </c>
      <c r="H153" s="1097" t="s">
        <v>2118</v>
      </c>
      <c r="I153" s="1098" t="s">
        <v>2119</v>
      </c>
      <c r="J153" s="1120">
        <v>1500</v>
      </c>
      <c r="K153" s="1097">
        <v>0</v>
      </c>
      <c r="L153" s="1097">
        <v>12</v>
      </c>
      <c r="M153" s="1114">
        <f t="shared" si="22"/>
        <v>125</v>
      </c>
      <c r="N153" s="1117">
        <v>45852</v>
      </c>
      <c r="O153" s="1117">
        <v>45848</v>
      </c>
      <c r="P153" s="1362" t="s">
        <v>2416</v>
      </c>
      <c r="Q153" s="1285" t="s">
        <v>1480</v>
      </c>
      <c r="R153" s="1280"/>
      <c r="S153" s="1147" t="s">
        <v>2536</v>
      </c>
      <c r="T153" s="1281"/>
      <c r="U153" s="1281" t="s">
        <v>2537</v>
      </c>
      <c r="V153" s="1282" t="s">
        <v>2501</v>
      </c>
      <c r="W153" s="1148" t="s">
        <v>2434</v>
      </c>
      <c r="X153" s="1150" t="s">
        <v>2302</v>
      </c>
      <c r="Y153" s="1292">
        <v>2.785</v>
      </c>
      <c r="Z153" s="1166">
        <f t="shared" si="37"/>
        <v>4177.5</v>
      </c>
      <c r="AA153" s="1289" t="s">
        <v>2538</v>
      </c>
      <c r="AB153" s="1137" t="s">
        <v>63</v>
      </c>
      <c r="AC153" s="1137" t="s">
        <v>2040</v>
      </c>
      <c r="AD153" s="1290">
        <v>1500</v>
      </c>
      <c r="AE153" s="1289">
        <f t="shared" si="38"/>
        <v>0</v>
      </c>
      <c r="AF153" s="1291" t="s">
        <v>327</v>
      </c>
      <c r="AG153" s="1291"/>
      <c r="AH153" s="1188">
        <f>J153/3</f>
        <v>500</v>
      </c>
      <c r="AI153" s="1188">
        <f>J153/3</f>
        <v>500</v>
      </c>
      <c r="AJ153" s="1188">
        <f>J153/3</f>
        <v>500</v>
      </c>
      <c r="AK153" s="1298"/>
      <c r="AL153" s="1299"/>
      <c r="AM153" s="1299"/>
      <c r="AN153" s="1300"/>
      <c r="AO153" s="1300"/>
      <c r="AP153" s="1300"/>
      <c r="AQ153" s="1300"/>
      <c r="AR153" s="1319">
        <f t="shared" si="36"/>
        <v>1500</v>
      </c>
      <c r="AS153" s="1320"/>
      <c r="AT153" s="1321"/>
      <c r="AU153" s="1322"/>
      <c r="AV153" s="1322"/>
      <c r="AW153" s="1214">
        <f>J153</f>
        <v>1500</v>
      </c>
      <c r="AX153" s="1322"/>
      <c r="AY153" s="1300"/>
      <c r="AZ153" s="1300"/>
      <c r="BA153" s="1319"/>
      <c r="BB153" s="1319"/>
      <c r="BC153" s="1338"/>
      <c r="BD153" s="1214"/>
      <c r="BE153" s="1346"/>
      <c r="BF153" s="1346"/>
      <c r="BG153" s="1344"/>
      <c r="BH153" s="1347"/>
      <c r="BI153" s="1348"/>
      <c r="BJ153" s="1262"/>
      <c r="BK153" s="1262"/>
    </row>
    <row r="154" s="1053" customFormat="1" ht="31" customHeight="1" spans="1:63">
      <c r="A154" s="1265">
        <v>45799</v>
      </c>
      <c r="B154" s="1266" t="s">
        <v>177</v>
      </c>
      <c r="C154" s="1267" t="s">
        <v>178</v>
      </c>
      <c r="D154" s="1266">
        <v>4500166942</v>
      </c>
      <c r="E154" s="1269"/>
      <c r="F154" s="1360" t="s">
        <v>2539</v>
      </c>
      <c r="G154" s="1097" t="s">
        <v>2316</v>
      </c>
      <c r="H154" s="1097" t="s">
        <v>2317</v>
      </c>
      <c r="I154" s="1098" t="s">
        <v>2063</v>
      </c>
      <c r="J154" s="1120">
        <v>504</v>
      </c>
      <c r="K154" s="1097">
        <v>0</v>
      </c>
      <c r="L154" s="1097">
        <v>12</v>
      </c>
      <c r="M154" s="1114">
        <f t="shared" si="22"/>
        <v>42</v>
      </c>
      <c r="N154" s="1117">
        <v>45856</v>
      </c>
      <c r="O154" s="1117">
        <v>45852</v>
      </c>
      <c r="P154" s="1272"/>
      <c r="Q154" s="1285" t="s">
        <v>1480</v>
      </c>
      <c r="R154" s="1363" t="s">
        <v>795</v>
      </c>
      <c r="S154" s="1147" t="s">
        <v>796</v>
      </c>
      <c r="T154" s="1281"/>
      <c r="U154" s="1281" t="s">
        <v>2540</v>
      </c>
      <c r="V154" s="1282" t="s">
        <v>2541</v>
      </c>
      <c r="W154" s="1148" t="s">
        <v>2542</v>
      </c>
      <c r="X154" s="1150" t="s">
        <v>674</v>
      </c>
      <c r="Y154" s="1292">
        <v>2.9668</v>
      </c>
      <c r="Z154" s="1166">
        <f t="shared" si="37"/>
        <v>1495.2672</v>
      </c>
      <c r="AA154" s="1289" t="s">
        <v>800</v>
      </c>
      <c r="AB154" s="1137" t="s">
        <v>63</v>
      </c>
      <c r="AC154" s="1137" t="s">
        <v>2040</v>
      </c>
      <c r="AD154" s="1290">
        <v>504</v>
      </c>
      <c r="AE154" s="1289">
        <f t="shared" si="38"/>
        <v>0</v>
      </c>
      <c r="AF154" s="1291" t="s">
        <v>327</v>
      </c>
      <c r="AG154" s="1291"/>
      <c r="AH154" s="1188"/>
      <c r="AI154" s="1188">
        <f>J154</f>
        <v>504</v>
      </c>
      <c r="AJ154" s="1188"/>
      <c r="AK154" s="1310"/>
      <c r="AL154" s="1311"/>
      <c r="AM154" s="1311"/>
      <c r="AN154" s="1312"/>
      <c r="AO154" s="1312"/>
      <c r="AP154" s="1312"/>
      <c r="AQ154" s="1312"/>
      <c r="AR154" s="1319">
        <f t="shared" si="36"/>
        <v>504</v>
      </c>
      <c r="AS154" s="1332"/>
      <c r="AT154" s="1333"/>
      <c r="AU154" s="1228"/>
      <c r="AV154" s="1228"/>
      <c r="AW154" s="1214"/>
      <c r="AX154" s="1228"/>
      <c r="AY154" s="1312"/>
      <c r="AZ154" s="1312"/>
      <c r="BA154" s="1319">
        <f>J154</f>
        <v>504</v>
      </c>
      <c r="BB154" s="1319"/>
      <c r="BC154" s="1338"/>
      <c r="BD154" s="1214"/>
      <c r="BE154" s="1346"/>
      <c r="BF154" s="1346"/>
      <c r="BG154" s="1344"/>
      <c r="BH154" s="1347"/>
      <c r="BI154" s="1356"/>
      <c r="BJ154" s="1263"/>
      <c r="BK154" s="1263"/>
    </row>
    <row r="155" s="1053" customFormat="1" ht="31" customHeight="1" spans="1:63">
      <c r="A155" s="1265">
        <v>45799</v>
      </c>
      <c r="B155" s="1266" t="s">
        <v>177</v>
      </c>
      <c r="C155" s="1267" t="s">
        <v>178</v>
      </c>
      <c r="D155" s="1266">
        <v>4500166942</v>
      </c>
      <c r="E155" s="1269"/>
      <c r="F155" s="1360" t="s">
        <v>2543</v>
      </c>
      <c r="G155" s="1097" t="s">
        <v>2309</v>
      </c>
      <c r="H155" s="1097" t="s">
        <v>2310</v>
      </c>
      <c r="I155" s="1098" t="s">
        <v>2042</v>
      </c>
      <c r="J155" s="1120">
        <v>504</v>
      </c>
      <c r="K155" s="1097">
        <v>0</v>
      </c>
      <c r="L155" s="1097">
        <v>12</v>
      </c>
      <c r="M155" s="1114">
        <f t="shared" ref="M155:M160" si="45">J155/L155</f>
        <v>42</v>
      </c>
      <c r="N155" s="1117">
        <v>45856</v>
      </c>
      <c r="O155" s="1117">
        <v>45852</v>
      </c>
      <c r="P155" s="1272"/>
      <c r="Q155" s="1285" t="s">
        <v>1480</v>
      </c>
      <c r="R155" s="1363" t="s">
        <v>795</v>
      </c>
      <c r="S155" s="1147" t="s">
        <v>796</v>
      </c>
      <c r="T155" s="1281"/>
      <c r="U155" s="1281" t="s">
        <v>2540</v>
      </c>
      <c r="V155" s="1282" t="s">
        <v>2544</v>
      </c>
      <c r="W155" s="1148" t="s">
        <v>2545</v>
      </c>
      <c r="X155" s="1150" t="s">
        <v>674</v>
      </c>
      <c r="Y155" s="1292">
        <v>2.9668</v>
      </c>
      <c r="Z155" s="1166">
        <f t="shared" si="37"/>
        <v>1495.2672</v>
      </c>
      <c r="AA155" s="1289" t="s">
        <v>800</v>
      </c>
      <c r="AB155" s="1137" t="s">
        <v>63</v>
      </c>
      <c r="AC155" s="1137" t="s">
        <v>2040</v>
      </c>
      <c r="AD155" s="1290">
        <v>504</v>
      </c>
      <c r="AE155" s="1289">
        <f t="shared" si="38"/>
        <v>0</v>
      </c>
      <c r="AF155" s="1291" t="s">
        <v>327</v>
      </c>
      <c r="AG155" s="1291"/>
      <c r="AH155" s="1188"/>
      <c r="AI155" s="1188"/>
      <c r="AJ155" s="1188">
        <f>J155</f>
        <v>504</v>
      </c>
      <c r="AK155" s="1310"/>
      <c r="AL155" s="1311"/>
      <c r="AM155" s="1311"/>
      <c r="AN155" s="1312"/>
      <c r="AO155" s="1312"/>
      <c r="AP155" s="1312"/>
      <c r="AQ155" s="1312"/>
      <c r="AR155" s="1319">
        <f t="shared" si="36"/>
        <v>504</v>
      </c>
      <c r="AS155" s="1332"/>
      <c r="AT155" s="1333"/>
      <c r="AU155" s="1228"/>
      <c r="AV155" s="1228"/>
      <c r="AW155" s="1214"/>
      <c r="AX155" s="1228"/>
      <c r="AY155" s="1312"/>
      <c r="AZ155" s="1312"/>
      <c r="BA155" s="1319">
        <f>J155</f>
        <v>504</v>
      </c>
      <c r="BB155" s="1319"/>
      <c r="BC155" s="1338"/>
      <c r="BD155" s="1214"/>
      <c r="BE155" s="1346"/>
      <c r="BF155" s="1346"/>
      <c r="BG155" s="1344"/>
      <c r="BH155" s="1347"/>
      <c r="BI155" s="1356"/>
      <c r="BJ155" s="1263"/>
      <c r="BK155" s="1263"/>
    </row>
    <row r="156" s="1053" customFormat="1" ht="31" customHeight="1" spans="1:63">
      <c r="A156" s="1265">
        <v>45814</v>
      </c>
      <c r="B156" s="1266" t="s">
        <v>2205</v>
      </c>
      <c r="C156" s="1267" t="s">
        <v>123</v>
      </c>
      <c r="D156" s="1266">
        <v>4500159839</v>
      </c>
      <c r="E156" s="1269">
        <v>14482222</v>
      </c>
      <c r="F156" s="1360" t="s">
        <v>2546</v>
      </c>
      <c r="G156" s="1101" t="s">
        <v>2079</v>
      </c>
      <c r="H156" s="1097" t="s">
        <v>2079</v>
      </c>
      <c r="I156" s="1098" t="s">
        <v>2080</v>
      </c>
      <c r="J156" s="1120">
        <v>3156</v>
      </c>
      <c r="K156" s="1097">
        <v>0</v>
      </c>
      <c r="L156" s="1097">
        <v>6</v>
      </c>
      <c r="M156" s="1114">
        <f t="shared" si="45"/>
        <v>526</v>
      </c>
      <c r="N156" s="1117">
        <v>45854</v>
      </c>
      <c r="O156" s="1117">
        <v>45850</v>
      </c>
      <c r="P156" s="1272"/>
      <c r="Q156" s="1285" t="s">
        <v>1480</v>
      </c>
      <c r="R156" s="1280" t="s">
        <v>2547</v>
      </c>
      <c r="S156" s="1147" t="s">
        <v>2548</v>
      </c>
      <c r="T156" s="1281"/>
      <c r="U156" s="1281" t="s">
        <v>2549</v>
      </c>
      <c r="V156" s="1282" t="s">
        <v>2550</v>
      </c>
      <c r="W156" s="1148" t="s">
        <v>2551</v>
      </c>
      <c r="X156" s="1150" t="s">
        <v>700</v>
      </c>
      <c r="Y156" s="1292">
        <v>2.833</v>
      </c>
      <c r="Z156" s="1166">
        <f t="shared" si="37"/>
        <v>8940.948</v>
      </c>
      <c r="AA156" s="1289" t="s">
        <v>2552</v>
      </c>
      <c r="AB156" s="1137" t="s">
        <v>63</v>
      </c>
      <c r="AC156" s="1137" t="s">
        <v>2040</v>
      </c>
      <c r="AD156" s="1290">
        <f>1368+1788</f>
        <v>3156</v>
      </c>
      <c r="AE156" s="1289">
        <f t="shared" si="38"/>
        <v>0</v>
      </c>
      <c r="AF156" s="1291" t="s">
        <v>327</v>
      </c>
      <c r="AG156" s="1291"/>
      <c r="AH156" s="1188">
        <v>1052</v>
      </c>
      <c r="AI156" s="1188">
        <v>1052</v>
      </c>
      <c r="AJ156" s="1188">
        <v>1052</v>
      </c>
      <c r="AK156" s="1369"/>
      <c r="AL156" s="1370"/>
      <c r="AM156" s="1369"/>
      <c r="AN156" s="1369"/>
      <c r="AO156" s="1379"/>
      <c r="AP156" s="1370"/>
      <c r="AQ156" s="1380"/>
      <c r="AR156" s="1344">
        <f t="shared" si="36"/>
        <v>3156</v>
      </c>
      <c r="AS156" s="1381"/>
      <c r="AT156" s="1382"/>
      <c r="AU156" s="1383"/>
      <c r="AV156" s="1383"/>
      <c r="AW156" s="1175">
        <f>J156</f>
        <v>3156</v>
      </c>
      <c r="AX156" s="1383"/>
      <c r="AY156" s="1383"/>
      <c r="AZ156" s="1383"/>
      <c r="BA156" s="1175"/>
      <c r="BB156" s="1175"/>
      <c r="BC156" s="1175"/>
      <c r="BD156" s="1175"/>
      <c r="BE156" s="1175"/>
      <c r="BF156" s="1397"/>
      <c r="BG156" s="1344"/>
      <c r="BH156" s="1347"/>
      <c r="BI156" s="1398"/>
      <c r="BJ156" s="1398"/>
      <c r="BK156" s="1398"/>
    </row>
    <row r="157" s="1053" customFormat="1" ht="31" customHeight="1" spans="1:63">
      <c r="A157" s="1265">
        <v>45819</v>
      </c>
      <c r="B157" s="1266" t="s">
        <v>1486</v>
      </c>
      <c r="C157" s="1267" t="s">
        <v>398</v>
      </c>
      <c r="D157" s="1266">
        <v>4500169708</v>
      </c>
      <c r="E157" s="1269" t="s">
        <v>2553</v>
      </c>
      <c r="F157" s="1266" t="s">
        <v>2554</v>
      </c>
      <c r="G157" s="1101" t="s">
        <v>2390</v>
      </c>
      <c r="H157" s="1101" t="s">
        <v>2390</v>
      </c>
      <c r="I157" s="1270" t="s">
        <v>2063</v>
      </c>
      <c r="J157" s="1120">
        <v>24</v>
      </c>
      <c r="K157" s="1097">
        <v>0</v>
      </c>
      <c r="L157" s="1097">
        <v>24</v>
      </c>
      <c r="M157" s="1114">
        <f t="shared" si="45"/>
        <v>1</v>
      </c>
      <c r="N157" s="1117">
        <v>45855</v>
      </c>
      <c r="O157" s="1117">
        <v>45851</v>
      </c>
      <c r="P157" s="1272"/>
      <c r="Q157" s="1362" t="s">
        <v>1480</v>
      </c>
      <c r="R157" s="1280"/>
      <c r="S157" s="1147" t="s">
        <v>1674</v>
      </c>
      <c r="T157" s="1281"/>
      <c r="U157" s="1281" t="s">
        <v>2555</v>
      </c>
      <c r="V157" s="1281" t="s">
        <v>2556</v>
      </c>
      <c r="W157" s="1148" t="s">
        <v>2557</v>
      </c>
      <c r="X157" s="1150" t="s">
        <v>220</v>
      </c>
      <c r="Y157" s="1165">
        <v>2.8755</v>
      </c>
      <c r="Z157" s="1166">
        <f t="shared" si="37"/>
        <v>69.012</v>
      </c>
      <c r="AA157" s="1289"/>
      <c r="AB157" s="1137" t="s">
        <v>63</v>
      </c>
      <c r="AC157" s="1137" t="s">
        <v>2040</v>
      </c>
      <c r="AD157" s="1290">
        <v>24</v>
      </c>
      <c r="AE157" s="1289">
        <f t="shared" si="38"/>
        <v>0</v>
      </c>
      <c r="AF157" s="1291" t="s">
        <v>327</v>
      </c>
      <c r="AG157" s="1291"/>
      <c r="AH157" s="1188"/>
      <c r="AI157" s="1188">
        <f>J157</f>
        <v>24</v>
      </c>
      <c r="AJ157" s="1188"/>
      <c r="AK157" s="1371"/>
      <c r="AL157" s="1372"/>
      <c r="AM157" s="1371"/>
      <c r="AN157" s="1371"/>
      <c r="AO157" s="1384"/>
      <c r="AP157" s="1372"/>
      <c r="AQ157" s="1375"/>
      <c r="AR157" s="1344">
        <f t="shared" si="36"/>
        <v>24</v>
      </c>
      <c r="AS157" s="1385"/>
      <c r="AT157" s="1386"/>
      <c r="AU157" s="1387"/>
      <c r="AV157" s="1387"/>
      <c r="AW157" s="1175"/>
      <c r="AX157" s="1387"/>
      <c r="AY157" s="1387"/>
      <c r="AZ157" s="1387"/>
      <c r="BA157" s="1175"/>
      <c r="BB157" s="1175"/>
      <c r="BC157" s="1175"/>
      <c r="BD157" s="1175"/>
      <c r="BE157" s="1175"/>
      <c r="BF157" s="1175">
        <f t="shared" ref="BF157:BF162" si="46">J157</f>
        <v>24</v>
      </c>
      <c r="BG157" s="1344"/>
      <c r="BH157" s="1347"/>
      <c r="BI157" s="1399"/>
      <c r="BJ157" s="1399"/>
      <c r="BK157" s="1399"/>
    </row>
    <row r="158" s="1053" customFormat="1" ht="31" customHeight="1" spans="1:63">
      <c r="A158" s="1265">
        <v>45819</v>
      </c>
      <c r="B158" s="1266" t="s">
        <v>1486</v>
      </c>
      <c r="C158" s="1267" t="s">
        <v>398</v>
      </c>
      <c r="D158" s="1266">
        <v>4500169708</v>
      </c>
      <c r="E158" s="1269" t="s">
        <v>2558</v>
      </c>
      <c r="F158" s="1266" t="s">
        <v>2559</v>
      </c>
      <c r="G158" s="1101" t="s">
        <v>2390</v>
      </c>
      <c r="H158" s="1101" t="s">
        <v>2390</v>
      </c>
      <c r="I158" s="1270" t="s">
        <v>2063</v>
      </c>
      <c r="J158" s="1120">
        <v>24</v>
      </c>
      <c r="K158" s="1097">
        <v>0</v>
      </c>
      <c r="L158" s="1097">
        <v>24</v>
      </c>
      <c r="M158" s="1114">
        <f t="shared" si="45"/>
        <v>1</v>
      </c>
      <c r="N158" s="1117">
        <v>45855</v>
      </c>
      <c r="O158" s="1117">
        <v>45851</v>
      </c>
      <c r="P158" s="1272"/>
      <c r="Q158" s="1362" t="s">
        <v>1480</v>
      </c>
      <c r="R158" s="1280"/>
      <c r="S158" s="1147" t="s">
        <v>1674</v>
      </c>
      <c r="T158" s="1281"/>
      <c r="U158" s="1281" t="s">
        <v>2555</v>
      </c>
      <c r="V158" s="1281" t="s">
        <v>2556</v>
      </c>
      <c r="W158" s="1148" t="s">
        <v>2557</v>
      </c>
      <c r="X158" s="1150" t="s">
        <v>220</v>
      </c>
      <c r="Y158" s="1165">
        <v>2.8755</v>
      </c>
      <c r="Z158" s="1166">
        <f t="shared" si="37"/>
        <v>69.012</v>
      </c>
      <c r="AA158" s="1289"/>
      <c r="AB158" s="1137" t="s">
        <v>63</v>
      </c>
      <c r="AC158" s="1137" t="s">
        <v>2040</v>
      </c>
      <c r="AD158" s="1290">
        <v>24</v>
      </c>
      <c r="AE158" s="1289">
        <f t="shared" si="38"/>
        <v>0</v>
      </c>
      <c r="AF158" s="1291" t="s">
        <v>327</v>
      </c>
      <c r="AG158" s="1291"/>
      <c r="AH158" s="1188"/>
      <c r="AI158" s="1188">
        <f>J158</f>
        <v>24</v>
      </c>
      <c r="AJ158" s="1188"/>
      <c r="AK158" s="1371"/>
      <c r="AL158" s="1372"/>
      <c r="AM158" s="1371"/>
      <c r="AN158" s="1371"/>
      <c r="AO158" s="1384"/>
      <c r="AP158" s="1372"/>
      <c r="AQ158" s="1375"/>
      <c r="AR158" s="1344">
        <f t="shared" si="36"/>
        <v>24</v>
      </c>
      <c r="AS158" s="1385"/>
      <c r="AT158" s="1386"/>
      <c r="AU158" s="1387"/>
      <c r="AV158" s="1387"/>
      <c r="AW158" s="1175"/>
      <c r="AX158" s="1387"/>
      <c r="AY158" s="1387"/>
      <c r="AZ158" s="1387"/>
      <c r="BA158" s="1175"/>
      <c r="BB158" s="1175"/>
      <c r="BC158" s="1175"/>
      <c r="BD158" s="1175"/>
      <c r="BE158" s="1175"/>
      <c r="BF158" s="1175">
        <f t="shared" si="46"/>
        <v>24</v>
      </c>
      <c r="BG158" s="1344"/>
      <c r="BH158" s="1347"/>
      <c r="BI158" s="1399"/>
      <c r="BJ158" s="1399"/>
      <c r="BK158" s="1399"/>
    </row>
    <row r="159" s="1053" customFormat="1" ht="31" customHeight="1" spans="1:63">
      <c r="A159" s="1265">
        <v>45819</v>
      </c>
      <c r="B159" s="1266" t="s">
        <v>1486</v>
      </c>
      <c r="C159" s="1267" t="s">
        <v>398</v>
      </c>
      <c r="D159" s="1266">
        <v>4500169708</v>
      </c>
      <c r="E159" s="1269" t="s">
        <v>2560</v>
      </c>
      <c r="F159" s="1266" t="s">
        <v>2561</v>
      </c>
      <c r="G159" s="1101" t="s">
        <v>2390</v>
      </c>
      <c r="H159" s="1101" t="s">
        <v>2390</v>
      </c>
      <c r="I159" s="1270" t="s">
        <v>2063</v>
      </c>
      <c r="J159" s="1120">
        <v>24</v>
      </c>
      <c r="K159" s="1097">
        <v>0</v>
      </c>
      <c r="L159" s="1097">
        <v>24</v>
      </c>
      <c r="M159" s="1114">
        <f t="shared" si="45"/>
        <v>1</v>
      </c>
      <c r="N159" s="1117">
        <v>45855</v>
      </c>
      <c r="O159" s="1117">
        <v>45851</v>
      </c>
      <c r="P159" s="1272"/>
      <c r="Q159" s="1362" t="s">
        <v>1480</v>
      </c>
      <c r="R159" s="1280"/>
      <c r="S159" s="1147" t="s">
        <v>1674</v>
      </c>
      <c r="T159" s="1281"/>
      <c r="U159" s="1281" t="s">
        <v>2555</v>
      </c>
      <c r="V159" s="1281" t="s">
        <v>2556</v>
      </c>
      <c r="W159" s="1148" t="s">
        <v>2557</v>
      </c>
      <c r="X159" s="1150" t="s">
        <v>220</v>
      </c>
      <c r="Y159" s="1165">
        <v>2.8755</v>
      </c>
      <c r="Z159" s="1166">
        <f t="shared" si="37"/>
        <v>69.012</v>
      </c>
      <c r="AA159" s="1289"/>
      <c r="AB159" s="1137" t="s">
        <v>63</v>
      </c>
      <c r="AC159" s="1137" t="s">
        <v>2040</v>
      </c>
      <c r="AD159" s="1290">
        <v>24</v>
      </c>
      <c r="AE159" s="1289">
        <f t="shared" si="38"/>
        <v>0</v>
      </c>
      <c r="AF159" s="1291" t="s">
        <v>327</v>
      </c>
      <c r="AG159" s="1291"/>
      <c r="AH159" s="1188"/>
      <c r="AI159" s="1188">
        <f>J159</f>
        <v>24</v>
      </c>
      <c r="AJ159" s="1188"/>
      <c r="AK159" s="1371"/>
      <c r="AL159" s="1372"/>
      <c r="AM159" s="1371"/>
      <c r="AN159" s="1371"/>
      <c r="AO159" s="1384"/>
      <c r="AP159" s="1372"/>
      <c r="AQ159" s="1375"/>
      <c r="AR159" s="1344">
        <f t="shared" si="36"/>
        <v>24</v>
      </c>
      <c r="AS159" s="1385"/>
      <c r="AT159" s="1386"/>
      <c r="AU159" s="1387"/>
      <c r="AV159" s="1387"/>
      <c r="AW159" s="1175"/>
      <c r="AX159" s="1387"/>
      <c r="AY159" s="1387"/>
      <c r="AZ159" s="1387"/>
      <c r="BA159" s="1175"/>
      <c r="BB159" s="1175"/>
      <c r="BC159" s="1175"/>
      <c r="BD159" s="1175"/>
      <c r="BE159" s="1175"/>
      <c r="BF159" s="1175">
        <f t="shared" si="46"/>
        <v>24</v>
      </c>
      <c r="BG159" s="1344"/>
      <c r="BH159" s="1347"/>
      <c r="BI159" s="1399"/>
      <c r="BJ159" s="1399"/>
      <c r="BK159" s="1399"/>
    </row>
    <row r="160" s="1053" customFormat="1" ht="31" customHeight="1" spans="1:63">
      <c r="A160" s="1265">
        <v>45819</v>
      </c>
      <c r="B160" s="1266" t="s">
        <v>1486</v>
      </c>
      <c r="C160" s="1267" t="s">
        <v>398</v>
      </c>
      <c r="D160" s="1266">
        <v>4500169708</v>
      </c>
      <c r="E160" s="1269" t="s">
        <v>2562</v>
      </c>
      <c r="F160" s="1266" t="s">
        <v>2563</v>
      </c>
      <c r="G160" s="1101" t="s">
        <v>2390</v>
      </c>
      <c r="H160" s="1101" t="s">
        <v>2390</v>
      </c>
      <c r="I160" s="1270" t="s">
        <v>2063</v>
      </c>
      <c r="J160" s="1120">
        <v>24</v>
      </c>
      <c r="K160" s="1097">
        <v>0</v>
      </c>
      <c r="L160" s="1097">
        <v>24</v>
      </c>
      <c r="M160" s="1114">
        <f t="shared" si="45"/>
        <v>1</v>
      </c>
      <c r="N160" s="1117">
        <v>45855</v>
      </c>
      <c r="O160" s="1117">
        <v>45851</v>
      </c>
      <c r="P160" s="1272"/>
      <c r="Q160" s="1362" t="s">
        <v>1480</v>
      </c>
      <c r="R160" s="1280"/>
      <c r="S160" s="1147" t="s">
        <v>1674</v>
      </c>
      <c r="T160" s="1281"/>
      <c r="U160" s="1281" t="s">
        <v>2555</v>
      </c>
      <c r="V160" s="1281" t="s">
        <v>2556</v>
      </c>
      <c r="W160" s="1148" t="s">
        <v>2557</v>
      </c>
      <c r="X160" s="1150" t="s">
        <v>220</v>
      </c>
      <c r="Y160" s="1165">
        <v>2.8755</v>
      </c>
      <c r="Z160" s="1166">
        <f t="shared" si="37"/>
        <v>69.012</v>
      </c>
      <c r="AA160" s="1289"/>
      <c r="AB160" s="1137" t="s">
        <v>63</v>
      </c>
      <c r="AC160" s="1137" t="s">
        <v>2040</v>
      </c>
      <c r="AD160" s="1290">
        <v>24</v>
      </c>
      <c r="AE160" s="1289">
        <f t="shared" si="38"/>
        <v>0</v>
      </c>
      <c r="AF160" s="1291" t="s">
        <v>327</v>
      </c>
      <c r="AG160" s="1291"/>
      <c r="AH160" s="1188"/>
      <c r="AI160" s="1188">
        <f>J160</f>
        <v>24</v>
      </c>
      <c r="AJ160" s="1188"/>
      <c r="AK160" s="1371"/>
      <c r="AL160" s="1372"/>
      <c r="AM160" s="1371"/>
      <c r="AN160" s="1371"/>
      <c r="AO160" s="1384"/>
      <c r="AP160" s="1372"/>
      <c r="AQ160" s="1375"/>
      <c r="AR160" s="1344">
        <f t="shared" si="36"/>
        <v>24</v>
      </c>
      <c r="AS160" s="1385"/>
      <c r="AT160" s="1386"/>
      <c r="AU160" s="1387"/>
      <c r="AV160" s="1387"/>
      <c r="AW160" s="1175"/>
      <c r="AX160" s="1387"/>
      <c r="AY160" s="1387"/>
      <c r="AZ160" s="1387"/>
      <c r="BA160" s="1175"/>
      <c r="BB160" s="1175"/>
      <c r="BC160" s="1175"/>
      <c r="BD160" s="1175"/>
      <c r="BE160" s="1175"/>
      <c r="BF160" s="1175">
        <f t="shared" si="46"/>
        <v>24</v>
      </c>
      <c r="BG160" s="1344"/>
      <c r="BH160" s="1347"/>
      <c r="BI160" s="1399"/>
      <c r="BJ160" s="1399"/>
      <c r="BK160" s="1399"/>
    </row>
    <row r="161" s="1053" customFormat="1" ht="31" customHeight="1" spans="1:63">
      <c r="A161" s="1265">
        <v>45819</v>
      </c>
      <c r="B161" s="1266" t="s">
        <v>1486</v>
      </c>
      <c r="C161" s="1267" t="s">
        <v>398</v>
      </c>
      <c r="D161" s="1266">
        <v>4500169708</v>
      </c>
      <c r="E161" s="1269" t="s">
        <v>2564</v>
      </c>
      <c r="F161" s="1266" t="s">
        <v>2565</v>
      </c>
      <c r="G161" s="1101" t="s">
        <v>2109</v>
      </c>
      <c r="H161" s="1101" t="s">
        <v>2109</v>
      </c>
      <c r="I161" s="1098" t="s">
        <v>2042</v>
      </c>
      <c r="J161" s="1120">
        <v>24</v>
      </c>
      <c r="K161" s="1097">
        <v>0</v>
      </c>
      <c r="L161" s="1097">
        <v>24</v>
      </c>
      <c r="M161" s="1114">
        <v>1</v>
      </c>
      <c r="N161" s="1117">
        <v>45855</v>
      </c>
      <c r="O161" s="1117">
        <v>45851</v>
      </c>
      <c r="P161" s="1272"/>
      <c r="Q161" s="1362" t="s">
        <v>1480</v>
      </c>
      <c r="R161" s="1280"/>
      <c r="S161" s="1147" t="s">
        <v>1674</v>
      </c>
      <c r="T161" s="1281"/>
      <c r="U161" s="1281" t="s">
        <v>2555</v>
      </c>
      <c r="V161" s="1281" t="s">
        <v>2556</v>
      </c>
      <c r="W161" s="1148" t="s">
        <v>2557</v>
      </c>
      <c r="X161" s="1150" t="s">
        <v>220</v>
      </c>
      <c r="Y161" s="1165">
        <v>2.8755</v>
      </c>
      <c r="Z161" s="1166">
        <f t="shared" si="37"/>
        <v>69.012</v>
      </c>
      <c r="AA161" s="1289"/>
      <c r="AB161" s="1137" t="s">
        <v>63</v>
      </c>
      <c r="AC161" s="1137" t="s">
        <v>2040</v>
      </c>
      <c r="AD161" s="1290">
        <v>24</v>
      </c>
      <c r="AE161" s="1289">
        <f t="shared" si="38"/>
        <v>0</v>
      </c>
      <c r="AF161" s="1291" t="s">
        <v>327</v>
      </c>
      <c r="AG161" s="1291"/>
      <c r="AH161" s="1188"/>
      <c r="AI161" s="1188"/>
      <c r="AJ161" s="1188">
        <f>J161</f>
        <v>24</v>
      </c>
      <c r="AK161" s="1371"/>
      <c r="AL161" s="1372"/>
      <c r="AM161" s="1371"/>
      <c r="AN161" s="1371"/>
      <c r="AO161" s="1384"/>
      <c r="AP161" s="1372"/>
      <c r="AQ161" s="1375"/>
      <c r="AR161" s="1344"/>
      <c r="AS161" s="1385"/>
      <c r="AT161" s="1386"/>
      <c r="AU161" s="1387"/>
      <c r="AV161" s="1387"/>
      <c r="AW161" s="1175"/>
      <c r="AX161" s="1387"/>
      <c r="AY161" s="1387"/>
      <c r="AZ161" s="1387"/>
      <c r="BA161" s="1175"/>
      <c r="BB161" s="1175"/>
      <c r="BC161" s="1175"/>
      <c r="BD161" s="1175"/>
      <c r="BE161" s="1175"/>
      <c r="BF161" s="1175">
        <f t="shared" si="46"/>
        <v>24</v>
      </c>
      <c r="BG161" s="1344"/>
      <c r="BH161" s="1347"/>
      <c r="BI161" s="1399"/>
      <c r="BJ161" s="1399"/>
      <c r="BK161" s="1399"/>
    </row>
    <row r="162" s="1053" customFormat="1" ht="31" customHeight="1" spans="1:63">
      <c r="A162" s="1265">
        <v>45821</v>
      </c>
      <c r="B162" s="1266" t="s">
        <v>1671</v>
      </c>
      <c r="C162" s="1267" t="s">
        <v>398</v>
      </c>
      <c r="D162" s="1266">
        <v>4500169971</v>
      </c>
      <c r="E162" s="1269" t="s">
        <v>2566</v>
      </c>
      <c r="F162" s="1266" t="s">
        <v>2567</v>
      </c>
      <c r="G162" s="1101" t="s">
        <v>2109</v>
      </c>
      <c r="H162" s="1101" t="s">
        <v>2109</v>
      </c>
      <c r="I162" s="1098" t="s">
        <v>2042</v>
      </c>
      <c r="J162" s="1120">
        <v>24</v>
      </c>
      <c r="K162" s="1097">
        <v>0</v>
      </c>
      <c r="L162" s="1097">
        <v>24</v>
      </c>
      <c r="M162" s="1114">
        <v>1</v>
      </c>
      <c r="N162" s="1117">
        <v>45856</v>
      </c>
      <c r="O162" s="1117">
        <v>45852</v>
      </c>
      <c r="P162" s="1272"/>
      <c r="Q162" s="1362" t="s">
        <v>1480</v>
      </c>
      <c r="R162" s="1280"/>
      <c r="S162" s="1147" t="s">
        <v>1674</v>
      </c>
      <c r="T162" s="1281"/>
      <c r="U162" s="1281" t="s">
        <v>2555</v>
      </c>
      <c r="V162" s="1281" t="s">
        <v>2556</v>
      </c>
      <c r="W162" s="1148" t="s">
        <v>2568</v>
      </c>
      <c r="X162" s="1150" t="s">
        <v>220</v>
      </c>
      <c r="Y162" s="1165">
        <v>2.8203</v>
      </c>
      <c r="Z162" s="1166">
        <f t="shared" ref="Z162:Z170" si="47">Y162*J162</f>
        <v>67.6872</v>
      </c>
      <c r="AA162" s="1289"/>
      <c r="AB162" s="1137" t="s">
        <v>63</v>
      </c>
      <c r="AC162" s="1137" t="s">
        <v>2040</v>
      </c>
      <c r="AD162" s="1290">
        <v>24</v>
      </c>
      <c r="AE162" s="1289">
        <f t="shared" si="38"/>
        <v>0</v>
      </c>
      <c r="AF162" s="1291" t="s">
        <v>327</v>
      </c>
      <c r="AG162" s="1291"/>
      <c r="AH162" s="1188"/>
      <c r="AI162" s="1188"/>
      <c r="AJ162" s="1188">
        <f t="shared" ref="AJ162:AJ170" si="48">J162</f>
        <v>24</v>
      </c>
      <c r="AK162" s="1371"/>
      <c r="AL162" s="1372"/>
      <c r="AM162" s="1371"/>
      <c r="AN162" s="1371"/>
      <c r="AO162" s="1384"/>
      <c r="AP162" s="1372"/>
      <c r="AQ162" s="1375"/>
      <c r="AR162" s="1344">
        <f>J162</f>
        <v>24</v>
      </c>
      <c r="AS162" s="1385"/>
      <c r="AT162" s="1386"/>
      <c r="AU162" s="1387"/>
      <c r="AV162" s="1387"/>
      <c r="AW162" s="1175"/>
      <c r="AX162" s="1387"/>
      <c r="AY162" s="1387"/>
      <c r="AZ162" s="1387"/>
      <c r="BA162" s="1175"/>
      <c r="BB162" s="1175"/>
      <c r="BC162" s="1175"/>
      <c r="BD162" s="1175"/>
      <c r="BE162" s="1175"/>
      <c r="BF162" s="1175">
        <f t="shared" si="46"/>
        <v>24</v>
      </c>
      <c r="BG162" s="1344"/>
      <c r="BH162" s="1347"/>
      <c r="BI162" s="1399"/>
      <c r="BJ162" s="1399"/>
      <c r="BK162" s="1399"/>
    </row>
    <row r="163" s="1053" customFormat="1" ht="31" customHeight="1" spans="1:63">
      <c r="A163" s="1265">
        <v>45821</v>
      </c>
      <c r="B163" s="1266" t="s">
        <v>1671</v>
      </c>
      <c r="C163" s="1267" t="s">
        <v>398</v>
      </c>
      <c r="D163" s="1266">
        <v>4500169971</v>
      </c>
      <c r="E163" s="1269" t="s">
        <v>2569</v>
      </c>
      <c r="F163" s="1266" t="s">
        <v>2570</v>
      </c>
      <c r="G163" s="1101" t="s">
        <v>2109</v>
      </c>
      <c r="H163" s="1101" t="s">
        <v>2109</v>
      </c>
      <c r="I163" s="1098" t="s">
        <v>2042</v>
      </c>
      <c r="J163" s="1120">
        <v>24</v>
      </c>
      <c r="K163" s="1097">
        <v>0</v>
      </c>
      <c r="L163" s="1097">
        <v>24</v>
      </c>
      <c r="M163" s="1114">
        <v>1</v>
      </c>
      <c r="N163" s="1117">
        <v>45856</v>
      </c>
      <c r="O163" s="1117">
        <v>45852</v>
      </c>
      <c r="P163" s="1272"/>
      <c r="Q163" s="1362" t="s">
        <v>1480</v>
      </c>
      <c r="R163" s="1280"/>
      <c r="S163" s="1147" t="s">
        <v>1674</v>
      </c>
      <c r="T163" s="1281"/>
      <c r="U163" s="1281" t="s">
        <v>2555</v>
      </c>
      <c r="V163" s="1281" t="s">
        <v>2556</v>
      </c>
      <c r="W163" s="1148" t="s">
        <v>2568</v>
      </c>
      <c r="X163" s="1150" t="s">
        <v>220</v>
      </c>
      <c r="Y163" s="1165">
        <v>2.8203</v>
      </c>
      <c r="Z163" s="1166">
        <f t="shared" si="47"/>
        <v>67.6872</v>
      </c>
      <c r="AA163" s="1289"/>
      <c r="AB163" s="1137" t="s">
        <v>63</v>
      </c>
      <c r="AC163" s="1137" t="s">
        <v>2040</v>
      </c>
      <c r="AD163" s="1290">
        <v>24</v>
      </c>
      <c r="AE163" s="1289">
        <f t="shared" ref="AE163:AE193" si="49">AD163-J163</f>
        <v>0</v>
      </c>
      <c r="AF163" s="1291" t="s">
        <v>327</v>
      </c>
      <c r="AG163" s="1291"/>
      <c r="AH163" s="1188"/>
      <c r="AI163" s="1188"/>
      <c r="AJ163" s="1188">
        <f t="shared" si="48"/>
        <v>24</v>
      </c>
      <c r="AK163" s="1371"/>
      <c r="AL163" s="1372"/>
      <c r="AM163" s="1371"/>
      <c r="AN163" s="1371"/>
      <c r="AO163" s="1384"/>
      <c r="AP163" s="1372"/>
      <c r="AQ163" s="1375"/>
      <c r="AR163" s="1344">
        <f t="shared" ref="AR163:AR182" si="50">J163</f>
        <v>24</v>
      </c>
      <c r="AS163" s="1385"/>
      <c r="AT163" s="1386"/>
      <c r="AU163" s="1387"/>
      <c r="AV163" s="1387"/>
      <c r="AW163" s="1175"/>
      <c r="AX163" s="1387"/>
      <c r="AY163" s="1387"/>
      <c r="AZ163" s="1387"/>
      <c r="BA163" s="1175"/>
      <c r="BB163" s="1175"/>
      <c r="BC163" s="1175"/>
      <c r="BD163" s="1175"/>
      <c r="BE163" s="1175"/>
      <c r="BF163" s="1175">
        <f t="shared" ref="BF163:BF170" si="51">J163</f>
        <v>24</v>
      </c>
      <c r="BG163" s="1344"/>
      <c r="BH163" s="1347"/>
      <c r="BI163" s="1399"/>
      <c r="BJ163" s="1399"/>
      <c r="BK163" s="1399"/>
    </row>
    <row r="164" s="1053" customFormat="1" ht="31" customHeight="1" spans="1:63">
      <c r="A164" s="1265">
        <v>45821</v>
      </c>
      <c r="B164" s="1266" t="s">
        <v>1671</v>
      </c>
      <c r="C164" s="1267" t="s">
        <v>398</v>
      </c>
      <c r="D164" s="1266">
        <v>4500169971</v>
      </c>
      <c r="E164" s="1269" t="s">
        <v>2571</v>
      </c>
      <c r="F164" s="1266" t="s">
        <v>2572</v>
      </c>
      <c r="G164" s="1101" t="s">
        <v>2109</v>
      </c>
      <c r="H164" s="1101" t="s">
        <v>2109</v>
      </c>
      <c r="I164" s="1098" t="s">
        <v>2042</v>
      </c>
      <c r="J164" s="1120">
        <v>24</v>
      </c>
      <c r="K164" s="1097">
        <v>0</v>
      </c>
      <c r="L164" s="1097">
        <v>24</v>
      </c>
      <c r="M164" s="1114">
        <v>1</v>
      </c>
      <c r="N164" s="1117">
        <v>45856</v>
      </c>
      <c r="O164" s="1117">
        <v>45852</v>
      </c>
      <c r="P164" s="1272"/>
      <c r="Q164" s="1362" t="s">
        <v>1480</v>
      </c>
      <c r="R164" s="1280"/>
      <c r="S164" s="1147" t="s">
        <v>1674</v>
      </c>
      <c r="T164" s="1281"/>
      <c r="U164" s="1281" t="s">
        <v>2555</v>
      </c>
      <c r="V164" s="1281" t="s">
        <v>2556</v>
      </c>
      <c r="W164" s="1148" t="s">
        <v>2568</v>
      </c>
      <c r="X164" s="1150" t="s">
        <v>220</v>
      </c>
      <c r="Y164" s="1165">
        <v>2.8203</v>
      </c>
      <c r="Z164" s="1166">
        <f t="shared" si="47"/>
        <v>67.6872</v>
      </c>
      <c r="AA164" s="1289"/>
      <c r="AB164" s="1137" t="s">
        <v>63</v>
      </c>
      <c r="AC164" s="1137" t="s">
        <v>2040</v>
      </c>
      <c r="AD164" s="1290">
        <v>24</v>
      </c>
      <c r="AE164" s="1289">
        <f t="shared" si="49"/>
        <v>0</v>
      </c>
      <c r="AF164" s="1291" t="s">
        <v>327</v>
      </c>
      <c r="AG164" s="1291"/>
      <c r="AH164" s="1188"/>
      <c r="AI164" s="1188"/>
      <c r="AJ164" s="1188">
        <f t="shared" si="48"/>
        <v>24</v>
      </c>
      <c r="AK164" s="1371"/>
      <c r="AL164" s="1372"/>
      <c r="AM164" s="1371"/>
      <c r="AN164" s="1371"/>
      <c r="AO164" s="1384"/>
      <c r="AP164" s="1372"/>
      <c r="AQ164" s="1375"/>
      <c r="AR164" s="1344">
        <f t="shared" si="50"/>
        <v>24</v>
      </c>
      <c r="AS164" s="1385"/>
      <c r="AT164" s="1386"/>
      <c r="AU164" s="1387"/>
      <c r="AV164" s="1387"/>
      <c r="AW164" s="1175"/>
      <c r="AX164" s="1387"/>
      <c r="AY164" s="1387"/>
      <c r="AZ164" s="1387"/>
      <c r="BA164" s="1175"/>
      <c r="BB164" s="1175"/>
      <c r="BC164" s="1175"/>
      <c r="BD164" s="1175"/>
      <c r="BE164" s="1175"/>
      <c r="BF164" s="1175">
        <f t="shared" si="51"/>
        <v>24</v>
      </c>
      <c r="BG164" s="1344"/>
      <c r="BH164" s="1347"/>
      <c r="BI164" s="1399"/>
      <c r="BJ164" s="1399"/>
      <c r="BK164" s="1399"/>
    </row>
    <row r="165" s="1053" customFormat="1" ht="31" customHeight="1" spans="1:63">
      <c r="A165" s="1265">
        <v>45821</v>
      </c>
      <c r="B165" s="1266" t="s">
        <v>1671</v>
      </c>
      <c r="C165" s="1267" t="s">
        <v>398</v>
      </c>
      <c r="D165" s="1266">
        <v>4500169971</v>
      </c>
      <c r="E165" s="1269" t="s">
        <v>2573</v>
      </c>
      <c r="F165" s="1266" t="s">
        <v>2574</v>
      </c>
      <c r="G165" s="1101" t="s">
        <v>2109</v>
      </c>
      <c r="H165" s="1101" t="s">
        <v>2109</v>
      </c>
      <c r="I165" s="1098" t="s">
        <v>2042</v>
      </c>
      <c r="J165" s="1120">
        <v>24</v>
      </c>
      <c r="K165" s="1097">
        <v>0</v>
      </c>
      <c r="L165" s="1097">
        <v>24</v>
      </c>
      <c r="M165" s="1114">
        <v>1</v>
      </c>
      <c r="N165" s="1117">
        <v>45856</v>
      </c>
      <c r="O165" s="1117">
        <v>45852</v>
      </c>
      <c r="P165" s="1272"/>
      <c r="Q165" s="1362" t="s">
        <v>1480</v>
      </c>
      <c r="R165" s="1280"/>
      <c r="S165" s="1147" t="s">
        <v>1674</v>
      </c>
      <c r="T165" s="1281"/>
      <c r="U165" s="1281" t="s">
        <v>2555</v>
      </c>
      <c r="V165" s="1281" t="s">
        <v>2556</v>
      </c>
      <c r="W165" s="1148" t="s">
        <v>2568</v>
      </c>
      <c r="X165" s="1150" t="s">
        <v>220</v>
      </c>
      <c r="Y165" s="1165">
        <v>2.8203</v>
      </c>
      <c r="Z165" s="1166">
        <f t="shared" si="47"/>
        <v>67.6872</v>
      </c>
      <c r="AA165" s="1289"/>
      <c r="AB165" s="1137" t="s">
        <v>63</v>
      </c>
      <c r="AC165" s="1137" t="s">
        <v>2040</v>
      </c>
      <c r="AD165" s="1290">
        <v>24</v>
      </c>
      <c r="AE165" s="1289">
        <f t="shared" si="49"/>
        <v>0</v>
      </c>
      <c r="AF165" s="1291" t="s">
        <v>327</v>
      </c>
      <c r="AG165" s="1291"/>
      <c r="AH165" s="1188"/>
      <c r="AI165" s="1188"/>
      <c r="AJ165" s="1188">
        <f t="shared" si="48"/>
        <v>24</v>
      </c>
      <c r="AK165" s="1371"/>
      <c r="AL165" s="1372"/>
      <c r="AM165" s="1371"/>
      <c r="AN165" s="1371"/>
      <c r="AO165" s="1384"/>
      <c r="AP165" s="1372"/>
      <c r="AQ165" s="1375"/>
      <c r="AR165" s="1344">
        <f t="shared" si="50"/>
        <v>24</v>
      </c>
      <c r="AS165" s="1385"/>
      <c r="AT165" s="1386"/>
      <c r="AU165" s="1387"/>
      <c r="AV165" s="1387"/>
      <c r="AW165" s="1175"/>
      <c r="AX165" s="1387"/>
      <c r="AY165" s="1387"/>
      <c r="AZ165" s="1387"/>
      <c r="BA165" s="1175"/>
      <c r="BB165" s="1175"/>
      <c r="BC165" s="1175"/>
      <c r="BD165" s="1175"/>
      <c r="BE165" s="1175"/>
      <c r="BF165" s="1175">
        <f t="shared" si="51"/>
        <v>24</v>
      </c>
      <c r="BG165" s="1344"/>
      <c r="BH165" s="1347"/>
      <c r="BI165" s="1399"/>
      <c r="BJ165" s="1399"/>
      <c r="BK165" s="1399"/>
    </row>
    <row r="166" s="1053" customFormat="1" ht="31" customHeight="1" spans="1:63">
      <c r="A166" s="1265">
        <v>45821</v>
      </c>
      <c r="B166" s="1266" t="s">
        <v>1671</v>
      </c>
      <c r="C166" s="1267" t="s">
        <v>398</v>
      </c>
      <c r="D166" s="1266">
        <v>4500169971</v>
      </c>
      <c r="E166" s="1269" t="s">
        <v>2575</v>
      </c>
      <c r="F166" s="1266" t="s">
        <v>2576</v>
      </c>
      <c r="G166" s="1101" t="s">
        <v>2109</v>
      </c>
      <c r="H166" s="1101" t="s">
        <v>2109</v>
      </c>
      <c r="I166" s="1098" t="s">
        <v>2042</v>
      </c>
      <c r="J166" s="1120">
        <v>24</v>
      </c>
      <c r="K166" s="1097">
        <v>0</v>
      </c>
      <c r="L166" s="1097">
        <v>24</v>
      </c>
      <c r="M166" s="1114">
        <v>1</v>
      </c>
      <c r="N166" s="1117">
        <v>45856</v>
      </c>
      <c r="O166" s="1117">
        <v>45852</v>
      </c>
      <c r="P166" s="1272"/>
      <c r="Q166" s="1362" t="s">
        <v>1480</v>
      </c>
      <c r="R166" s="1280"/>
      <c r="S166" s="1147" t="s">
        <v>1674</v>
      </c>
      <c r="T166" s="1281"/>
      <c r="U166" s="1281" t="s">
        <v>2555</v>
      </c>
      <c r="V166" s="1281" t="s">
        <v>2556</v>
      </c>
      <c r="W166" s="1148" t="s">
        <v>2568</v>
      </c>
      <c r="X166" s="1150" t="s">
        <v>220</v>
      </c>
      <c r="Y166" s="1165">
        <v>2.8203</v>
      </c>
      <c r="Z166" s="1166">
        <f t="shared" si="47"/>
        <v>67.6872</v>
      </c>
      <c r="AA166" s="1289"/>
      <c r="AB166" s="1137" t="s">
        <v>63</v>
      </c>
      <c r="AC166" s="1137" t="s">
        <v>2040</v>
      </c>
      <c r="AD166" s="1290">
        <v>24</v>
      </c>
      <c r="AE166" s="1289">
        <f t="shared" si="49"/>
        <v>0</v>
      </c>
      <c r="AF166" s="1291" t="s">
        <v>327</v>
      </c>
      <c r="AG166" s="1291"/>
      <c r="AH166" s="1188"/>
      <c r="AI166" s="1188"/>
      <c r="AJ166" s="1188">
        <f t="shared" si="48"/>
        <v>24</v>
      </c>
      <c r="AK166" s="1371"/>
      <c r="AL166" s="1372"/>
      <c r="AM166" s="1371"/>
      <c r="AN166" s="1371"/>
      <c r="AO166" s="1384"/>
      <c r="AP166" s="1372"/>
      <c r="AQ166" s="1375"/>
      <c r="AR166" s="1344">
        <f t="shared" si="50"/>
        <v>24</v>
      </c>
      <c r="AS166" s="1385"/>
      <c r="AT166" s="1386"/>
      <c r="AU166" s="1387"/>
      <c r="AV166" s="1387"/>
      <c r="AW166" s="1175"/>
      <c r="AX166" s="1387"/>
      <c r="AY166" s="1387"/>
      <c r="AZ166" s="1387"/>
      <c r="BA166" s="1175"/>
      <c r="BB166" s="1175"/>
      <c r="BC166" s="1175"/>
      <c r="BD166" s="1175"/>
      <c r="BE166" s="1175"/>
      <c r="BF166" s="1175">
        <f t="shared" si="51"/>
        <v>24</v>
      </c>
      <c r="BG166" s="1344"/>
      <c r="BH166" s="1347"/>
      <c r="BI166" s="1399"/>
      <c r="BJ166" s="1399"/>
      <c r="BK166" s="1399"/>
    </row>
    <row r="167" s="1053" customFormat="1" ht="31" customHeight="1" spans="1:63">
      <c r="A167" s="1265">
        <v>45821</v>
      </c>
      <c r="B167" s="1266" t="s">
        <v>1671</v>
      </c>
      <c r="C167" s="1267" t="s">
        <v>398</v>
      </c>
      <c r="D167" s="1266">
        <v>4500169971</v>
      </c>
      <c r="E167" s="1269" t="s">
        <v>2577</v>
      </c>
      <c r="F167" s="1266" t="s">
        <v>2578</v>
      </c>
      <c r="G167" s="1101" t="s">
        <v>2109</v>
      </c>
      <c r="H167" s="1101" t="s">
        <v>2109</v>
      </c>
      <c r="I167" s="1098" t="s">
        <v>2042</v>
      </c>
      <c r="J167" s="1120">
        <v>24</v>
      </c>
      <c r="K167" s="1097">
        <v>0</v>
      </c>
      <c r="L167" s="1097">
        <v>24</v>
      </c>
      <c r="M167" s="1114">
        <v>1</v>
      </c>
      <c r="N167" s="1117">
        <v>45856</v>
      </c>
      <c r="O167" s="1117">
        <v>45852</v>
      </c>
      <c r="P167" s="1272"/>
      <c r="Q167" s="1362" t="s">
        <v>1480</v>
      </c>
      <c r="R167" s="1280"/>
      <c r="S167" s="1147" t="s">
        <v>1674</v>
      </c>
      <c r="T167" s="1281"/>
      <c r="U167" s="1281" t="s">
        <v>2555</v>
      </c>
      <c r="V167" s="1281" t="s">
        <v>2556</v>
      </c>
      <c r="W167" s="1148" t="s">
        <v>2568</v>
      </c>
      <c r="X167" s="1150" t="s">
        <v>220</v>
      </c>
      <c r="Y167" s="1165">
        <v>2.8203</v>
      </c>
      <c r="Z167" s="1166">
        <f t="shared" si="47"/>
        <v>67.6872</v>
      </c>
      <c r="AA167" s="1289"/>
      <c r="AB167" s="1137" t="s">
        <v>63</v>
      </c>
      <c r="AC167" s="1137" t="s">
        <v>2040</v>
      </c>
      <c r="AD167" s="1290">
        <v>24</v>
      </c>
      <c r="AE167" s="1289">
        <f t="shared" si="49"/>
        <v>0</v>
      </c>
      <c r="AF167" s="1291" t="s">
        <v>327</v>
      </c>
      <c r="AG167" s="1291"/>
      <c r="AH167" s="1188"/>
      <c r="AI167" s="1188"/>
      <c r="AJ167" s="1188">
        <f t="shared" si="48"/>
        <v>24</v>
      </c>
      <c r="AK167" s="1371"/>
      <c r="AL167" s="1372"/>
      <c r="AM167" s="1371"/>
      <c r="AN167" s="1371"/>
      <c r="AO167" s="1384"/>
      <c r="AP167" s="1372"/>
      <c r="AQ167" s="1375"/>
      <c r="AR167" s="1344">
        <f t="shared" si="50"/>
        <v>24</v>
      </c>
      <c r="AS167" s="1385"/>
      <c r="AT167" s="1386"/>
      <c r="AU167" s="1387"/>
      <c r="AV167" s="1387"/>
      <c r="AW167" s="1175"/>
      <c r="AX167" s="1387"/>
      <c r="AY167" s="1387"/>
      <c r="AZ167" s="1387"/>
      <c r="BA167" s="1175"/>
      <c r="BB167" s="1175"/>
      <c r="BC167" s="1175"/>
      <c r="BD167" s="1175"/>
      <c r="BE167" s="1175"/>
      <c r="BF167" s="1175">
        <f t="shared" si="51"/>
        <v>24</v>
      </c>
      <c r="BG167" s="1344"/>
      <c r="BH167" s="1347"/>
      <c r="BI167" s="1399"/>
      <c r="BJ167" s="1399"/>
      <c r="BK167" s="1399"/>
    </row>
    <row r="168" s="1053" customFormat="1" ht="31" customHeight="1" spans="1:63">
      <c r="A168" s="1265">
        <v>45821</v>
      </c>
      <c r="B168" s="1266" t="s">
        <v>1671</v>
      </c>
      <c r="C168" s="1267" t="s">
        <v>398</v>
      </c>
      <c r="D168" s="1266">
        <v>4500169971</v>
      </c>
      <c r="E168" s="1269" t="s">
        <v>2579</v>
      </c>
      <c r="F168" s="1266" t="s">
        <v>2580</v>
      </c>
      <c r="G168" s="1101" t="s">
        <v>2109</v>
      </c>
      <c r="H168" s="1101" t="s">
        <v>2109</v>
      </c>
      <c r="I168" s="1098" t="s">
        <v>2042</v>
      </c>
      <c r="J168" s="1120">
        <v>24</v>
      </c>
      <c r="K168" s="1097">
        <v>0</v>
      </c>
      <c r="L168" s="1097">
        <v>24</v>
      </c>
      <c r="M168" s="1114">
        <v>1</v>
      </c>
      <c r="N168" s="1117">
        <v>45856</v>
      </c>
      <c r="O168" s="1117">
        <v>45852</v>
      </c>
      <c r="P168" s="1272"/>
      <c r="Q168" s="1362" t="s">
        <v>1480</v>
      </c>
      <c r="R168" s="1280"/>
      <c r="S168" s="1147" t="s">
        <v>1674</v>
      </c>
      <c r="T168" s="1281"/>
      <c r="U168" s="1281" t="s">
        <v>2555</v>
      </c>
      <c r="V168" s="1281" t="s">
        <v>2556</v>
      </c>
      <c r="W168" s="1148" t="s">
        <v>2568</v>
      </c>
      <c r="X168" s="1150" t="s">
        <v>220</v>
      </c>
      <c r="Y168" s="1165">
        <v>2.8203</v>
      </c>
      <c r="Z168" s="1166">
        <f t="shared" si="47"/>
        <v>67.6872</v>
      </c>
      <c r="AA168" s="1289"/>
      <c r="AB168" s="1137" t="s">
        <v>63</v>
      </c>
      <c r="AC168" s="1137" t="s">
        <v>2040</v>
      </c>
      <c r="AD168" s="1290">
        <v>24</v>
      </c>
      <c r="AE168" s="1289">
        <f t="shared" si="49"/>
        <v>0</v>
      </c>
      <c r="AF168" s="1291" t="s">
        <v>327</v>
      </c>
      <c r="AG168" s="1291"/>
      <c r="AH168" s="1188"/>
      <c r="AI168" s="1188"/>
      <c r="AJ168" s="1188">
        <f t="shared" si="48"/>
        <v>24</v>
      </c>
      <c r="AK168" s="1371"/>
      <c r="AL168" s="1372"/>
      <c r="AM168" s="1371"/>
      <c r="AN168" s="1371"/>
      <c r="AO168" s="1384"/>
      <c r="AP168" s="1372"/>
      <c r="AQ168" s="1375"/>
      <c r="AR168" s="1344">
        <f t="shared" si="50"/>
        <v>24</v>
      </c>
      <c r="AS168" s="1385"/>
      <c r="AT168" s="1386"/>
      <c r="AU168" s="1387"/>
      <c r="AV168" s="1387"/>
      <c r="AW168" s="1175"/>
      <c r="AX168" s="1387"/>
      <c r="AY168" s="1387"/>
      <c r="AZ168" s="1387"/>
      <c r="BA168" s="1175"/>
      <c r="BB168" s="1175"/>
      <c r="BC168" s="1175"/>
      <c r="BD168" s="1175"/>
      <c r="BE168" s="1175"/>
      <c r="BF168" s="1175">
        <f t="shared" si="51"/>
        <v>24</v>
      </c>
      <c r="BG168" s="1344"/>
      <c r="BH168" s="1347"/>
      <c r="BI168" s="1399"/>
      <c r="BJ168" s="1399"/>
      <c r="BK168" s="1399"/>
    </row>
    <row r="169" s="1053" customFormat="1" ht="31" customHeight="1" spans="1:63">
      <c r="A169" s="1265">
        <v>45821</v>
      </c>
      <c r="B169" s="1266" t="s">
        <v>1671</v>
      </c>
      <c r="C169" s="1267" t="s">
        <v>398</v>
      </c>
      <c r="D169" s="1266">
        <v>4500169971</v>
      </c>
      <c r="E169" s="1269" t="s">
        <v>2581</v>
      </c>
      <c r="F169" s="1266" t="s">
        <v>2582</v>
      </c>
      <c r="G169" s="1101" t="s">
        <v>2109</v>
      </c>
      <c r="H169" s="1101" t="s">
        <v>2109</v>
      </c>
      <c r="I169" s="1098" t="s">
        <v>2042</v>
      </c>
      <c r="J169" s="1120">
        <v>24</v>
      </c>
      <c r="K169" s="1097">
        <v>0</v>
      </c>
      <c r="L169" s="1097">
        <v>24</v>
      </c>
      <c r="M169" s="1114">
        <v>1</v>
      </c>
      <c r="N169" s="1117">
        <v>45856</v>
      </c>
      <c r="O169" s="1117">
        <v>45852</v>
      </c>
      <c r="P169" s="1272"/>
      <c r="Q169" s="1362" t="s">
        <v>1480</v>
      </c>
      <c r="R169" s="1280"/>
      <c r="S169" s="1147" t="s">
        <v>1674</v>
      </c>
      <c r="T169" s="1281"/>
      <c r="U169" s="1281" t="s">
        <v>2555</v>
      </c>
      <c r="V169" s="1281" t="s">
        <v>2556</v>
      </c>
      <c r="W169" s="1148" t="s">
        <v>2568</v>
      </c>
      <c r="X169" s="1150" t="s">
        <v>220</v>
      </c>
      <c r="Y169" s="1165">
        <v>2.8203</v>
      </c>
      <c r="Z169" s="1166">
        <f t="shared" si="47"/>
        <v>67.6872</v>
      </c>
      <c r="AA169" s="1289"/>
      <c r="AB169" s="1137" t="s">
        <v>63</v>
      </c>
      <c r="AC169" s="1137" t="s">
        <v>2040</v>
      </c>
      <c r="AD169" s="1290">
        <v>24</v>
      </c>
      <c r="AE169" s="1289">
        <f t="shared" si="49"/>
        <v>0</v>
      </c>
      <c r="AF169" s="1291" t="s">
        <v>327</v>
      </c>
      <c r="AG169" s="1291"/>
      <c r="AH169" s="1188"/>
      <c r="AI169" s="1188"/>
      <c r="AJ169" s="1188">
        <f t="shared" si="48"/>
        <v>24</v>
      </c>
      <c r="AK169" s="1371"/>
      <c r="AL169" s="1372"/>
      <c r="AM169" s="1371"/>
      <c r="AN169" s="1371"/>
      <c r="AO169" s="1384"/>
      <c r="AP169" s="1372"/>
      <c r="AQ169" s="1375"/>
      <c r="AR169" s="1344">
        <f t="shared" si="50"/>
        <v>24</v>
      </c>
      <c r="AS169" s="1385"/>
      <c r="AT169" s="1386"/>
      <c r="AU169" s="1387"/>
      <c r="AV169" s="1387"/>
      <c r="AW169" s="1175"/>
      <c r="AX169" s="1387"/>
      <c r="AY169" s="1387"/>
      <c r="AZ169" s="1387"/>
      <c r="BA169" s="1175"/>
      <c r="BB169" s="1175"/>
      <c r="BC169" s="1175"/>
      <c r="BD169" s="1175"/>
      <c r="BE169" s="1175"/>
      <c r="BF169" s="1175">
        <f t="shared" si="51"/>
        <v>24</v>
      </c>
      <c r="BG169" s="1344"/>
      <c r="BH169" s="1347"/>
      <c r="BI169" s="1399"/>
      <c r="BJ169" s="1399"/>
      <c r="BK169" s="1399"/>
    </row>
    <row r="170" s="1053" customFormat="1" ht="31" customHeight="1" spans="1:63">
      <c r="A170" s="1265">
        <v>45821</v>
      </c>
      <c r="B170" s="1266" t="s">
        <v>1671</v>
      </c>
      <c r="C170" s="1267" t="s">
        <v>398</v>
      </c>
      <c r="D170" s="1266">
        <v>4500169971</v>
      </c>
      <c r="E170" s="1269" t="s">
        <v>2583</v>
      </c>
      <c r="F170" s="1266" t="s">
        <v>2584</v>
      </c>
      <c r="G170" s="1101" t="s">
        <v>2109</v>
      </c>
      <c r="H170" s="1101" t="s">
        <v>2109</v>
      </c>
      <c r="I170" s="1098" t="s">
        <v>2042</v>
      </c>
      <c r="J170" s="1120">
        <v>24</v>
      </c>
      <c r="K170" s="1097">
        <v>0</v>
      </c>
      <c r="L170" s="1097">
        <v>24</v>
      </c>
      <c r="M170" s="1114">
        <v>1</v>
      </c>
      <c r="N170" s="1117">
        <v>45856</v>
      </c>
      <c r="O170" s="1117">
        <v>45852</v>
      </c>
      <c r="P170" s="1272"/>
      <c r="Q170" s="1362" t="s">
        <v>1480</v>
      </c>
      <c r="R170" s="1280"/>
      <c r="S170" s="1147" t="s">
        <v>1674</v>
      </c>
      <c r="T170" s="1281"/>
      <c r="U170" s="1281" t="s">
        <v>2555</v>
      </c>
      <c r="V170" s="1281" t="s">
        <v>2556</v>
      </c>
      <c r="W170" s="1148" t="s">
        <v>2568</v>
      </c>
      <c r="X170" s="1150" t="s">
        <v>220</v>
      </c>
      <c r="Y170" s="1165">
        <v>2.8203</v>
      </c>
      <c r="Z170" s="1166">
        <f t="shared" si="47"/>
        <v>67.6872</v>
      </c>
      <c r="AA170" s="1289"/>
      <c r="AB170" s="1137" t="s">
        <v>63</v>
      </c>
      <c r="AC170" s="1137" t="s">
        <v>2040</v>
      </c>
      <c r="AD170" s="1290">
        <v>24</v>
      </c>
      <c r="AE170" s="1289">
        <f t="shared" si="49"/>
        <v>0</v>
      </c>
      <c r="AF170" s="1291" t="s">
        <v>327</v>
      </c>
      <c r="AG170" s="1291"/>
      <c r="AH170" s="1188"/>
      <c r="AI170" s="1188"/>
      <c r="AJ170" s="1188">
        <f t="shared" si="48"/>
        <v>24</v>
      </c>
      <c r="AK170" s="1371"/>
      <c r="AL170" s="1372"/>
      <c r="AM170" s="1371"/>
      <c r="AN170" s="1371"/>
      <c r="AO170" s="1384"/>
      <c r="AP170" s="1372"/>
      <c r="AQ170" s="1375"/>
      <c r="AR170" s="1344">
        <f t="shared" si="50"/>
        <v>24</v>
      </c>
      <c r="AS170" s="1385"/>
      <c r="AT170" s="1386"/>
      <c r="AU170" s="1387"/>
      <c r="AV170" s="1387"/>
      <c r="AW170" s="1175"/>
      <c r="AX170" s="1387"/>
      <c r="AY170" s="1387"/>
      <c r="AZ170" s="1387"/>
      <c r="BA170" s="1175"/>
      <c r="BB170" s="1175"/>
      <c r="BC170" s="1175"/>
      <c r="BD170" s="1175"/>
      <c r="BE170" s="1175"/>
      <c r="BF170" s="1175">
        <f t="shared" si="51"/>
        <v>24</v>
      </c>
      <c r="BG170" s="1344"/>
      <c r="BH170" s="1347"/>
      <c r="BI170" s="1399"/>
      <c r="BJ170" s="1399"/>
      <c r="BK170" s="1399"/>
    </row>
    <row r="171" s="1053" customFormat="1" ht="31" customHeight="1" spans="1:63">
      <c r="A171" s="1265">
        <v>45814</v>
      </c>
      <c r="B171" s="1266" t="s">
        <v>1474</v>
      </c>
      <c r="C171" s="1267" t="s">
        <v>398</v>
      </c>
      <c r="D171" s="1266">
        <v>4500169319</v>
      </c>
      <c r="E171" s="1269" t="s">
        <v>2585</v>
      </c>
      <c r="F171" s="1266" t="s">
        <v>2586</v>
      </c>
      <c r="G171" s="1101" t="s">
        <v>2258</v>
      </c>
      <c r="H171" s="1101" t="s">
        <v>2118</v>
      </c>
      <c r="I171" s="1098" t="s">
        <v>2119</v>
      </c>
      <c r="J171" s="1120">
        <v>372</v>
      </c>
      <c r="K171" s="1097">
        <v>0</v>
      </c>
      <c r="L171" s="1097">
        <v>12</v>
      </c>
      <c r="M171" s="1114">
        <f>J171/L171</f>
        <v>31</v>
      </c>
      <c r="N171" s="1117">
        <v>45856</v>
      </c>
      <c r="O171" s="1117">
        <v>45852</v>
      </c>
      <c r="P171" s="1272"/>
      <c r="Q171" s="1285" t="s">
        <v>1480</v>
      </c>
      <c r="R171" s="1280" t="s">
        <v>2587</v>
      </c>
      <c r="S171" s="1147" t="s">
        <v>1690</v>
      </c>
      <c r="T171" s="1281"/>
      <c r="U171" s="1281" t="s">
        <v>2588</v>
      </c>
      <c r="V171" s="1282" t="s">
        <v>2589</v>
      </c>
      <c r="W171" s="1148" t="s">
        <v>2590</v>
      </c>
      <c r="X171" s="1150" t="s">
        <v>2591</v>
      </c>
      <c r="Y171" s="1292">
        <v>2.9064</v>
      </c>
      <c r="Z171" s="1166">
        <v>1081.1808</v>
      </c>
      <c r="AA171" s="1289"/>
      <c r="AB171" s="1137" t="s">
        <v>63</v>
      </c>
      <c r="AC171" s="1137" t="s">
        <v>2040</v>
      </c>
      <c r="AD171" s="1290">
        <v>372</v>
      </c>
      <c r="AE171" s="1289">
        <f t="shared" si="49"/>
        <v>0</v>
      </c>
      <c r="AF171" s="1291" t="s">
        <v>327</v>
      </c>
      <c r="AG171" s="1291"/>
      <c r="AH171" s="1188">
        <v>124</v>
      </c>
      <c r="AI171" s="1188">
        <v>124</v>
      </c>
      <c r="AJ171" s="1188">
        <v>124</v>
      </c>
      <c r="AK171" s="1373"/>
      <c r="AL171" s="1374"/>
      <c r="AM171" s="1373"/>
      <c r="AN171" s="1373"/>
      <c r="AO171" s="1388"/>
      <c r="AP171" s="1374"/>
      <c r="AQ171" s="1389"/>
      <c r="AR171" s="1344">
        <f t="shared" si="50"/>
        <v>372</v>
      </c>
      <c r="AS171" s="1390"/>
      <c r="AT171" s="1391"/>
      <c r="AU171" s="1392"/>
      <c r="AV171" s="1392"/>
      <c r="AW171" s="1175"/>
      <c r="AX171" s="1392"/>
      <c r="AY171" s="1392"/>
      <c r="AZ171" s="1392"/>
      <c r="BA171" s="1175">
        <f>J171</f>
        <v>372</v>
      </c>
      <c r="BB171" s="1175"/>
      <c r="BC171" s="1175"/>
      <c r="BD171" s="1175"/>
      <c r="BE171" s="1175"/>
      <c r="BF171" s="1397"/>
      <c r="BG171" s="1344"/>
      <c r="BH171" s="1347"/>
      <c r="BI171" s="1400"/>
      <c r="BJ171" s="1400"/>
      <c r="BK171" s="1400"/>
    </row>
    <row r="172" s="1053" customFormat="1" ht="31" customHeight="1" spans="1:63">
      <c r="A172" s="1265">
        <v>45824</v>
      </c>
      <c r="B172" s="1266" t="s">
        <v>1671</v>
      </c>
      <c r="C172" s="1267" t="s">
        <v>398</v>
      </c>
      <c r="D172" s="1266">
        <v>4500170137</v>
      </c>
      <c r="E172" s="1269" t="s">
        <v>2592</v>
      </c>
      <c r="F172" s="1266" t="s">
        <v>2593</v>
      </c>
      <c r="G172" s="1101" t="s">
        <v>2390</v>
      </c>
      <c r="H172" s="1101" t="s">
        <v>2390</v>
      </c>
      <c r="I172" s="1270" t="s">
        <v>2063</v>
      </c>
      <c r="J172" s="1120">
        <v>24</v>
      </c>
      <c r="K172" s="1097">
        <v>0</v>
      </c>
      <c r="L172" s="1097">
        <v>24</v>
      </c>
      <c r="M172" s="1114">
        <f>J172/L172</f>
        <v>1</v>
      </c>
      <c r="N172" s="1117">
        <v>45859</v>
      </c>
      <c r="O172" s="1117">
        <v>45855</v>
      </c>
      <c r="P172" s="1272"/>
      <c r="Q172" s="1362" t="s">
        <v>1480</v>
      </c>
      <c r="R172" s="1280"/>
      <c r="S172" s="1147" t="s">
        <v>1690</v>
      </c>
      <c r="T172" s="1281"/>
      <c r="U172" s="1281" t="s">
        <v>2555</v>
      </c>
      <c r="V172" s="1281" t="s">
        <v>2556</v>
      </c>
      <c r="W172" s="1148" t="s">
        <v>2594</v>
      </c>
      <c r="X172" s="1150" t="s">
        <v>220</v>
      </c>
      <c r="Y172" s="1165">
        <v>2.8755</v>
      </c>
      <c r="Z172" s="1166">
        <f t="shared" ref="Z172:Z186" si="52">Y172*J172</f>
        <v>69.012</v>
      </c>
      <c r="AA172" s="1289"/>
      <c r="AB172" s="1137" t="s">
        <v>63</v>
      </c>
      <c r="AC172" s="1137" t="s">
        <v>2040</v>
      </c>
      <c r="AD172" s="1290">
        <v>24</v>
      </c>
      <c r="AE172" s="1289">
        <f t="shared" si="49"/>
        <v>0</v>
      </c>
      <c r="AF172" s="1291" t="s">
        <v>327</v>
      </c>
      <c r="AG172" s="1291"/>
      <c r="AH172" s="1188"/>
      <c r="AI172" s="1188">
        <f>J172</f>
        <v>24</v>
      </c>
      <c r="AJ172" s="1188"/>
      <c r="AK172" s="1371"/>
      <c r="AL172" s="1372"/>
      <c r="AM172" s="1371"/>
      <c r="AN172" s="1371"/>
      <c r="AO172" s="1384"/>
      <c r="AP172" s="1372"/>
      <c r="AQ172" s="1375"/>
      <c r="AR172" s="1344">
        <f t="shared" si="50"/>
        <v>24</v>
      </c>
      <c r="AS172" s="1385"/>
      <c r="AT172" s="1386"/>
      <c r="AU172" s="1387"/>
      <c r="AV172" s="1387"/>
      <c r="AW172" s="1175"/>
      <c r="AX172" s="1387"/>
      <c r="AY172" s="1387"/>
      <c r="AZ172" s="1387"/>
      <c r="BA172" s="1175"/>
      <c r="BB172" s="1175"/>
      <c r="BC172" s="1175"/>
      <c r="BD172" s="1175"/>
      <c r="BE172" s="1175"/>
      <c r="BF172" s="1175">
        <f>J172</f>
        <v>24</v>
      </c>
      <c r="BG172" s="1344"/>
      <c r="BH172" s="1347"/>
      <c r="BI172" s="1399"/>
      <c r="BJ172" s="1399"/>
      <c r="BK172" s="1399"/>
    </row>
    <row r="173" s="1053" customFormat="1" ht="31" customHeight="1" spans="1:63">
      <c r="A173" s="1265">
        <v>45824</v>
      </c>
      <c r="B173" s="1266" t="s">
        <v>1671</v>
      </c>
      <c r="C173" s="1267" t="s">
        <v>398</v>
      </c>
      <c r="D173" s="1266">
        <v>4500170137</v>
      </c>
      <c r="E173" s="1269" t="s">
        <v>2595</v>
      </c>
      <c r="F173" s="1266" t="s">
        <v>2596</v>
      </c>
      <c r="G173" s="1101" t="s">
        <v>2390</v>
      </c>
      <c r="H173" s="1101" t="s">
        <v>2390</v>
      </c>
      <c r="I173" s="1270" t="s">
        <v>2063</v>
      </c>
      <c r="J173" s="1120">
        <v>24</v>
      </c>
      <c r="K173" s="1097">
        <v>0</v>
      </c>
      <c r="L173" s="1097">
        <v>24</v>
      </c>
      <c r="M173" s="1114">
        <f>J173/L173</f>
        <v>1</v>
      </c>
      <c r="N173" s="1117">
        <v>45859</v>
      </c>
      <c r="O173" s="1117">
        <v>45855</v>
      </c>
      <c r="P173" s="1272"/>
      <c r="Q173" s="1362" t="s">
        <v>1480</v>
      </c>
      <c r="R173" s="1280"/>
      <c r="S173" s="1147" t="s">
        <v>1690</v>
      </c>
      <c r="T173" s="1281"/>
      <c r="U173" s="1281" t="s">
        <v>2555</v>
      </c>
      <c r="V173" s="1281" t="s">
        <v>2556</v>
      </c>
      <c r="W173" s="1148" t="s">
        <v>2594</v>
      </c>
      <c r="X173" s="1150" t="s">
        <v>220</v>
      </c>
      <c r="Y173" s="1165">
        <v>2.8755</v>
      </c>
      <c r="Z173" s="1166">
        <f t="shared" si="52"/>
        <v>69.012</v>
      </c>
      <c r="AA173" s="1289"/>
      <c r="AB173" s="1137" t="s">
        <v>63</v>
      </c>
      <c r="AC173" s="1137" t="s">
        <v>2040</v>
      </c>
      <c r="AD173" s="1290">
        <v>24</v>
      </c>
      <c r="AE173" s="1289">
        <f t="shared" si="49"/>
        <v>0</v>
      </c>
      <c r="AF173" s="1291" t="s">
        <v>327</v>
      </c>
      <c r="AG173" s="1291"/>
      <c r="AH173" s="1188"/>
      <c r="AI173" s="1188">
        <f>J173</f>
        <v>24</v>
      </c>
      <c r="AJ173" s="1188"/>
      <c r="AK173" s="1371"/>
      <c r="AL173" s="1372"/>
      <c r="AM173" s="1371"/>
      <c r="AN173" s="1371"/>
      <c r="AO173" s="1384"/>
      <c r="AP173" s="1372"/>
      <c r="AQ173" s="1375"/>
      <c r="AR173" s="1344">
        <f t="shared" si="50"/>
        <v>24</v>
      </c>
      <c r="AS173" s="1385"/>
      <c r="AT173" s="1386"/>
      <c r="AU173" s="1387"/>
      <c r="AV173" s="1387"/>
      <c r="AW173" s="1175"/>
      <c r="AX173" s="1387"/>
      <c r="AY173" s="1387"/>
      <c r="AZ173" s="1387"/>
      <c r="BA173" s="1175"/>
      <c r="BB173" s="1175"/>
      <c r="BC173" s="1175"/>
      <c r="BD173" s="1175"/>
      <c r="BE173" s="1175"/>
      <c r="BF173" s="1175">
        <f>J173</f>
        <v>24</v>
      </c>
      <c r="BG173" s="1344"/>
      <c r="BH173" s="1347"/>
      <c r="BI173" s="1399"/>
      <c r="BJ173" s="1399"/>
      <c r="BK173" s="1399"/>
    </row>
    <row r="174" s="1053" customFormat="1" ht="31" customHeight="1" spans="1:63">
      <c r="A174" s="1265">
        <v>45824</v>
      </c>
      <c r="B174" s="1266" t="s">
        <v>1671</v>
      </c>
      <c r="C174" s="1267" t="s">
        <v>398</v>
      </c>
      <c r="D174" s="1266">
        <v>4500170137</v>
      </c>
      <c r="E174" s="1269" t="s">
        <v>2597</v>
      </c>
      <c r="F174" s="1266" t="s">
        <v>2598</v>
      </c>
      <c r="G174" s="1101" t="s">
        <v>2390</v>
      </c>
      <c r="H174" s="1101" t="s">
        <v>2390</v>
      </c>
      <c r="I174" s="1270" t="s">
        <v>2063</v>
      </c>
      <c r="J174" s="1120">
        <v>24</v>
      </c>
      <c r="K174" s="1097">
        <v>0</v>
      </c>
      <c r="L174" s="1097">
        <v>24</v>
      </c>
      <c r="M174" s="1114">
        <f>J174/L174</f>
        <v>1</v>
      </c>
      <c r="N174" s="1117">
        <v>45859</v>
      </c>
      <c r="O174" s="1117">
        <v>45855</v>
      </c>
      <c r="P174" s="1272"/>
      <c r="Q174" s="1362" t="s">
        <v>1480</v>
      </c>
      <c r="R174" s="1280"/>
      <c r="S174" s="1147" t="s">
        <v>1690</v>
      </c>
      <c r="T174" s="1281"/>
      <c r="U174" s="1281" t="s">
        <v>2555</v>
      </c>
      <c r="V174" s="1281" t="s">
        <v>2556</v>
      </c>
      <c r="W174" s="1148" t="s">
        <v>2594</v>
      </c>
      <c r="X174" s="1150" t="s">
        <v>220</v>
      </c>
      <c r="Y174" s="1165">
        <v>2.8755</v>
      </c>
      <c r="Z174" s="1166">
        <f t="shared" si="52"/>
        <v>69.012</v>
      </c>
      <c r="AA174" s="1289"/>
      <c r="AB174" s="1137" t="s">
        <v>63</v>
      </c>
      <c r="AC174" s="1137" t="s">
        <v>2040</v>
      </c>
      <c r="AD174" s="1290">
        <v>24</v>
      </c>
      <c r="AE174" s="1289">
        <f t="shared" si="49"/>
        <v>0</v>
      </c>
      <c r="AF174" s="1291" t="s">
        <v>327</v>
      </c>
      <c r="AG174" s="1291"/>
      <c r="AH174" s="1188"/>
      <c r="AI174" s="1188">
        <f>J174</f>
        <v>24</v>
      </c>
      <c r="AJ174" s="1188"/>
      <c r="AK174" s="1371"/>
      <c r="AL174" s="1372"/>
      <c r="AM174" s="1371"/>
      <c r="AN174" s="1371"/>
      <c r="AO174" s="1384"/>
      <c r="AP174" s="1372"/>
      <c r="AQ174" s="1375"/>
      <c r="AR174" s="1344">
        <f t="shared" si="50"/>
        <v>24</v>
      </c>
      <c r="AS174" s="1385"/>
      <c r="AT174" s="1386"/>
      <c r="AU174" s="1387"/>
      <c r="AV174" s="1387"/>
      <c r="AW174" s="1175"/>
      <c r="AX174" s="1387"/>
      <c r="AY174" s="1387"/>
      <c r="AZ174" s="1387"/>
      <c r="BA174" s="1175"/>
      <c r="BB174" s="1175"/>
      <c r="BC174" s="1175"/>
      <c r="BD174" s="1175"/>
      <c r="BE174" s="1175"/>
      <c r="BF174" s="1175">
        <f>J174</f>
        <v>24</v>
      </c>
      <c r="BG174" s="1344"/>
      <c r="BH174" s="1347"/>
      <c r="BI174" s="1399"/>
      <c r="BJ174" s="1399"/>
      <c r="BK174" s="1399"/>
    </row>
    <row r="175" s="1053" customFormat="1" ht="31" customHeight="1" spans="1:63">
      <c r="A175" s="1265">
        <v>45824</v>
      </c>
      <c r="B175" s="1266" t="s">
        <v>1671</v>
      </c>
      <c r="C175" s="1267" t="s">
        <v>398</v>
      </c>
      <c r="D175" s="1266">
        <v>4500170137</v>
      </c>
      <c r="E175" s="1269" t="s">
        <v>2599</v>
      </c>
      <c r="F175" s="1266" t="s">
        <v>2600</v>
      </c>
      <c r="G175" s="1101" t="s">
        <v>2109</v>
      </c>
      <c r="H175" s="1101" t="s">
        <v>2109</v>
      </c>
      <c r="I175" s="1098" t="s">
        <v>2042</v>
      </c>
      <c r="J175" s="1120">
        <v>24</v>
      </c>
      <c r="K175" s="1097">
        <v>0</v>
      </c>
      <c r="L175" s="1097">
        <v>24</v>
      </c>
      <c r="M175" s="1114">
        <v>1</v>
      </c>
      <c r="N175" s="1117">
        <v>45859</v>
      </c>
      <c r="O175" s="1117">
        <v>45855</v>
      </c>
      <c r="P175" s="1272"/>
      <c r="Q175" s="1362" t="s">
        <v>1480</v>
      </c>
      <c r="R175" s="1280"/>
      <c r="S175" s="1147" t="s">
        <v>1690</v>
      </c>
      <c r="T175" s="1281"/>
      <c r="U175" s="1281" t="s">
        <v>2555</v>
      </c>
      <c r="V175" s="1281" t="s">
        <v>2556</v>
      </c>
      <c r="W175" s="1148" t="s">
        <v>2594</v>
      </c>
      <c r="X175" s="1150" t="s">
        <v>220</v>
      </c>
      <c r="Y175" s="1165">
        <v>2.8203</v>
      </c>
      <c r="Z175" s="1166">
        <f t="shared" si="52"/>
        <v>67.6872</v>
      </c>
      <c r="AA175" s="1289"/>
      <c r="AB175" s="1137" t="s">
        <v>63</v>
      </c>
      <c r="AC175" s="1137" t="s">
        <v>2040</v>
      </c>
      <c r="AD175" s="1290">
        <v>24</v>
      </c>
      <c r="AE175" s="1289">
        <f t="shared" si="49"/>
        <v>0</v>
      </c>
      <c r="AF175" s="1291" t="s">
        <v>327</v>
      </c>
      <c r="AG175" s="1291"/>
      <c r="AH175" s="1188"/>
      <c r="AI175" s="1188"/>
      <c r="AJ175" s="1188">
        <f>J175</f>
        <v>24</v>
      </c>
      <c r="AK175" s="1371"/>
      <c r="AL175" s="1372"/>
      <c r="AM175" s="1371"/>
      <c r="AN175" s="1371"/>
      <c r="AO175" s="1384"/>
      <c r="AP175" s="1372"/>
      <c r="AQ175" s="1375"/>
      <c r="AR175" s="1344">
        <f t="shared" si="50"/>
        <v>24</v>
      </c>
      <c r="AS175" s="1385"/>
      <c r="AT175" s="1386"/>
      <c r="AU175" s="1387"/>
      <c r="AV175" s="1387"/>
      <c r="AW175" s="1175"/>
      <c r="AX175" s="1387"/>
      <c r="AY175" s="1387"/>
      <c r="AZ175" s="1387"/>
      <c r="BA175" s="1175"/>
      <c r="BB175" s="1175"/>
      <c r="BC175" s="1175"/>
      <c r="BD175" s="1175"/>
      <c r="BE175" s="1175"/>
      <c r="BF175" s="1175">
        <f>J175</f>
        <v>24</v>
      </c>
      <c r="BG175" s="1344"/>
      <c r="BH175" s="1347"/>
      <c r="BI175" s="1399"/>
      <c r="BJ175" s="1399"/>
      <c r="BK175" s="1399"/>
    </row>
    <row r="176" s="1053" customFormat="1" ht="31" customHeight="1" spans="1:63">
      <c r="A176" s="1265">
        <v>45799</v>
      </c>
      <c r="B176" s="1266" t="s">
        <v>122</v>
      </c>
      <c r="C176" s="1267" t="s">
        <v>123</v>
      </c>
      <c r="D176" s="1266">
        <v>4500167625</v>
      </c>
      <c r="E176" s="1269">
        <v>4500167625</v>
      </c>
      <c r="F176" s="1266" t="s">
        <v>2601</v>
      </c>
      <c r="G176" s="1101" t="s">
        <v>2309</v>
      </c>
      <c r="H176" s="1101" t="s">
        <v>2310</v>
      </c>
      <c r="I176" s="1098" t="s">
        <v>2042</v>
      </c>
      <c r="J176" s="1120">
        <v>1500</v>
      </c>
      <c r="K176" s="1097">
        <v>0</v>
      </c>
      <c r="L176" s="1097">
        <v>12</v>
      </c>
      <c r="M176" s="1114">
        <f t="shared" ref="M176:M186" si="53">J176/L176</f>
        <v>125</v>
      </c>
      <c r="N176" s="1117">
        <v>45870</v>
      </c>
      <c r="O176" s="1117">
        <v>45866</v>
      </c>
      <c r="P176" s="1272"/>
      <c r="Q176" s="1285" t="s">
        <v>1480</v>
      </c>
      <c r="R176" s="1280" t="s">
        <v>2602</v>
      </c>
      <c r="S176" s="1147" t="s">
        <v>796</v>
      </c>
      <c r="T176" s="1281"/>
      <c r="U176" s="1281" t="s">
        <v>2603</v>
      </c>
      <c r="V176" s="1282" t="s">
        <v>2604</v>
      </c>
      <c r="W176" s="1148" t="s">
        <v>2605</v>
      </c>
      <c r="X176" s="1150" t="s">
        <v>674</v>
      </c>
      <c r="Y176" s="1292">
        <v>2.8454</v>
      </c>
      <c r="Z176" s="1166">
        <f t="shared" si="52"/>
        <v>4268.1</v>
      </c>
      <c r="AA176" s="1289"/>
      <c r="AB176" s="1137" t="s">
        <v>63</v>
      </c>
      <c r="AC176" s="1137" t="s">
        <v>2040</v>
      </c>
      <c r="AD176" s="1290">
        <v>1500</v>
      </c>
      <c r="AE176" s="1289">
        <f t="shared" si="49"/>
        <v>0</v>
      </c>
      <c r="AF176" s="1291" t="s">
        <v>327</v>
      </c>
      <c r="AG176" s="1291"/>
      <c r="AH176" s="1188"/>
      <c r="AI176" s="1188"/>
      <c r="AJ176" s="1188">
        <f>J176</f>
        <v>1500</v>
      </c>
      <c r="AK176" s="1310"/>
      <c r="AL176" s="1311"/>
      <c r="AM176" s="1311"/>
      <c r="AN176" s="1312"/>
      <c r="AO176" s="1312"/>
      <c r="AP176" s="1312"/>
      <c r="AQ176" s="1312"/>
      <c r="AR176" s="1319">
        <f t="shared" si="50"/>
        <v>1500</v>
      </c>
      <c r="AS176" s="1332"/>
      <c r="AT176" s="1333"/>
      <c r="AU176" s="1228"/>
      <c r="AV176" s="1228"/>
      <c r="AW176" s="1214"/>
      <c r="AX176" s="1228"/>
      <c r="AY176" s="1312"/>
      <c r="AZ176" s="1312"/>
      <c r="BA176" s="1319">
        <f>J176</f>
        <v>1500</v>
      </c>
      <c r="BB176" s="1319"/>
      <c r="BC176" s="1338"/>
      <c r="BD176" s="1214"/>
      <c r="BE176" s="1346"/>
      <c r="BF176" s="1346"/>
      <c r="BG176" s="1344"/>
      <c r="BH176" s="1347"/>
      <c r="BI176" s="1356"/>
      <c r="BJ176" s="1263"/>
      <c r="BK176" s="1263"/>
    </row>
    <row r="177" s="1053" customFormat="1" ht="31" customHeight="1" spans="1:63">
      <c r="A177" s="1265">
        <v>45799</v>
      </c>
      <c r="B177" s="1266" t="s">
        <v>122</v>
      </c>
      <c r="C177" s="1267" t="s">
        <v>123</v>
      </c>
      <c r="D177" s="1266">
        <v>4500167625</v>
      </c>
      <c r="E177" s="1269">
        <v>4500167625</v>
      </c>
      <c r="F177" s="1266" t="s">
        <v>2606</v>
      </c>
      <c r="G177" s="1101" t="s">
        <v>2444</v>
      </c>
      <c r="H177" s="1101" t="s">
        <v>2445</v>
      </c>
      <c r="I177" s="1098" t="s">
        <v>2446</v>
      </c>
      <c r="J177" s="1120">
        <v>1200</v>
      </c>
      <c r="K177" s="1097">
        <v>0</v>
      </c>
      <c r="L177" s="1097">
        <v>12</v>
      </c>
      <c r="M177" s="1114">
        <f t="shared" si="53"/>
        <v>100</v>
      </c>
      <c r="N177" s="1117">
        <v>45870</v>
      </c>
      <c r="O177" s="1117">
        <v>45866</v>
      </c>
      <c r="P177" s="1272"/>
      <c r="Q177" s="1285" t="s">
        <v>1480</v>
      </c>
      <c r="R177" s="1280" t="s">
        <v>2602</v>
      </c>
      <c r="S177" s="1147" t="s">
        <v>796</v>
      </c>
      <c r="T177" s="1281"/>
      <c r="U177" s="1281" t="s">
        <v>2603</v>
      </c>
      <c r="V177" s="1282" t="s">
        <v>2447</v>
      </c>
      <c r="W177" s="1148" t="s">
        <v>2607</v>
      </c>
      <c r="X177" s="1150" t="s">
        <v>674</v>
      </c>
      <c r="Y177" s="1292">
        <v>2.9011</v>
      </c>
      <c r="Z177" s="1166">
        <f t="shared" si="52"/>
        <v>3481.32</v>
      </c>
      <c r="AA177" s="1289"/>
      <c r="AB177" s="1137" t="s">
        <v>63</v>
      </c>
      <c r="AC177" s="1137" t="s">
        <v>2040</v>
      </c>
      <c r="AD177" s="1290">
        <f>480+720</f>
        <v>1200</v>
      </c>
      <c r="AE177" s="1289">
        <f t="shared" si="49"/>
        <v>0</v>
      </c>
      <c r="AF177" s="1291" t="s">
        <v>327</v>
      </c>
      <c r="AG177" s="1291"/>
      <c r="AH177" s="1188">
        <f>J177</f>
        <v>1200</v>
      </c>
      <c r="AI177" s="1188"/>
      <c r="AJ177" s="1188"/>
      <c r="AK177" s="1310"/>
      <c r="AL177" s="1311"/>
      <c r="AM177" s="1311"/>
      <c r="AN177" s="1312"/>
      <c r="AO177" s="1312"/>
      <c r="AP177" s="1312"/>
      <c r="AQ177" s="1312"/>
      <c r="AR177" s="1319">
        <f t="shared" si="50"/>
        <v>1200</v>
      </c>
      <c r="AS177" s="1332"/>
      <c r="AT177" s="1333"/>
      <c r="AU177" s="1228"/>
      <c r="AV177" s="1228"/>
      <c r="AW177" s="1214"/>
      <c r="AX177" s="1228"/>
      <c r="AY177" s="1312"/>
      <c r="AZ177" s="1312"/>
      <c r="BA177" s="1319">
        <f>J177</f>
        <v>1200</v>
      </c>
      <c r="BB177" s="1319"/>
      <c r="BC177" s="1338"/>
      <c r="BD177" s="1214"/>
      <c r="BE177" s="1346"/>
      <c r="BF177" s="1346"/>
      <c r="BG177" s="1344"/>
      <c r="BH177" s="1347"/>
      <c r="BI177" s="1356"/>
      <c r="BJ177" s="1263"/>
      <c r="BK177" s="1263"/>
    </row>
    <row r="178" s="1053" customFormat="1" ht="31" customHeight="1" spans="1:63">
      <c r="A178" s="1265">
        <v>45821</v>
      </c>
      <c r="B178" s="1266" t="s">
        <v>2297</v>
      </c>
      <c r="C178" s="1267" t="s">
        <v>876</v>
      </c>
      <c r="D178" s="1266">
        <v>4500169878</v>
      </c>
      <c r="E178" s="1269">
        <v>20922490</v>
      </c>
      <c r="F178" s="1266" t="s">
        <v>2608</v>
      </c>
      <c r="G178" s="1097" t="s">
        <v>2118</v>
      </c>
      <c r="H178" s="1101" t="s">
        <v>2118</v>
      </c>
      <c r="I178" s="1098" t="s">
        <v>2119</v>
      </c>
      <c r="J178" s="1120">
        <v>1500</v>
      </c>
      <c r="K178" s="1097">
        <v>0</v>
      </c>
      <c r="L178" s="1097">
        <v>12</v>
      </c>
      <c r="M178" s="1114">
        <f t="shared" si="53"/>
        <v>125</v>
      </c>
      <c r="N178" s="1117">
        <v>45866</v>
      </c>
      <c r="O178" s="1117">
        <v>45862</v>
      </c>
      <c r="P178" s="1272" t="s">
        <v>2416</v>
      </c>
      <c r="Q178" s="1362" t="s">
        <v>1480</v>
      </c>
      <c r="R178" s="1280"/>
      <c r="S178" s="1147" t="s">
        <v>1674</v>
      </c>
      <c r="T178" s="1281"/>
      <c r="U178" s="1281" t="s">
        <v>2609</v>
      </c>
      <c r="V178" s="1282" t="s">
        <v>2501</v>
      </c>
      <c r="W178" s="1148" t="s">
        <v>2434</v>
      </c>
      <c r="X178" s="1150" t="s">
        <v>2302</v>
      </c>
      <c r="Y178" s="1292">
        <v>2.785</v>
      </c>
      <c r="Z178" s="1166">
        <f t="shared" si="52"/>
        <v>4177.5</v>
      </c>
      <c r="AA178" s="1289"/>
      <c r="AB178" s="1137" t="s">
        <v>63</v>
      </c>
      <c r="AC178" s="1137" t="s">
        <v>2040</v>
      </c>
      <c r="AD178" s="1290">
        <v>1500</v>
      </c>
      <c r="AE178" s="1289">
        <f t="shared" si="49"/>
        <v>0</v>
      </c>
      <c r="AF178" s="1291" t="s">
        <v>327</v>
      </c>
      <c r="AG178" s="1291"/>
      <c r="AH178" s="1188">
        <f>J178/3</f>
        <v>500</v>
      </c>
      <c r="AI178" s="1188">
        <f>J178/3</f>
        <v>500</v>
      </c>
      <c r="AJ178" s="1188">
        <f>J178/3</f>
        <v>500</v>
      </c>
      <c r="AK178" s="1310"/>
      <c r="AL178" s="1311"/>
      <c r="AM178" s="1311"/>
      <c r="AN178" s="1312"/>
      <c r="AO178" s="1312"/>
      <c r="AP178" s="1312"/>
      <c r="AQ178" s="1312"/>
      <c r="AR178" s="1319">
        <f t="shared" si="50"/>
        <v>1500</v>
      </c>
      <c r="AS178" s="1332"/>
      <c r="AT178" s="1333"/>
      <c r="AU178" s="1228"/>
      <c r="AV178" s="1228"/>
      <c r="AW178" s="1214">
        <f>J178</f>
        <v>1500</v>
      </c>
      <c r="AX178" s="1228"/>
      <c r="AY178" s="1312"/>
      <c r="AZ178" s="1312"/>
      <c r="BA178" s="1319"/>
      <c r="BB178" s="1319"/>
      <c r="BC178" s="1338"/>
      <c r="BD178" s="1214"/>
      <c r="BE178" s="1346"/>
      <c r="BF178" s="1346"/>
      <c r="BG178" s="1344"/>
      <c r="BH178" s="1347"/>
      <c r="BI178" s="1356"/>
      <c r="BJ178" s="1263"/>
      <c r="BK178" s="1263"/>
    </row>
    <row r="179" s="1053" customFormat="1" ht="31" customHeight="1" spans="1:63">
      <c r="A179" s="1265">
        <v>45836</v>
      </c>
      <c r="B179" s="1266" t="s">
        <v>811</v>
      </c>
      <c r="C179" s="1267" t="s">
        <v>91</v>
      </c>
      <c r="D179" s="1266">
        <v>4500171774</v>
      </c>
      <c r="E179" s="1269">
        <v>70072634</v>
      </c>
      <c r="F179" s="1266" t="s">
        <v>2610</v>
      </c>
      <c r="G179" s="1097" t="s">
        <v>2118</v>
      </c>
      <c r="H179" s="1101" t="s">
        <v>2118</v>
      </c>
      <c r="I179" s="1098" t="s">
        <v>2119</v>
      </c>
      <c r="J179" s="1120">
        <v>2400</v>
      </c>
      <c r="K179" s="1097">
        <v>0</v>
      </c>
      <c r="L179" s="1097">
        <v>12</v>
      </c>
      <c r="M179" s="1114">
        <f t="shared" si="53"/>
        <v>200</v>
      </c>
      <c r="N179" s="1117">
        <v>45867</v>
      </c>
      <c r="O179" s="1117">
        <v>45863</v>
      </c>
      <c r="P179" s="1272"/>
      <c r="Q179" s="1362" t="s">
        <v>1480</v>
      </c>
      <c r="R179" s="1363" t="s">
        <v>813</v>
      </c>
      <c r="S179" s="1147" t="s">
        <v>814</v>
      </c>
      <c r="T179" s="1364" t="s">
        <v>2112</v>
      </c>
      <c r="U179" s="1364" t="s">
        <v>815</v>
      </c>
      <c r="V179" s="1282" t="s">
        <v>424</v>
      </c>
      <c r="W179" s="1148" t="s">
        <v>816</v>
      </c>
      <c r="X179" s="1150" t="s">
        <v>237</v>
      </c>
      <c r="Y179" s="1292">
        <v>1.6663</v>
      </c>
      <c r="Z179" s="1166">
        <f t="shared" si="52"/>
        <v>3999.12</v>
      </c>
      <c r="AA179" s="1289" t="s">
        <v>817</v>
      </c>
      <c r="AB179" s="1137" t="s">
        <v>63</v>
      </c>
      <c r="AC179" s="1137" t="s">
        <v>2040</v>
      </c>
      <c r="AD179" s="1290">
        <v>2400</v>
      </c>
      <c r="AE179" s="1289">
        <f t="shared" si="49"/>
        <v>0</v>
      </c>
      <c r="AF179" s="1291" t="s">
        <v>327</v>
      </c>
      <c r="AG179" s="1291"/>
      <c r="AH179" s="1188">
        <f>J179/3</f>
        <v>800</v>
      </c>
      <c r="AI179" s="1188">
        <f>J179/3</f>
        <v>800</v>
      </c>
      <c r="AJ179" s="1188">
        <f>J179/3</f>
        <v>800</v>
      </c>
      <c r="AK179" s="1310"/>
      <c r="AL179" s="1311"/>
      <c r="AM179" s="1311"/>
      <c r="AN179" s="1312"/>
      <c r="AO179" s="1312"/>
      <c r="AP179" s="1312"/>
      <c r="AQ179" s="1312"/>
      <c r="AR179" s="1319">
        <f t="shared" si="50"/>
        <v>2400</v>
      </c>
      <c r="AS179" s="1332"/>
      <c r="AT179" s="1333"/>
      <c r="AU179" s="1228"/>
      <c r="AV179" s="1228"/>
      <c r="AW179" s="1214">
        <f>J179</f>
        <v>2400</v>
      </c>
      <c r="AX179" s="1228"/>
      <c r="AY179" s="1312"/>
      <c r="AZ179" s="1312"/>
      <c r="BA179" s="1319"/>
      <c r="BB179" s="1319"/>
      <c r="BC179" s="1338"/>
      <c r="BD179" s="1214"/>
      <c r="BE179" s="1346"/>
      <c r="BF179" s="1346"/>
      <c r="BG179" s="1344"/>
      <c r="BH179" s="1347"/>
      <c r="BI179" s="1356"/>
      <c r="BJ179" s="1263"/>
      <c r="BK179" s="1263"/>
    </row>
    <row r="180" s="1053" customFormat="1" ht="29" customHeight="1" spans="1:63">
      <c r="A180" s="1265">
        <v>45831</v>
      </c>
      <c r="B180" s="1266" t="s">
        <v>2304</v>
      </c>
      <c r="C180" s="1267" t="s">
        <v>258</v>
      </c>
      <c r="D180" s="1266">
        <v>4500170978</v>
      </c>
      <c r="E180" s="1269">
        <v>20935531</v>
      </c>
      <c r="F180" s="1266" t="s">
        <v>2611</v>
      </c>
      <c r="G180" s="1097" t="s">
        <v>2118</v>
      </c>
      <c r="H180" s="1101" t="s">
        <v>2118</v>
      </c>
      <c r="I180" s="1098" t="s">
        <v>2119</v>
      </c>
      <c r="J180" s="1120">
        <v>204</v>
      </c>
      <c r="K180" s="1097">
        <v>0</v>
      </c>
      <c r="L180" s="1097">
        <v>12</v>
      </c>
      <c r="M180" s="1114">
        <f t="shared" si="53"/>
        <v>17</v>
      </c>
      <c r="N180" s="1117">
        <v>45873</v>
      </c>
      <c r="O180" s="1117">
        <f>N180-4</f>
        <v>45869</v>
      </c>
      <c r="P180" s="1272" t="s">
        <v>2416</v>
      </c>
      <c r="Q180" s="1362" t="s">
        <v>1480</v>
      </c>
      <c r="R180" s="1280" t="s">
        <v>2612</v>
      </c>
      <c r="S180" s="1147" t="s">
        <v>2613</v>
      </c>
      <c r="T180" s="1281"/>
      <c r="U180" s="1281" t="s">
        <v>2614</v>
      </c>
      <c r="V180" s="1282" t="s">
        <v>2501</v>
      </c>
      <c r="W180" s="1148" t="s">
        <v>2432</v>
      </c>
      <c r="X180" s="1150" t="s">
        <v>2302</v>
      </c>
      <c r="Y180" s="1292">
        <v>3.0761</v>
      </c>
      <c r="Z180" s="1166">
        <f t="shared" si="52"/>
        <v>627.5244</v>
      </c>
      <c r="AA180" s="1289"/>
      <c r="AB180" s="1137" t="s">
        <v>63</v>
      </c>
      <c r="AC180" s="1137" t="s">
        <v>2040</v>
      </c>
      <c r="AD180" s="1290">
        <v>204</v>
      </c>
      <c r="AE180" s="1289">
        <f t="shared" si="49"/>
        <v>0</v>
      </c>
      <c r="AF180" s="1291" t="s">
        <v>327</v>
      </c>
      <c r="AG180" s="1291"/>
      <c r="AH180" s="1188">
        <f>J180/3</f>
        <v>68</v>
      </c>
      <c r="AI180" s="1188">
        <f>J180/3</f>
        <v>68</v>
      </c>
      <c r="AJ180" s="1188">
        <f>J180/3</f>
        <v>68</v>
      </c>
      <c r="AK180" s="1298"/>
      <c r="AL180" s="1299"/>
      <c r="AM180" s="1299"/>
      <c r="AN180" s="1300"/>
      <c r="AO180" s="1300"/>
      <c r="AP180" s="1300"/>
      <c r="AQ180" s="1300"/>
      <c r="AR180" s="1319">
        <f t="shared" si="50"/>
        <v>204</v>
      </c>
      <c r="AS180" s="1320"/>
      <c r="AT180" s="1321"/>
      <c r="AU180" s="1322"/>
      <c r="AV180" s="1322"/>
      <c r="AW180" s="1214">
        <f>J180</f>
        <v>204</v>
      </c>
      <c r="AX180" s="1322"/>
      <c r="AY180" s="1300"/>
      <c r="AZ180" s="1300"/>
      <c r="BA180" s="1319"/>
      <c r="BB180" s="1319"/>
      <c r="BC180" s="1338"/>
      <c r="BD180" s="1214"/>
      <c r="BE180" s="1346"/>
      <c r="BF180" s="1346"/>
      <c r="BG180" s="1344"/>
      <c r="BH180" s="1347"/>
      <c r="BI180" s="1348"/>
      <c r="BJ180" s="1262"/>
      <c r="BK180" s="1262"/>
    </row>
    <row r="181" s="1053" customFormat="1" ht="31" customHeight="1" spans="1:63">
      <c r="A181" s="1265">
        <v>45831</v>
      </c>
      <c r="B181" s="1266" t="s">
        <v>2297</v>
      </c>
      <c r="C181" s="1267" t="s">
        <v>876</v>
      </c>
      <c r="D181" s="1266">
        <v>4500170975</v>
      </c>
      <c r="E181" s="1269">
        <v>20935530</v>
      </c>
      <c r="F181" s="1266" t="s">
        <v>2615</v>
      </c>
      <c r="G181" s="1097" t="s">
        <v>2118</v>
      </c>
      <c r="H181" s="1101" t="s">
        <v>2118</v>
      </c>
      <c r="I181" s="1098" t="s">
        <v>2119</v>
      </c>
      <c r="J181" s="1120">
        <v>1296</v>
      </c>
      <c r="K181" s="1097">
        <v>0</v>
      </c>
      <c r="L181" s="1097">
        <v>12</v>
      </c>
      <c r="M181" s="1114">
        <f t="shared" si="53"/>
        <v>108</v>
      </c>
      <c r="N181" s="1117">
        <v>45873</v>
      </c>
      <c r="O181" s="1117">
        <f>N181-4</f>
        <v>45869</v>
      </c>
      <c r="P181" s="1272" t="s">
        <v>2416</v>
      </c>
      <c r="Q181" s="1362" t="s">
        <v>1480</v>
      </c>
      <c r="R181" s="1280" t="s">
        <v>2612</v>
      </c>
      <c r="S181" s="1147" t="s">
        <v>2613</v>
      </c>
      <c r="T181" s="1281"/>
      <c r="U181" s="1281" t="s">
        <v>2614</v>
      </c>
      <c r="V181" s="1282" t="s">
        <v>2501</v>
      </c>
      <c r="W181" s="1148" t="s">
        <v>2434</v>
      </c>
      <c r="X181" s="1150" t="s">
        <v>2302</v>
      </c>
      <c r="Y181" s="1292">
        <v>2.9547</v>
      </c>
      <c r="Z181" s="1166">
        <f t="shared" si="52"/>
        <v>3829.2912</v>
      </c>
      <c r="AA181" s="1289"/>
      <c r="AB181" s="1137" t="s">
        <v>63</v>
      </c>
      <c r="AC181" s="1137" t="s">
        <v>2040</v>
      </c>
      <c r="AD181" s="1290">
        <f>396+900</f>
        <v>1296</v>
      </c>
      <c r="AE181" s="1289">
        <f t="shared" si="49"/>
        <v>0</v>
      </c>
      <c r="AF181" s="1291" t="s">
        <v>327</v>
      </c>
      <c r="AG181" s="1291"/>
      <c r="AH181" s="1188">
        <f>J181/3</f>
        <v>432</v>
      </c>
      <c r="AI181" s="1188">
        <f>J181/3</f>
        <v>432</v>
      </c>
      <c r="AJ181" s="1188">
        <f>J181/3</f>
        <v>432</v>
      </c>
      <c r="AK181" s="1298"/>
      <c r="AL181" s="1299"/>
      <c r="AM181" s="1299"/>
      <c r="AN181" s="1300"/>
      <c r="AO181" s="1300"/>
      <c r="AP181" s="1300"/>
      <c r="AQ181" s="1300"/>
      <c r="AR181" s="1319">
        <f t="shared" si="50"/>
        <v>1296</v>
      </c>
      <c r="AS181" s="1320"/>
      <c r="AT181" s="1321"/>
      <c r="AU181" s="1322"/>
      <c r="AV181" s="1322"/>
      <c r="AW181" s="1214">
        <f>J181</f>
        <v>1296</v>
      </c>
      <c r="AX181" s="1322"/>
      <c r="AY181" s="1300"/>
      <c r="AZ181" s="1300"/>
      <c r="BA181" s="1319"/>
      <c r="BB181" s="1319"/>
      <c r="BC181" s="1338"/>
      <c r="BD181" s="1214"/>
      <c r="BE181" s="1346"/>
      <c r="BF181" s="1346"/>
      <c r="BG181" s="1344"/>
      <c r="BH181" s="1347"/>
      <c r="BI181" s="1348"/>
      <c r="BJ181" s="1262"/>
      <c r="BK181" s="1262"/>
    </row>
    <row r="182" s="1053" customFormat="1" ht="31" customHeight="1" spans="1:63">
      <c r="A182" s="1265">
        <v>45799</v>
      </c>
      <c r="B182" s="1266" t="s">
        <v>122</v>
      </c>
      <c r="C182" s="1267" t="s">
        <v>123</v>
      </c>
      <c r="D182" s="1266">
        <v>4500167625</v>
      </c>
      <c r="E182" s="1269">
        <v>4500167625</v>
      </c>
      <c r="F182" s="1266" t="s">
        <v>2616</v>
      </c>
      <c r="G182" s="1101" t="s">
        <v>2316</v>
      </c>
      <c r="H182" s="1101" t="s">
        <v>2317</v>
      </c>
      <c r="I182" s="1098" t="s">
        <v>2063</v>
      </c>
      <c r="J182" s="1120">
        <v>2508</v>
      </c>
      <c r="K182" s="1097">
        <v>0</v>
      </c>
      <c r="L182" s="1097">
        <v>12</v>
      </c>
      <c r="M182" s="1114">
        <f t="shared" si="53"/>
        <v>209</v>
      </c>
      <c r="N182" s="1117">
        <v>45870</v>
      </c>
      <c r="O182" s="1117">
        <v>45866</v>
      </c>
      <c r="P182" s="1272"/>
      <c r="Q182" s="1285" t="s">
        <v>1480</v>
      </c>
      <c r="R182" s="1280" t="s">
        <v>2602</v>
      </c>
      <c r="S182" s="1147" t="s">
        <v>796</v>
      </c>
      <c r="T182" s="1281"/>
      <c r="U182" s="1281" t="s">
        <v>2603</v>
      </c>
      <c r="V182" s="1282" t="s">
        <v>2617</v>
      </c>
      <c r="W182" s="1148" t="s">
        <v>2618</v>
      </c>
      <c r="X182" s="1150" t="s">
        <v>674</v>
      </c>
      <c r="Y182" s="1292">
        <v>2.7771</v>
      </c>
      <c r="Z182" s="1166">
        <f t="shared" si="52"/>
        <v>6964.9668</v>
      </c>
      <c r="AA182" s="1289"/>
      <c r="AB182" s="1137" t="s">
        <v>63</v>
      </c>
      <c r="AC182" s="1137" t="s">
        <v>2040</v>
      </c>
      <c r="AD182" s="1290">
        <v>2508</v>
      </c>
      <c r="AE182" s="1289">
        <f t="shared" si="49"/>
        <v>0</v>
      </c>
      <c r="AF182" s="1291" t="s">
        <v>327</v>
      </c>
      <c r="AG182" s="1291"/>
      <c r="AH182" s="1188"/>
      <c r="AI182" s="1188">
        <f>J182</f>
        <v>2508</v>
      </c>
      <c r="AJ182" s="1188"/>
      <c r="AK182" s="1375"/>
      <c r="AL182" s="1376"/>
      <c r="AM182" s="1376"/>
      <c r="AN182" s="1377"/>
      <c r="AO182" s="1377"/>
      <c r="AP182" s="1377"/>
      <c r="AQ182" s="1377"/>
      <c r="AR182" s="1319">
        <f t="shared" si="50"/>
        <v>2508</v>
      </c>
      <c r="AS182" s="1371"/>
      <c r="AT182" s="1393"/>
      <c r="AU182" s="1394"/>
      <c r="AV182" s="1394"/>
      <c r="AW182" s="1214"/>
      <c r="AX182" s="1394"/>
      <c r="AY182" s="1377"/>
      <c r="AZ182" s="1377"/>
      <c r="BA182" s="1319">
        <f>J182</f>
        <v>2508</v>
      </c>
      <c r="BB182" s="1319"/>
      <c r="BC182" s="1338"/>
      <c r="BD182" s="1214"/>
      <c r="BE182" s="1346"/>
      <c r="BF182" s="1346"/>
      <c r="BG182" s="1344"/>
      <c r="BH182" s="1347"/>
      <c r="BI182" s="1401"/>
      <c r="BJ182" s="1399"/>
      <c r="BK182" s="1399"/>
    </row>
    <row r="183" s="1053" customFormat="1" ht="31" customHeight="1" spans="1:63">
      <c r="A183" s="1265">
        <v>45839</v>
      </c>
      <c r="B183" s="1266" t="s">
        <v>945</v>
      </c>
      <c r="C183" s="1267" t="s">
        <v>493</v>
      </c>
      <c r="D183" s="1266">
        <v>4500172110</v>
      </c>
      <c r="E183" s="1269" t="s">
        <v>2619</v>
      </c>
      <c r="F183" s="1266" t="s">
        <v>2620</v>
      </c>
      <c r="G183" s="1101" t="s">
        <v>2444</v>
      </c>
      <c r="H183" s="1101" t="s">
        <v>2445</v>
      </c>
      <c r="I183" s="1098" t="s">
        <v>2446</v>
      </c>
      <c r="J183" s="1120">
        <v>1200</v>
      </c>
      <c r="K183" s="1097">
        <v>0</v>
      </c>
      <c r="L183" s="1097">
        <v>12</v>
      </c>
      <c r="M183" s="1114">
        <f t="shared" si="53"/>
        <v>100</v>
      </c>
      <c r="N183" s="1117">
        <v>45875</v>
      </c>
      <c r="O183" s="1117">
        <v>45871</v>
      </c>
      <c r="P183" s="1272"/>
      <c r="Q183" s="1285" t="s">
        <v>1480</v>
      </c>
      <c r="R183" s="1280" t="s">
        <v>2621</v>
      </c>
      <c r="S183" s="1147" t="s">
        <v>2622</v>
      </c>
      <c r="T183" s="1281"/>
      <c r="U183" s="1281" t="s">
        <v>2623</v>
      </c>
      <c r="V183" s="1282" t="s">
        <v>2489</v>
      </c>
      <c r="W183" s="1148" t="s">
        <v>2624</v>
      </c>
      <c r="X183" s="1150" t="s">
        <v>953</v>
      </c>
      <c r="Y183" s="1292">
        <v>2.9011</v>
      </c>
      <c r="Z183" s="1166">
        <f t="shared" si="52"/>
        <v>3481.32</v>
      </c>
      <c r="AA183" s="1289"/>
      <c r="AB183" s="1137" t="s">
        <v>63</v>
      </c>
      <c r="AC183" s="1137" t="s">
        <v>2040</v>
      </c>
      <c r="AD183" s="1290">
        <f>24+1176</f>
        <v>1200</v>
      </c>
      <c r="AE183" s="1289">
        <f t="shared" si="49"/>
        <v>0</v>
      </c>
      <c r="AF183" s="1368" t="s">
        <v>327</v>
      </c>
      <c r="AG183" s="1291"/>
      <c r="AH183" s="1188">
        <f>J183</f>
        <v>1200</v>
      </c>
      <c r="AI183" s="1188"/>
      <c r="AJ183" s="1188"/>
      <c r="AK183" s="1310"/>
      <c r="AL183" s="1311"/>
      <c r="AM183" s="1311"/>
      <c r="AN183" s="1312"/>
      <c r="AO183" s="1312"/>
      <c r="AP183" s="1312"/>
      <c r="AQ183" s="1312"/>
      <c r="AR183" s="1319">
        <f t="shared" ref="AR177:AR235" si="54">J183</f>
        <v>1200</v>
      </c>
      <c r="AS183" s="1332"/>
      <c r="AT183" s="1312"/>
      <c r="AU183" s="1228"/>
      <c r="AV183" s="1228"/>
      <c r="AW183" s="1214"/>
      <c r="AX183" s="1228"/>
      <c r="AY183" s="1312"/>
      <c r="AZ183" s="1312"/>
      <c r="BA183" s="1319">
        <f>J183</f>
        <v>1200</v>
      </c>
      <c r="BB183" s="1319"/>
      <c r="BC183" s="1338"/>
      <c r="BD183" s="1214"/>
      <c r="BE183" s="1346"/>
      <c r="BF183" s="1346"/>
      <c r="BG183" s="1344"/>
      <c r="BH183" s="1347"/>
      <c r="BI183" s="1356"/>
      <c r="BJ183" s="1263"/>
      <c r="BK183" s="1263"/>
    </row>
    <row r="184" s="1053" customFormat="1" ht="31" customHeight="1" spans="1:63">
      <c r="A184" s="1265">
        <v>45839</v>
      </c>
      <c r="B184" s="1266" t="s">
        <v>945</v>
      </c>
      <c r="C184" s="1267" t="s">
        <v>493</v>
      </c>
      <c r="D184" s="1266">
        <v>4500172110</v>
      </c>
      <c r="E184" s="1269" t="s">
        <v>2619</v>
      </c>
      <c r="F184" s="1266" t="s">
        <v>2625</v>
      </c>
      <c r="G184" s="1101" t="s">
        <v>2309</v>
      </c>
      <c r="H184" s="1101" t="s">
        <v>2310</v>
      </c>
      <c r="I184" s="1098" t="s">
        <v>2042</v>
      </c>
      <c r="J184" s="1120">
        <v>2004</v>
      </c>
      <c r="K184" s="1097">
        <v>0</v>
      </c>
      <c r="L184" s="1097">
        <v>12</v>
      </c>
      <c r="M184" s="1114">
        <f t="shared" si="53"/>
        <v>167</v>
      </c>
      <c r="N184" s="1117">
        <v>45875</v>
      </c>
      <c r="O184" s="1117">
        <v>45871</v>
      </c>
      <c r="P184" s="1272"/>
      <c r="Q184" s="1285" t="s">
        <v>1480</v>
      </c>
      <c r="R184" s="1280" t="s">
        <v>2621</v>
      </c>
      <c r="S184" s="1147" t="s">
        <v>2622</v>
      </c>
      <c r="T184" s="1281"/>
      <c r="U184" s="1281" t="s">
        <v>2626</v>
      </c>
      <c r="V184" s="1282" t="s">
        <v>2627</v>
      </c>
      <c r="W184" s="1148" t="s">
        <v>2628</v>
      </c>
      <c r="X184" s="1150" t="s">
        <v>953</v>
      </c>
      <c r="Y184" s="1292">
        <v>2.7771</v>
      </c>
      <c r="Z184" s="1166">
        <f t="shared" si="52"/>
        <v>5565.3084</v>
      </c>
      <c r="AA184" s="1289"/>
      <c r="AB184" s="1137" t="s">
        <v>63</v>
      </c>
      <c r="AC184" s="1137" t="s">
        <v>2040</v>
      </c>
      <c r="AD184" s="1290">
        <v>2004</v>
      </c>
      <c r="AE184" s="1289">
        <f t="shared" si="49"/>
        <v>0</v>
      </c>
      <c r="AF184" s="1368" t="s">
        <v>327</v>
      </c>
      <c r="AG184" s="1291"/>
      <c r="AH184" s="1188"/>
      <c r="AI184" s="1188"/>
      <c r="AJ184" s="1188">
        <f>J184</f>
        <v>2004</v>
      </c>
      <c r="AK184" s="1310"/>
      <c r="AL184" s="1311"/>
      <c r="AM184" s="1311"/>
      <c r="AN184" s="1312"/>
      <c r="AO184" s="1312"/>
      <c r="AP184" s="1312"/>
      <c r="AQ184" s="1312"/>
      <c r="AR184" s="1319">
        <f t="shared" si="54"/>
        <v>2004</v>
      </c>
      <c r="AS184" s="1332"/>
      <c r="AT184" s="1312"/>
      <c r="AU184" s="1228"/>
      <c r="AV184" s="1228"/>
      <c r="AW184" s="1214"/>
      <c r="AX184" s="1228"/>
      <c r="AY184" s="1312"/>
      <c r="AZ184" s="1312"/>
      <c r="BA184" s="1319">
        <f>J184</f>
        <v>2004</v>
      </c>
      <c r="BB184" s="1319"/>
      <c r="BC184" s="1338"/>
      <c r="BD184" s="1214"/>
      <c r="BE184" s="1346"/>
      <c r="BF184" s="1346"/>
      <c r="BG184" s="1344"/>
      <c r="BH184" s="1347"/>
      <c r="BI184" s="1356"/>
      <c r="BJ184" s="1263"/>
      <c r="BK184" s="1263"/>
    </row>
    <row r="185" s="1053" customFormat="1" ht="31" customHeight="1" spans="1:63">
      <c r="A185" s="1265">
        <v>45839</v>
      </c>
      <c r="B185" s="1266" t="s">
        <v>945</v>
      </c>
      <c r="C185" s="1267" t="s">
        <v>493</v>
      </c>
      <c r="D185" s="1266">
        <v>4500172110</v>
      </c>
      <c r="E185" s="1269" t="s">
        <v>2619</v>
      </c>
      <c r="F185" s="1266" t="s">
        <v>2629</v>
      </c>
      <c r="G185" s="1101" t="s">
        <v>2316</v>
      </c>
      <c r="H185" s="1101" t="s">
        <v>2317</v>
      </c>
      <c r="I185" s="1098" t="s">
        <v>2063</v>
      </c>
      <c r="J185" s="1120">
        <v>1800</v>
      </c>
      <c r="K185" s="1097">
        <v>0</v>
      </c>
      <c r="L185" s="1097">
        <v>12</v>
      </c>
      <c r="M185" s="1114">
        <f t="shared" si="53"/>
        <v>150</v>
      </c>
      <c r="N185" s="1117">
        <v>45875</v>
      </c>
      <c r="O185" s="1117">
        <v>45871</v>
      </c>
      <c r="P185" s="1272"/>
      <c r="Q185" s="1285" t="s">
        <v>1480</v>
      </c>
      <c r="R185" s="1280" t="s">
        <v>2621</v>
      </c>
      <c r="S185" s="1147" t="s">
        <v>2622</v>
      </c>
      <c r="T185" s="1281"/>
      <c r="U185" s="1281" t="s">
        <v>2626</v>
      </c>
      <c r="V185" s="1282" t="s">
        <v>2630</v>
      </c>
      <c r="W185" s="1148" t="s">
        <v>2631</v>
      </c>
      <c r="X185" s="1150" t="s">
        <v>953</v>
      </c>
      <c r="Y185" s="1292">
        <v>2.8454</v>
      </c>
      <c r="Z185" s="1166">
        <f t="shared" si="52"/>
        <v>5121.72</v>
      </c>
      <c r="AA185" s="1289"/>
      <c r="AB185" s="1137" t="s">
        <v>63</v>
      </c>
      <c r="AC185" s="1137" t="s">
        <v>2040</v>
      </c>
      <c r="AD185" s="1290">
        <v>1800</v>
      </c>
      <c r="AE185" s="1289">
        <f t="shared" si="49"/>
        <v>0</v>
      </c>
      <c r="AF185" s="1368" t="s">
        <v>327</v>
      </c>
      <c r="AG185" s="1291"/>
      <c r="AH185" s="1188"/>
      <c r="AI185" s="1188">
        <f>J185</f>
        <v>1800</v>
      </c>
      <c r="AJ185" s="1188"/>
      <c r="AK185" s="1310"/>
      <c r="AL185" s="1311"/>
      <c r="AM185" s="1311"/>
      <c r="AN185" s="1312"/>
      <c r="AO185" s="1312"/>
      <c r="AP185" s="1312"/>
      <c r="AQ185" s="1312"/>
      <c r="AR185" s="1319">
        <f t="shared" si="54"/>
        <v>1800</v>
      </c>
      <c r="AS185" s="1332"/>
      <c r="AT185" s="1312"/>
      <c r="AU185" s="1228"/>
      <c r="AV185" s="1228"/>
      <c r="AW185" s="1214"/>
      <c r="AX185" s="1228"/>
      <c r="AY185" s="1312"/>
      <c r="AZ185" s="1312"/>
      <c r="BA185" s="1319">
        <f>J185</f>
        <v>1800</v>
      </c>
      <c r="BB185" s="1319"/>
      <c r="BC185" s="1338"/>
      <c r="BD185" s="1214"/>
      <c r="BE185" s="1346"/>
      <c r="BF185" s="1346"/>
      <c r="BG185" s="1344"/>
      <c r="BH185" s="1347"/>
      <c r="BI185" s="1356"/>
      <c r="BJ185" s="1263"/>
      <c r="BK185" s="1263"/>
    </row>
    <row r="186" s="1053" customFormat="1" ht="31" customHeight="1" spans="1:63">
      <c r="A186" s="1265">
        <v>45814</v>
      </c>
      <c r="B186" s="1266" t="s">
        <v>2205</v>
      </c>
      <c r="C186" s="1267" t="s">
        <v>123</v>
      </c>
      <c r="D186" s="1266">
        <v>4500160598</v>
      </c>
      <c r="E186" s="1269" t="s">
        <v>2632</v>
      </c>
      <c r="F186" s="1266" t="s">
        <v>2633</v>
      </c>
      <c r="G186" s="1101" t="s">
        <v>2079</v>
      </c>
      <c r="H186" s="1101" t="s">
        <v>2079</v>
      </c>
      <c r="I186" s="1098" t="s">
        <v>2080</v>
      </c>
      <c r="J186" s="1120">
        <v>1890</v>
      </c>
      <c r="K186" s="1097">
        <v>0</v>
      </c>
      <c r="L186" s="1097">
        <v>6</v>
      </c>
      <c r="M186" s="1114">
        <f t="shared" si="53"/>
        <v>315</v>
      </c>
      <c r="N186" s="1117">
        <v>45877</v>
      </c>
      <c r="O186" s="1117">
        <v>45873</v>
      </c>
      <c r="P186" s="1272"/>
      <c r="Q186" s="1285" t="s">
        <v>1480</v>
      </c>
      <c r="R186" s="1280" t="s">
        <v>2634</v>
      </c>
      <c r="S186" s="1147" t="s">
        <v>814</v>
      </c>
      <c r="T186" s="1281"/>
      <c r="U186" s="1281" t="s">
        <v>2549</v>
      </c>
      <c r="V186" s="1282" t="s">
        <v>2635</v>
      </c>
      <c r="W186" s="1148" t="s">
        <v>2396</v>
      </c>
      <c r="X186" s="1150" t="s">
        <v>700</v>
      </c>
      <c r="Y186" s="1292">
        <v>2.8633</v>
      </c>
      <c r="Z186" s="1166">
        <f t="shared" si="52"/>
        <v>5411.637</v>
      </c>
      <c r="AA186" s="1289"/>
      <c r="AB186" s="1137" t="s">
        <v>63</v>
      </c>
      <c r="AC186" s="1137" t="s">
        <v>2040</v>
      </c>
      <c r="AD186" s="1290">
        <v>1890</v>
      </c>
      <c r="AE186" s="1289">
        <f t="shared" si="49"/>
        <v>0</v>
      </c>
      <c r="AF186" s="1291" t="s">
        <v>327</v>
      </c>
      <c r="AG186" s="1291"/>
      <c r="AH186" s="1188">
        <v>630</v>
      </c>
      <c r="AI186" s="1188">
        <v>630</v>
      </c>
      <c r="AJ186" s="1188">
        <v>630</v>
      </c>
      <c r="AK186" s="1369"/>
      <c r="AL186" s="1370"/>
      <c r="AM186" s="1369"/>
      <c r="AN186" s="1369"/>
      <c r="AO186" s="1379"/>
      <c r="AP186" s="1370"/>
      <c r="AQ186" s="1380"/>
      <c r="AR186" s="1344">
        <f t="shared" si="54"/>
        <v>1890</v>
      </c>
      <c r="AS186" s="1381"/>
      <c r="AT186" s="1382"/>
      <c r="AU186" s="1383"/>
      <c r="AV186" s="1383"/>
      <c r="AW186" s="1175">
        <f>J186</f>
        <v>1890</v>
      </c>
      <c r="AX186" s="1383"/>
      <c r="AY186" s="1383"/>
      <c r="AZ186" s="1383"/>
      <c r="BA186" s="1175"/>
      <c r="BB186" s="1175"/>
      <c r="BC186" s="1175"/>
      <c r="BD186" s="1175"/>
      <c r="BE186" s="1175"/>
      <c r="BF186" s="1397"/>
      <c r="BG186" s="1344"/>
      <c r="BH186" s="1347"/>
      <c r="BI186" s="1398"/>
      <c r="BJ186" s="1398"/>
      <c r="BK186" s="1398"/>
    </row>
    <row r="187" s="1053" customFormat="1" ht="31" customHeight="1" spans="1:63">
      <c r="A187" s="1265">
        <v>45842</v>
      </c>
      <c r="B187" s="1266" t="s">
        <v>2297</v>
      </c>
      <c r="C187" s="1267" t="s">
        <v>876</v>
      </c>
      <c r="D187" s="1266">
        <v>4500172597</v>
      </c>
      <c r="E187" s="1269">
        <v>20959657</v>
      </c>
      <c r="F187" s="1266" t="s">
        <v>2636</v>
      </c>
      <c r="G187" s="1097" t="s">
        <v>2118</v>
      </c>
      <c r="H187" s="1101" t="s">
        <v>2118</v>
      </c>
      <c r="I187" s="1098" t="s">
        <v>2119</v>
      </c>
      <c r="J187" s="1120">
        <v>1188</v>
      </c>
      <c r="K187" s="1097">
        <v>0</v>
      </c>
      <c r="L187" s="1097">
        <v>12</v>
      </c>
      <c r="M187" s="1114">
        <f t="shared" ref="M187:M228" si="55">J187/L187</f>
        <v>99</v>
      </c>
      <c r="N187" s="1117">
        <v>45880</v>
      </c>
      <c r="O187" s="1117">
        <v>45876</v>
      </c>
      <c r="P187" s="1272" t="s">
        <v>2416</v>
      </c>
      <c r="Q187" s="1285" t="s">
        <v>1480</v>
      </c>
      <c r="R187" s="1280" t="s">
        <v>2637</v>
      </c>
      <c r="S187" s="1147" t="s">
        <v>823</v>
      </c>
      <c r="T187" s="1281"/>
      <c r="U187" s="1281" t="s">
        <v>2638</v>
      </c>
      <c r="V187" s="1282" t="s">
        <v>2501</v>
      </c>
      <c r="W187" s="1148" t="s">
        <v>2434</v>
      </c>
      <c r="X187" s="1150" t="s">
        <v>2302</v>
      </c>
      <c r="Y187" s="1292">
        <v>2.9547</v>
      </c>
      <c r="Z187" s="1166">
        <f t="shared" ref="Z187:Z214" si="56">Y187*J187</f>
        <v>3510.1836</v>
      </c>
      <c r="AA187" s="1289"/>
      <c r="AB187" s="1137" t="s">
        <v>63</v>
      </c>
      <c r="AC187" s="1137" t="s">
        <v>2040</v>
      </c>
      <c r="AD187" s="1290">
        <v>1188</v>
      </c>
      <c r="AE187" s="1289">
        <f t="shared" si="49"/>
        <v>0</v>
      </c>
      <c r="AF187" s="1291" t="s">
        <v>327</v>
      </c>
      <c r="AG187" s="1291"/>
      <c r="AH187" s="1188">
        <f>J187/3</f>
        <v>396</v>
      </c>
      <c r="AI187" s="1188">
        <f>J187/3</f>
        <v>396</v>
      </c>
      <c r="AJ187" s="1188">
        <f>J187/3</f>
        <v>396</v>
      </c>
      <c r="AK187" s="1378"/>
      <c r="AL187" s="1228"/>
      <c r="AM187" s="1312"/>
      <c r="AN187" s="1312"/>
      <c r="AO187" s="1311"/>
      <c r="AP187" s="1228"/>
      <c r="AQ187" s="1311"/>
      <c r="AR187" s="1319">
        <f t="shared" si="54"/>
        <v>1188</v>
      </c>
      <c r="AS187" s="1395"/>
      <c r="AT187" s="1396"/>
      <c r="AU187" s="1203"/>
      <c r="AV187" s="1203"/>
      <c r="AW187" s="1214">
        <f>J187</f>
        <v>1188</v>
      </c>
      <c r="AX187" s="1203"/>
      <c r="AY187" s="1203"/>
      <c r="AZ187" s="1203"/>
      <c r="BA187" s="1172"/>
      <c r="BB187" s="1172"/>
      <c r="BC187" s="1172"/>
      <c r="BD187" s="1172"/>
      <c r="BE187" s="1346"/>
      <c r="BF187" s="1346"/>
      <c r="BG187" s="1344"/>
      <c r="BH187" s="1347"/>
      <c r="BI187" s="1263"/>
      <c r="BJ187" s="1263"/>
      <c r="BK187" s="1263"/>
    </row>
    <row r="188" s="1053" customFormat="1" ht="31" customHeight="1" spans="1:63">
      <c r="A188" s="1265">
        <v>45842</v>
      </c>
      <c r="B188" s="1266" t="s">
        <v>2304</v>
      </c>
      <c r="C188" s="1267" t="s">
        <v>258</v>
      </c>
      <c r="D188" s="1266">
        <v>4500172600</v>
      </c>
      <c r="E188" s="1269">
        <v>20959658</v>
      </c>
      <c r="F188" s="1266" t="s">
        <v>2639</v>
      </c>
      <c r="G188" s="1097" t="s">
        <v>2118</v>
      </c>
      <c r="H188" s="1101" t="s">
        <v>2118</v>
      </c>
      <c r="I188" s="1098" t="s">
        <v>2119</v>
      </c>
      <c r="J188" s="1120">
        <v>312</v>
      </c>
      <c r="K188" s="1097">
        <v>0</v>
      </c>
      <c r="L188" s="1097">
        <v>12</v>
      </c>
      <c r="M188" s="1114">
        <f t="shared" si="55"/>
        <v>26</v>
      </c>
      <c r="N188" s="1117">
        <v>45880</v>
      </c>
      <c r="O188" s="1117">
        <v>45876</v>
      </c>
      <c r="P188" s="1272" t="s">
        <v>2416</v>
      </c>
      <c r="Q188" s="1285" t="s">
        <v>1480</v>
      </c>
      <c r="R188" s="1280" t="s">
        <v>2637</v>
      </c>
      <c r="S188" s="1147" t="s">
        <v>823</v>
      </c>
      <c r="T188" s="1281"/>
      <c r="U188" s="1281" t="s">
        <v>2638</v>
      </c>
      <c r="V188" s="1282" t="s">
        <v>2501</v>
      </c>
      <c r="W188" s="1148" t="s">
        <v>2432</v>
      </c>
      <c r="X188" s="1150" t="s">
        <v>2302</v>
      </c>
      <c r="Y188" s="1292">
        <v>3.0761</v>
      </c>
      <c r="Z188" s="1166">
        <f t="shared" si="56"/>
        <v>959.7432</v>
      </c>
      <c r="AA188" s="1289"/>
      <c r="AB188" s="1137" t="s">
        <v>63</v>
      </c>
      <c r="AC188" s="1137" t="s">
        <v>2040</v>
      </c>
      <c r="AD188" s="1290">
        <v>312</v>
      </c>
      <c r="AE188" s="1289">
        <f t="shared" si="49"/>
        <v>0</v>
      </c>
      <c r="AF188" s="1291" t="s">
        <v>327</v>
      </c>
      <c r="AG188" s="1291"/>
      <c r="AH188" s="1188">
        <f>J188/3</f>
        <v>104</v>
      </c>
      <c r="AI188" s="1188">
        <f>J188/3</f>
        <v>104</v>
      </c>
      <c r="AJ188" s="1188">
        <f>J188/3</f>
        <v>104</v>
      </c>
      <c r="AK188" s="1378"/>
      <c r="AL188" s="1228"/>
      <c r="AM188" s="1312"/>
      <c r="AN188" s="1312"/>
      <c r="AO188" s="1311"/>
      <c r="AP188" s="1228"/>
      <c r="AQ188" s="1311"/>
      <c r="AR188" s="1319">
        <f t="shared" si="54"/>
        <v>312</v>
      </c>
      <c r="AS188" s="1395"/>
      <c r="AT188" s="1396"/>
      <c r="AU188" s="1203"/>
      <c r="AV188" s="1203"/>
      <c r="AW188" s="1214">
        <f>J188</f>
        <v>312</v>
      </c>
      <c r="AX188" s="1203"/>
      <c r="AY188" s="1203"/>
      <c r="AZ188" s="1203"/>
      <c r="BA188" s="1172"/>
      <c r="BB188" s="1172"/>
      <c r="BC188" s="1172"/>
      <c r="BD188" s="1172"/>
      <c r="BE188" s="1346"/>
      <c r="BF188" s="1346"/>
      <c r="BG188" s="1344"/>
      <c r="BH188" s="1347"/>
      <c r="BI188" s="1263"/>
      <c r="BJ188" s="1263"/>
      <c r="BK188" s="1263"/>
    </row>
    <row r="189" s="1053" customFormat="1" ht="31" customHeight="1" spans="1:63">
      <c r="A189" s="1265">
        <v>45847</v>
      </c>
      <c r="B189" s="1266" t="s">
        <v>2154</v>
      </c>
      <c r="C189" s="1267" t="s">
        <v>258</v>
      </c>
      <c r="D189" s="1266">
        <v>4500173065</v>
      </c>
      <c r="E189" s="1269">
        <v>11259</v>
      </c>
      <c r="F189" s="1266" t="s">
        <v>2640</v>
      </c>
      <c r="G189" s="1097" t="s">
        <v>2118</v>
      </c>
      <c r="H189" s="1101" t="s">
        <v>2118</v>
      </c>
      <c r="I189" s="1098" t="s">
        <v>2119</v>
      </c>
      <c r="J189" s="1120">
        <v>600</v>
      </c>
      <c r="K189" s="1097">
        <v>0</v>
      </c>
      <c r="L189" s="1097">
        <v>12</v>
      </c>
      <c r="M189" s="1114">
        <f t="shared" si="55"/>
        <v>50</v>
      </c>
      <c r="N189" s="1117">
        <v>45882</v>
      </c>
      <c r="O189" s="1117">
        <v>45878</v>
      </c>
      <c r="P189" s="1272"/>
      <c r="Q189" s="1285" t="s">
        <v>1480</v>
      </c>
      <c r="R189" s="1280" t="s">
        <v>2641</v>
      </c>
      <c r="S189" s="1147" t="s">
        <v>2642</v>
      </c>
      <c r="T189" s="1281"/>
      <c r="U189" s="1281" t="s">
        <v>58</v>
      </c>
      <c r="V189" s="1282"/>
      <c r="W189" s="1148" t="s">
        <v>2643</v>
      </c>
      <c r="X189" s="1150" t="s">
        <v>2644</v>
      </c>
      <c r="Y189" s="1292">
        <v>3.0761</v>
      </c>
      <c r="Z189" s="1166">
        <f t="shared" si="56"/>
        <v>1845.66</v>
      </c>
      <c r="AA189" s="1289"/>
      <c r="AB189" s="1137" t="s">
        <v>63</v>
      </c>
      <c r="AC189" s="1137" t="s">
        <v>2040</v>
      </c>
      <c r="AD189" s="1290">
        <v>600</v>
      </c>
      <c r="AE189" s="1289">
        <f t="shared" si="49"/>
        <v>0</v>
      </c>
      <c r="AF189" s="1294" t="s">
        <v>58</v>
      </c>
      <c r="AG189" s="1291"/>
      <c r="AH189" s="1188">
        <f>J189/3</f>
        <v>200</v>
      </c>
      <c r="AI189" s="1188">
        <f>J189/3</f>
        <v>200</v>
      </c>
      <c r="AJ189" s="1188">
        <f>J189/3</f>
        <v>200</v>
      </c>
      <c r="AK189" s="1378"/>
      <c r="AL189" s="1228"/>
      <c r="AM189" s="1312"/>
      <c r="AN189" s="1312"/>
      <c r="AO189" s="1311"/>
      <c r="AP189" s="1228"/>
      <c r="AQ189" s="1311"/>
      <c r="AR189" s="1319">
        <f t="shared" si="54"/>
        <v>600</v>
      </c>
      <c r="AS189" s="1395"/>
      <c r="AT189" s="1396"/>
      <c r="AU189" s="1203"/>
      <c r="AV189" s="1203"/>
      <c r="AW189" s="1214">
        <f>J189</f>
        <v>600</v>
      </c>
      <c r="AX189" s="1203"/>
      <c r="AY189" s="1203"/>
      <c r="AZ189" s="1203"/>
      <c r="BA189" s="1172"/>
      <c r="BB189" s="1172"/>
      <c r="BC189" s="1172"/>
      <c r="BD189" s="1172"/>
      <c r="BE189" s="1346"/>
      <c r="BF189" s="1346"/>
      <c r="BG189" s="1344"/>
      <c r="BH189" s="1347"/>
      <c r="BI189" s="1263"/>
      <c r="BJ189" s="1263"/>
      <c r="BK189" s="1263"/>
    </row>
    <row r="190" s="1053" customFormat="1" ht="31" customHeight="1" spans="1:63">
      <c r="A190" s="1265">
        <v>45839</v>
      </c>
      <c r="B190" s="1266" t="s">
        <v>230</v>
      </c>
      <c r="C190" s="1267" t="s">
        <v>91</v>
      </c>
      <c r="D190" s="1266">
        <v>4500172108</v>
      </c>
      <c r="E190" s="1269">
        <v>60235050</v>
      </c>
      <c r="F190" s="1266" t="s">
        <v>2645</v>
      </c>
      <c r="G190" s="1097" t="s">
        <v>2118</v>
      </c>
      <c r="H190" s="1101" t="s">
        <v>2118</v>
      </c>
      <c r="I190" s="1098" t="s">
        <v>2119</v>
      </c>
      <c r="J190" s="1120">
        <v>5040</v>
      </c>
      <c r="K190" s="1097">
        <v>0</v>
      </c>
      <c r="L190" s="1097">
        <v>12</v>
      </c>
      <c r="M190" s="1114">
        <f t="shared" si="55"/>
        <v>420</v>
      </c>
      <c r="N190" s="1117">
        <v>45883</v>
      </c>
      <c r="O190" s="1117">
        <v>45880</v>
      </c>
      <c r="P190" s="1272"/>
      <c r="Q190" s="1363" t="s">
        <v>56</v>
      </c>
      <c r="R190" s="1363" t="s">
        <v>853</v>
      </c>
      <c r="S190" s="1147" t="s">
        <v>282</v>
      </c>
      <c r="T190" s="1364"/>
      <c r="U190" s="1364" t="s">
        <v>855</v>
      </c>
      <c r="V190" s="1282" t="s">
        <v>424</v>
      </c>
      <c r="W190" s="1148" t="s">
        <v>816</v>
      </c>
      <c r="X190" s="1150" t="s">
        <v>237</v>
      </c>
      <c r="Y190" s="1292">
        <v>1.5918</v>
      </c>
      <c r="Z190" s="1166">
        <f t="shared" si="56"/>
        <v>8022.672</v>
      </c>
      <c r="AA190" s="1289"/>
      <c r="AB190" s="1137" t="s">
        <v>63</v>
      </c>
      <c r="AC190" s="1137" t="s">
        <v>2040</v>
      </c>
      <c r="AD190" s="1290">
        <v>5040</v>
      </c>
      <c r="AE190" s="1289">
        <f t="shared" si="49"/>
        <v>0</v>
      </c>
      <c r="AF190" s="1291" t="s">
        <v>327</v>
      </c>
      <c r="AG190" s="1291"/>
      <c r="AH190" s="1188">
        <f>J190/3</f>
        <v>1680</v>
      </c>
      <c r="AI190" s="1188">
        <f>J190/3</f>
        <v>1680</v>
      </c>
      <c r="AJ190" s="1188">
        <f>J190/3</f>
        <v>1680</v>
      </c>
      <c r="AK190" s="1310"/>
      <c r="AL190" s="1311"/>
      <c r="AM190" s="1311"/>
      <c r="AN190" s="1312"/>
      <c r="AO190" s="1312"/>
      <c r="AP190" s="1312"/>
      <c r="AQ190" s="1312"/>
      <c r="AR190" s="1319">
        <f t="shared" si="54"/>
        <v>5040</v>
      </c>
      <c r="AS190" s="1332"/>
      <c r="AT190" s="1312"/>
      <c r="AU190" s="1228"/>
      <c r="AV190" s="1228"/>
      <c r="AW190" s="1214">
        <f>J190</f>
        <v>5040</v>
      </c>
      <c r="AX190" s="1228"/>
      <c r="AY190" s="1312"/>
      <c r="AZ190" s="1312"/>
      <c r="BA190" s="1319"/>
      <c r="BB190" s="1319"/>
      <c r="BC190" s="1338"/>
      <c r="BD190" s="1214"/>
      <c r="BE190" s="1346"/>
      <c r="BF190" s="1346"/>
      <c r="BG190" s="1344"/>
      <c r="BH190" s="1347"/>
      <c r="BI190" s="1356"/>
      <c r="BJ190" s="1263"/>
      <c r="BK190" s="1263"/>
    </row>
    <row r="191" s="1053" customFormat="1" ht="31" customHeight="1" spans="1:63">
      <c r="A191" s="1265">
        <v>45849</v>
      </c>
      <c r="B191" s="1266" t="s">
        <v>2106</v>
      </c>
      <c r="C191" s="1267" t="s">
        <v>123</v>
      </c>
      <c r="D191" s="1266">
        <v>4500173446</v>
      </c>
      <c r="E191" s="1269" t="s">
        <v>2646</v>
      </c>
      <c r="F191" s="1266" t="s">
        <v>2647</v>
      </c>
      <c r="G191" s="1101" t="s">
        <v>2390</v>
      </c>
      <c r="H191" s="1101" t="s">
        <v>2390</v>
      </c>
      <c r="I191" s="1270" t="s">
        <v>2063</v>
      </c>
      <c r="J191" s="1120">
        <v>480</v>
      </c>
      <c r="K191" s="1097">
        <v>0</v>
      </c>
      <c r="L191" s="1097">
        <v>24</v>
      </c>
      <c r="M191" s="1114">
        <f t="shared" si="55"/>
        <v>20</v>
      </c>
      <c r="N191" s="1117">
        <v>45888</v>
      </c>
      <c r="O191" s="1117">
        <v>45884</v>
      </c>
      <c r="P191" s="1272"/>
      <c r="Q191" s="1363" t="s">
        <v>56</v>
      </c>
      <c r="R191" s="1280"/>
      <c r="S191" s="1147" t="s">
        <v>2648</v>
      </c>
      <c r="T191" s="1281"/>
      <c r="U191" s="1281" t="s">
        <v>2649</v>
      </c>
      <c r="V191" s="1282"/>
      <c r="W191" s="1148" t="s">
        <v>2650</v>
      </c>
      <c r="X191" s="1150" t="s">
        <v>2115</v>
      </c>
      <c r="Y191" s="1165">
        <v>2.8755</v>
      </c>
      <c r="Z191" s="1166">
        <f t="shared" si="56"/>
        <v>1380.24</v>
      </c>
      <c r="AA191" s="1289"/>
      <c r="AB191" s="1137" t="s">
        <v>63</v>
      </c>
      <c r="AC191" s="1137" t="s">
        <v>2040</v>
      </c>
      <c r="AD191" s="1290">
        <v>480</v>
      </c>
      <c r="AE191" s="1289">
        <f t="shared" si="49"/>
        <v>0</v>
      </c>
      <c r="AF191" s="1291" t="s">
        <v>1485</v>
      </c>
      <c r="AG191" s="1291"/>
      <c r="AH191" s="1188"/>
      <c r="AI191" s="1188">
        <f>J191</f>
        <v>480</v>
      </c>
      <c r="AJ191" s="1188"/>
      <c r="AK191" s="1378"/>
      <c r="AL191" s="1228"/>
      <c r="AM191" s="1312"/>
      <c r="AN191" s="1312"/>
      <c r="AO191" s="1311"/>
      <c r="AP191" s="1228"/>
      <c r="AQ191" s="1311"/>
      <c r="AR191" s="1319">
        <f t="shared" si="54"/>
        <v>480</v>
      </c>
      <c r="AS191" s="1395"/>
      <c r="AT191" s="1396"/>
      <c r="AU191" s="1203"/>
      <c r="AV191" s="1203"/>
      <c r="AW191" s="1214"/>
      <c r="AX191" s="1203"/>
      <c r="AY191" s="1203"/>
      <c r="AZ191" s="1203"/>
      <c r="BA191" s="1172"/>
      <c r="BB191" s="1172"/>
      <c r="BC191" s="1172"/>
      <c r="BD191" s="1172"/>
      <c r="BE191" s="1346"/>
      <c r="BF191" s="1346">
        <f>J191</f>
        <v>480</v>
      </c>
      <c r="BG191" s="1344"/>
      <c r="BH191" s="1347"/>
      <c r="BI191" s="1263"/>
      <c r="BJ191" s="1263"/>
      <c r="BK191" s="1263"/>
    </row>
    <row r="192" s="1053" customFormat="1" ht="31" customHeight="1" spans="1:63">
      <c r="A192" s="1265">
        <v>45836</v>
      </c>
      <c r="B192" s="1266" t="s">
        <v>811</v>
      </c>
      <c r="C192" s="1267" t="s">
        <v>91</v>
      </c>
      <c r="D192" s="1266">
        <v>4500171777</v>
      </c>
      <c r="E192" s="1269">
        <v>70072638</v>
      </c>
      <c r="F192" s="1266" t="s">
        <v>2651</v>
      </c>
      <c r="G192" s="1097" t="s">
        <v>2118</v>
      </c>
      <c r="H192" s="1101" t="s">
        <v>2118</v>
      </c>
      <c r="I192" s="1098" t="s">
        <v>2119</v>
      </c>
      <c r="J192" s="1120">
        <v>1200</v>
      </c>
      <c r="K192" s="1097">
        <v>0</v>
      </c>
      <c r="L192" s="1097">
        <v>12</v>
      </c>
      <c r="M192" s="1114">
        <f t="shared" si="55"/>
        <v>100</v>
      </c>
      <c r="N192" s="1117">
        <v>45889</v>
      </c>
      <c r="O192" s="1117">
        <v>45885</v>
      </c>
      <c r="P192" s="1272"/>
      <c r="Q192" s="1363" t="s">
        <v>56</v>
      </c>
      <c r="R192" s="1280" t="s">
        <v>2652</v>
      </c>
      <c r="S192" s="1147" t="s">
        <v>282</v>
      </c>
      <c r="T192" s="1364"/>
      <c r="U192" s="1364" t="s">
        <v>2653</v>
      </c>
      <c r="V192" s="1365" t="s">
        <v>235</v>
      </c>
      <c r="W192" s="1148" t="s">
        <v>816</v>
      </c>
      <c r="X192" s="1150" t="s">
        <v>237</v>
      </c>
      <c r="Y192" s="1292">
        <v>1.7072</v>
      </c>
      <c r="Z192" s="1166">
        <f t="shared" si="56"/>
        <v>2048.64</v>
      </c>
      <c r="AA192" s="1289"/>
      <c r="AB192" s="1137" t="s">
        <v>63</v>
      </c>
      <c r="AC192" s="1137" t="s">
        <v>2040</v>
      </c>
      <c r="AD192" s="1290">
        <v>1200</v>
      </c>
      <c r="AE192" s="1289">
        <f t="shared" si="49"/>
        <v>0</v>
      </c>
      <c r="AF192" s="1291" t="s">
        <v>327</v>
      </c>
      <c r="AG192" s="1291"/>
      <c r="AH192" s="1188">
        <f>J192/3</f>
        <v>400</v>
      </c>
      <c r="AI192" s="1188">
        <f>J192/3</f>
        <v>400</v>
      </c>
      <c r="AJ192" s="1188">
        <f>J192/3</f>
        <v>400</v>
      </c>
      <c r="AK192" s="1332"/>
      <c r="AL192" s="1226"/>
      <c r="AM192" s="1332"/>
      <c r="AN192" s="1332"/>
      <c r="AO192" s="1395"/>
      <c r="AP192" s="1226"/>
      <c r="AQ192" s="1310"/>
      <c r="AR192" s="1319">
        <f t="shared" si="54"/>
        <v>1200</v>
      </c>
      <c r="AS192" s="1395"/>
      <c r="AT192" s="1396"/>
      <c r="AU192" s="1203"/>
      <c r="AV192" s="1203"/>
      <c r="AW192" s="1214">
        <f>J192</f>
        <v>1200</v>
      </c>
      <c r="AX192" s="1203"/>
      <c r="AY192" s="1203"/>
      <c r="AZ192" s="1203"/>
      <c r="BA192" s="1172"/>
      <c r="BB192" s="1172"/>
      <c r="BC192" s="1172"/>
      <c r="BD192" s="1172"/>
      <c r="BE192" s="1346"/>
      <c r="BF192" s="1346"/>
      <c r="BG192" s="1344"/>
      <c r="BH192" s="1347"/>
      <c r="BI192" s="1263"/>
      <c r="BJ192" s="1263"/>
      <c r="BK192" s="1263"/>
    </row>
    <row r="193" s="1053" customFormat="1" ht="31" customHeight="1" spans="1:63">
      <c r="A193" s="1265">
        <v>45839</v>
      </c>
      <c r="B193" s="1266" t="s">
        <v>230</v>
      </c>
      <c r="C193" s="1267" t="s">
        <v>91</v>
      </c>
      <c r="D193" s="1266">
        <v>4500172109</v>
      </c>
      <c r="E193" s="1269">
        <v>60235200</v>
      </c>
      <c r="F193" s="1266" t="s">
        <v>2654</v>
      </c>
      <c r="G193" s="1097" t="s">
        <v>2118</v>
      </c>
      <c r="H193" s="1101" t="s">
        <v>2118</v>
      </c>
      <c r="I193" s="1098" t="s">
        <v>2119</v>
      </c>
      <c r="J193" s="1120">
        <v>2472</v>
      </c>
      <c r="K193" s="1097">
        <v>0</v>
      </c>
      <c r="L193" s="1097">
        <v>12</v>
      </c>
      <c r="M193" s="1114">
        <f t="shared" si="55"/>
        <v>206</v>
      </c>
      <c r="N193" s="1117">
        <v>45889</v>
      </c>
      <c r="O193" s="1117">
        <v>45885</v>
      </c>
      <c r="P193" s="1272"/>
      <c r="Q193" s="1363" t="s">
        <v>56</v>
      </c>
      <c r="R193" s="1363" t="s">
        <v>916</v>
      </c>
      <c r="S193" s="1147" t="s">
        <v>282</v>
      </c>
      <c r="T193" s="1364"/>
      <c r="U193" s="1364" t="s">
        <v>917</v>
      </c>
      <c r="V193" s="1365" t="s">
        <v>235</v>
      </c>
      <c r="W193" s="1148" t="s">
        <v>816</v>
      </c>
      <c r="X193" s="1150" t="s">
        <v>237</v>
      </c>
      <c r="Y193" s="1292">
        <v>1.63</v>
      </c>
      <c r="Z193" s="1166">
        <f t="shared" si="56"/>
        <v>4029.36</v>
      </c>
      <c r="AA193" s="1289"/>
      <c r="AB193" s="1137" t="s">
        <v>63</v>
      </c>
      <c r="AC193" s="1137" t="s">
        <v>2040</v>
      </c>
      <c r="AD193" s="1290">
        <v>2472</v>
      </c>
      <c r="AE193" s="1289">
        <f t="shared" si="49"/>
        <v>0</v>
      </c>
      <c r="AF193" s="1409" t="s">
        <v>327</v>
      </c>
      <c r="AG193" s="1291"/>
      <c r="AH193" s="1188">
        <f>J193/3</f>
        <v>824</v>
      </c>
      <c r="AI193" s="1188">
        <f>J193/3</f>
        <v>824</v>
      </c>
      <c r="AJ193" s="1188">
        <f>J193/3</f>
        <v>824</v>
      </c>
      <c r="AK193" s="1332"/>
      <c r="AL193" s="1226"/>
      <c r="AM193" s="1332"/>
      <c r="AN193" s="1332"/>
      <c r="AO193" s="1395"/>
      <c r="AP193" s="1226"/>
      <c r="AQ193" s="1310"/>
      <c r="AR193" s="1338">
        <f t="shared" si="54"/>
        <v>2472</v>
      </c>
      <c r="AS193" s="1395"/>
      <c r="AT193" s="1396"/>
      <c r="AU193" s="1203"/>
      <c r="AV193" s="1203"/>
      <c r="AW193" s="1172">
        <f>J193</f>
        <v>2472</v>
      </c>
      <c r="AX193" s="1203"/>
      <c r="AY193" s="1203"/>
      <c r="AZ193" s="1203"/>
      <c r="BA193" s="1172"/>
      <c r="BB193" s="1172"/>
      <c r="BC193" s="1172"/>
      <c r="BD193" s="1172"/>
      <c r="BE193" s="1346"/>
      <c r="BF193" s="1346"/>
      <c r="BG193" s="1344"/>
      <c r="BH193" s="1347"/>
      <c r="BI193" s="1263"/>
      <c r="BJ193" s="1263"/>
      <c r="BK193" s="1263"/>
    </row>
    <row r="194" s="1053" customFormat="1" ht="31" customHeight="1" spans="1:63">
      <c r="A194" s="1265">
        <v>45855</v>
      </c>
      <c r="B194" s="1266" t="s">
        <v>856</v>
      </c>
      <c r="C194" s="1267" t="s">
        <v>178</v>
      </c>
      <c r="D194" s="1266">
        <v>4500174165</v>
      </c>
      <c r="E194" s="1269" t="s">
        <v>2655</v>
      </c>
      <c r="F194" s="1266" t="s">
        <v>2656</v>
      </c>
      <c r="G194" s="1101" t="s">
        <v>2316</v>
      </c>
      <c r="H194" s="1101" t="s">
        <v>2317</v>
      </c>
      <c r="I194" s="1098" t="s">
        <v>2063</v>
      </c>
      <c r="J194" s="1120">
        <v>504</v>
      </c>
      <c r="K194" s="1097">
        <v>0</v>
      </c>
      <c r="L194" s="1097">
        <v>12</v>
      </c>
      <c r="M194" s="1114">
        <f t="shared" si="55"/>
        <v>42</v>
      </c>
      <c r="N194" s="1117">
        <v>45894</v>
      </c>
      <c r="O194" s="1117">
        <v>45890</v>
      </c>
      <c r="P194" s="1272"/>
      <c r="Q194" s="1363" t="s">
        <v>56</v>
      </c>
      <c r="R194" s="1280" t="s">
        <v>2657</v>
      </c>
      <c r="S194" s="1147" t="s">
        <v>861</v>
      </c>
      <c r="T194" s="1364"/>
      <c r="U194" s="1364" t="s">
        <v>2658</v>
      </c>
      <c r="V194" s="1402" t="s">
        <v>2659</v>
      </c>
      <c r="W194" s="1148" t="s">
        <v>2660</v>
      </c>
      <c r="X194" s="1150" t="s">
        <v>490</v>
      </c>
      <c r="Y194" s="1292">
        <v>2.9668</v>
      </c>
      <c r="Z194" s="1166">
        <f t="shared" si="56"/>
        <v>1495.2672</v>
      </c>
      <c r="AA194" s="1289" t="s">
        <v>2661</v>
      </c>
      <c r="AB194" s="1137" t="s">
        <v>63</v>
      </c>
      <c r="AC194" s="1137" t="s">
        <v>2040</v>
      </c>
      <c r="AD194" s="1290">
        <v>504</v>
      </c>
      <c r="AE194" s="1289">
        <f t="shared" ref="AE194:AE205" si="57">AD194-J194</f>
        <v>0</v>
      </c>
      <c r="AF194" s="1291" t="s">
        <v>327</v>
      </c>
      <c r="AG194" s="1291"/>
      <c r="AH194" s="1189"/>
      <c r="AI194" s="1188">
        <f>J194</f>
        <v>504</v>
      </c>
      <c r="AJ194" s="1189"/>
      <c r="AK194" s="1332"/>
      <c r="AL194" s="1226"/>
      <c r="AM194" s="1332"/>
      <c r="AN194" s="1332"/>
      <c r="AO194" s="1395"/>
      <c r="AP194" s="1226"/>
      <c r="AQ194" s="1310"/>
      <c r="AR194" s="1338">
        <f t="shared" si="54"/>
        <v>504</v>
      </c>
      <c r="AS194" s="1395"/>
      <c r="AT194" s="1396"/>
      <c r="AU194" s="1203"/>
      <c r="AV194" s="1203"/>
      <c r="AW194" s="1172"/>
      <c r="AX194" s="1203"/>
      <c r="AY194" s="1203"/>
      <c r="AZ194" s="1203"/>
      <c r="BA194" s="1172">
        <f>J194</f>
        <v>504</v>
      </c>
      <c r="BB194" s="1172"/>
      <c r="BC194" s="1172"/>
      <c r="BD194" s="1172"/>
      <c r="BE194" s="1346"/>
      <c r="BF194" s="1346"/>
      <c r="BG194" s="1344"/>
      <c r="BH194" s="1347"/>
      <c r="BI194" s="1263"/>
      <c r="BJ194" s="1263"/>
      <c r="BK194" s="1263"/>
    </row>
    <row r="195" s="1053" customFormat="1" ht="31" customHeight="1" spans="1:63">
      <c r="A195" s="1265">
        <v>45855</v>
      </c>
      <c r="B195" s="1266" t="s">
        <v>856</v>
      </c>
      <c r="C195" s="1267" t="s">
        <v>178</v>
      </c>
      <c r="D195" s="1266">
        <v>4500174165</v>
      </c>
      <c r="E195" s="1269" t="s">
        <v>2655</v>
      </c>
      <c r="F195" s="1266" t="s">
        <v>2662</v>
      </c>
      <c r="G195" s="1101" t="s">
        <v>2309</v>
      </c>
      <c r="H195" s="1101" t="s">
        <v>2310</v>
      </c>
      <c r="I195" s="1098" t="s">
        <v>2663</v>
      </c>
      <c r="J195" s="1120">
        <v>600</v>
      </c>
      <c r="K195" s="1097">
        <v>0</v>
      </c>
      <c r="L195" s="1097">
        <v>12</v>
      </c>
      <c r="M195" s="1114">
        <f t="shared" si="55"/>
        <v>50</v>
      </c>
      <c r="N195" s="1117">
        <v>45894</v>
      </c>
      <c r="O195" s="1117">
        <v>45890</v>
      </c>
      <c r="P195" s="1272"/>
      <c r="Q195" s="1363" t="s">
        <v>56</v>
      </c>
      <c r="R195" s="1280" t="s">
        <v>2657</v>
      </c>
      <c r="S195" s="1147" t="s">
        <v>861</v>
      </c>
      <c r="T195" s="1364"/>
      <c r="U195" s="1364" t="s">
        <v>2658</v>
      </c>
      <c r="V195" s="1402" t="s">
        <v>2659</v>
      </c>
      <c r="W195" s="1148" t="s">
        <v>2664</v>
      </c>
      <c r="X195" s="1150" t="s">
        <v>490</v>
      </c>
      <c r="Y195" s="1292">
        <v>2.9668</v>
      </c>
      <c r="Z195" s="1166">
        <f t="shared" si="56"/>
        <v>1780.08</v>
      </c>
      <c r="AA195" s="1289" t="s">
        <v>2661</v>
      </c>
      <c r="AB195" s="1137" t="s">
        <v>63</v>
      </c>
      <c r="AC195" s="1137" t="s">
        <v>2040</v>
      </c>
      <c r="AD195" s="1290">
        <v>600</v>
      </c>
      <c r="AE195" s="1289">
        <f t="shared" si="57"/>
        <v>0</v>
      </c>
      <c r="AF195" s="1291" t="s">
        <v>327</v>
      </c>
      <c r="AG195" s="1291"/>
      <c r="AH195" s="1189"/>
      <c r="AI195" s="1188"/>
      <c r="AJ195" s="1188">
        <f>J195</f>
        <v>600</v>
      </c>
      <c r="AK195" s="1310"/>
      <c r="AL195" s="1311"/>
      <c r="AM195" s="1311"/>
      <c r="AN195" s="1312"/>
      <c r="AO195" s="1312"/>
      <c r="AP195" s="1312"/>
      <c r="AQ195" s="1312"/>
      <c r="AR195" s="1338">
        <f t="shared" si="54"/>
        <v>600</v>
      </c>
      <c r="AS195" s="1395"/>
      <c r="AT195" s="1396"/>
      <c r="AU195" s="1203"/>
      <c r="AV195" s="1203"/>
      <c r="AW195" s="1172"/>
      <c r="AX195" s="1203"/>
      <c r="AY195" s="1203"/>
      <c r="AZ195" s="1203"/>
      <c r="BA195" s="1172">
        <f>J195</f>
        <v>600</v>
      </c>
      <c r="BB195" s="1172"/>
      <c r="BC195" s="1172"/>
      <c r="BD195" s="1172"/>
      <c r="BE195" s="1346"/>
      <c r="BF195" s="1346"/>
      <c r="BG195" s="1344"/>
      <c r="BH195" s="1347"/>
      <c r="BI195" s="1263"/>
      <c r="BJ195" s="1263"/>
      <c r="BK195" s="1263"/>
    </row>
    <row r="196" s="1053" customFormat="1" ht="31" customHeight="1" spans="1:63">
      <c r="A196" s="1265">
        <v>45855</v>
      </c>
      <c r="B196" s="1266" t="s">
        <v>856</v>
      </c>
      <c r="C196" s="1267" t="s">
        <v>178</v>
      </c>
      <c r="D196" s="1266">
        <v>4500174165</v>
      </c>
      <c r="E196" s="1269" t="s">
        <v>2655</v>
      </c>
      <c r="F196" s="1266" t="s">
        <v>2665</v>
      </c>
      <c r="G196" s="1101" t="s">
        <v>2444</v>
      </c>
      <c r="H196" s="1101" t="s">
        <v>2445</v>
      </c>
      <c r="I196" s="1098" t="s">
        <v>2446</v>
      </c>
      <c r="J196" s="1120">
        <v>708</v>
      </c>
      <c r="K196" s="1097">
        <v>0</v>
      </c>
      <c r="L196" s="1097">
        <v>12</v>
      </c>
      <c r="M196" s="1114">
        <f t="shared" si="55"/>
        <v>59</v>
      </c>
      <c r="N196" s="1117">
        <v>45894</v>
      </c>
      <c r="O196" s="1117">
        <v>45890</v>
      </c>
      <c r="P196" s="1272"/>
      <c r="Q196" s="1363" t="s">
        <v>56</v>
      </c>
      <c r="R196" s="1280" t="s">
        <v>2657</v>
      </c>
      <c r="S196" s="1147" t="s">
        <v>861</v>
      </c>
      <c r="T196" s="1364"/>
      <c r="U196" s="1364" t="s">
        <v>2658</v>
      </c>
      <c r="V196" s="1402" t="s">
        <v>2659</v>
      </c>
      <c r="W196" s="1148" t="s">
        <v>2666</v>
      </c>
      <c r="X196" s="1150" t="s">
        <v>490</v>
      </c>
      <c r="Y196" s="1292">
        <v>2.9668</v>
      </c>
      <c r="Z196" s="1166">
        <f t="shared" si="56"/>
        <v>2100.4944</v>
      </c>
      <c r="AA196" s="1289" t="s">
        <v>2661</v>
      </c>
      <c r="AB196" s="1137" t="s">
        <v>63</v>
      </c>
      <c r="AC196" s="1137" t="s">
        <v>2040</v>
      </c>
      <c r="AD196" s="1290">
        <v>708</v>
      </c>
      <c r="AE196" s="1289">
        <f t="shared" si="57"/>
        <v>0</v>
      </c>
      <c r="AF196" s="1291" t="s">
        <v>327</v>
      </c>
      <c r="AG196" s="1291"/>
      <c r="AH196" s="1188">
        <f>J196</f>
        <v>708</v>
      </c>
      <c r="AI196" s="1188"/>
      <c r="AJ196" s="1189"/>
      <c r="AK196" s="1332"/>
      <c r="AL196" s="1226"/>
      <c r="AM196" s="1332"/>
      <c r="AN196" s="1332"/>
      <c r="AO196" s="1395"/>
      <c r="AP196" s="1226"/>
      <c r="AQ196" s="1310"/>
      <c r="AR196" s="1338">
        <f t="shared" si="54"/>
        <v>708</v>
      </c>
      <c r="AS196" s="1395"/>
      <c r="AT196" s="1396"/>
      <c r="AU196" s="1203"/>
      <c r="AV196" s="1203"/>
      <c r="AW196" s="1172"/>
      <c r="AX196" s="1203"/>
      <c r="AY196" s="1203"/>
      <c r="AZ196" s="1203"/>
      <c r="BA196" s="1172">
        <f>J196</f>
        <v>708</v>
      </c>
      <c r="BB196" s="1172"/>
      <c r="BC196" s="1172"/>
      <c r="BD196" s="1172"/>
      <c r="BE196" s="1346"/>
      <c r="BF196" s="1346"/>
      <c r="BG196" s="1344"/>
      <c r="BH196" s="1347"/>
      <c r="BI196" s="1263"/>
      <c r="BJ196" s="1263"/>
      <c r="BK196" s="1263"/>
    </row>
    <row r="197" s="1053" customFormat="1" ht="31" customHeight="1" spans="1:63">
      <c r="A197" s="1265">
        <v>45862</v>
      </c>
      <c r="B197" s="1266" t="s">
        <v>2667</v>
      </c>
      <c r="C197" s="1267" t="s">
        <v>1613</v>
      </c>
      <c r="D197" s="1266">
        <v>4500174900</v>
      </c>
      <c r="E197" s="1269" t="s">
        <v>2668</v>
      </c>
      <c r="F197" s="1266" t="s">
        <v>2669</v>
      </c>
      <c r="G197" s="1101" t="s">
        <v>2390</v>
      </c>
      <c r="H197" s="1101" t="s">
        <v>2390</v>
      </c>
      <c r="I197" s="1270" t="s">
        <v>2063</v>
      </c>
      <c r="J197" s="1120">
        <v>480</v>
      </c>
      <c r="K197" s="1097">
        <v>0</v>
      </c>
      <c r="L197" s="1097">
        <v>24</v>
      </c>
      <c r="M197" s="1114">
        <f t="shared" si="55"/>
        <v>20</v>
      </c>
      <c r="N197" s="1117">
        <v>45898</v>
      </c>
      <c r="O197" s="1117">
        <v>45894</v>
      </c>
      <c r="P197" s="1272"/>
      <c r="Q197" s="1363" t="s">
        <v>56</v>
      </c>
      <c r="R197" s="1280"/>
      <c r="S197" s="1147" t="s">
        <v>2392</v>
      </c>
      <c r="T197" s="1364"/>
      <c r="U197" s="1364" t="s">
        <v>2670</v>
      </c>
      <c r="V197" s="1402" t="s">
        <v>2113</v>
      </c>
      <c r="W197" s="1403" t="s">
        <v>2671</v>
      </c>
      <c r="X197" s="1150" t="s">
        <v>2144</v>
      </c>
      <c r="Y197" s="1165">
        <v>2.977</v>
      </c>
      <c r="Z197" s="1166">
        <f t="shared" si="56"/>
        <v>1428.96</v>
      </c>
      <c r="AA197" s="1289"/>
      <c r="AB197" s="1137" t="s">
        <v>63</v>
      </c>
      <c r="AC197" s="1137" t="s">
        <v>2040</v>
      </c>
      <c r="AD197" s="1290">
        <v>480</v>
      </c>
      <c r="AE197" s="1289">
        <f t="shared" si="57"/>
        <v>0</v>
      </c>
      <c r="AF197" s="1291"/>
      <c r="AG197" s="1291"/>
      <c r="AH197" s="1188"/>
      <c r="AI197" s="1188">
        <f>J197</f>
        <v>480</v>
      </c>
      <c r="AJ197" s="1189"/>
      <c r="AK197" s="1332"/>
      <c r="AL197" s="1226"/>
      <c r="AM197" s="1332"/>
      <c r="AN197" s="1332"/>
      <c r="AO197" s="1395"/>
      <c r="AP197" s="1226"/>
      <c r="AQ197" s="1310"/>
      <c r="AR197" s="1338">
        <f t="shared" si="54"/>
        <v>480</v>
      </c>
      <c r="AS197" s="1395"/>
      <c r="AT197" s="1396"/>
      <c r="AU197" s="1203"/>
      <c r="AV197" s="1203"/>
      <c r="AW197" s="1172"/>
      <c r="AX197" s="1203"/>
      <c r="AY197" s="1203"/>
      <c r="AZ197" s="1203"/>
      <c r="BA197" s="1172"/>
      <c r="BB197" s="1172"/>
      <c r="BC197" s="1172"/>
      <c r="BD197" s="1172"/>
      <c r="BE197" s="1346"/>
      <c r="BF197" s="1346">
        <f>J197</f>
        <v>480</v>
      </c>
      <c r="BG197" s="1344"/>
      <c r="BH197" s="1347"/>
      <c r="BI197" s="1263"/>
      <c r="BJ197" s="1263"/>
      <c r="BK197" s="1263"/>
    </row>
    <row r="198" s="1053" customFormat="1" ht="31" customHeight="1" spans="1:63">
      <c r="A198" s="1265">
        <v>45862</v>
      </c>
      <c r="B198" s="1266" t="s">
        <v>2304</v>
      </c>
      <c r="C198" s="1267" t="s">
        <v>258</v>
      </c>
      <c r="D198" s="1266">
        <v>4500172405</v>
      </c>
      <c r="E198" s="1269">
        <v>21012326</v>
      </c>
      <c r="F198" s="1266" t="s">
        <v>2672</v>
      </c>
      <c r="G198" s="1097" t="s">
        <v>2118</v>
      </c>
      <c r="H198" s="1101" t="s">
        <v>2118</v>
      </c>
      <c r="I198" s="1098" t="s">
        <v>2119</v>
      </c>
      <c r="J198" s="1120">
        <v>108</v>
      </c>
      <c r="K198" s="1097">
        <v>0</v>
      </c>
      <c r="L198" s="1097">
        <v>12</v>
      </c>
      <c r="M198" s="1114">
        <f t="shared" si="55"/>
        <v>9</v>
      </c>
      <c r="N198" s="1117">
        <v>45901</v>
      </c>
      <c r="O198" s="1117">
        <f>N198-4</f>
        <v>45897</v>
      </c>
      <c r="P198" s="1272" t="s">
        <v>2416</v>
      </c>
      <c r="Q198" s="1363" t="s">
        <v>56</v>
      </c>
      <c r="R198" s="1280"/>
      <c r="S198" s="1147" t="s">
        <v>929</v>
      </c>
      <c r="T198" s="1364"/>
      <c r="U198" s="1281" t="s">
        <v>2673</v>
      </c>
      <c r="V198" s="1402" t="s">
        <v>2501</v>
      </c>
      <c r="W198" s="1148" t="s">
        <v>2411</v>
      </c>
      <c r="X198" s="1150" t="s">
        <v>2302</v>
      </c>
      <c r="Y198" s="1292">
        <v>3.0761</v>
      </c>
      <c r="Z198" s="1166">
        <f t="shared" si="56"/>
        <v>332.2188</v>
      </c>
      <c r="AA198" s="1410" t="s">
        <v>2674</v>
      </c>
      <c r="AB198" s="1137" t="s">
        <v>63</v>
      </c>
      <c r="AC198" s="1137" t="s">
        <v>2040</v>
      </c>
      <c r="AD198" s="1290">
        <v>108</v>
      </c>
      <c r="AE198" s="1289">
        <f t="shared" si="57"/>
        <v>0</v>
      </c>
      <c r="AF198" s="1291" t="s">
        <v>327</v>
      </c>
      <c r="AG198" s="1291"/>
      <c r="AH198" s="1188">
        <f>J198/3</f>
        <v>36</v>
      </c>
      <c r="AI198" s="1188">
        <f>J198/3</f>
        <v>36</v>
      </c>
      <c r="AJ198" s="1188">
        <f>J198/3</f>
        <v>36</v>
      </c>
      <c r="AK198" s="1332"/>
      <c r="AL198" s="1226"/>
      <c r="AM198" s="1332"/>
      <c r="AN198" s="1332"/>
      <c r="AO198" s="1395"/>
      <c r="AP198" s="1226"/>
      <c r="AQ198" s="1310"/>
      <c r="AR198" s="1319">
        <f t="shared" si="54"/>
        <v>108</v>
      </c>
      <c r="AS198" s="1395"/>
      <c r="AT198" s="1396"/>
      <c r="AU198" s="1203"/>
      <c r="AV198" s="1203"/>
      <c r="AW198" s="1214">
        <f>J198</f>
        <v>108</v>
      </c>
      <c r="AX198" s="1203"/>
      <c r="AY198" s="1203"/>
      <c r="AZ198" s="1203"/>
      <c r="BA198" s="1172"/>
      <c r="BB198" s="1172"/>
      <c r="BC198" s="1172"/>
      <c r="BD198" s="1172"/>
      <c r="BE198" s="1346"/>
      <c r="BF198" s="1346"/>
      <c r="BG198" s="1344"/>
      <c r="BH198" s="1347"/>
      <c r="BI198" s="1263"/>
      <c r="BJ198" s="1263"/>
      <c r="BK198" s="1263"/>
    </row>
    <row r="199" s="1053" customFormat="1" ht="31" customHeight="1" spans="1:63">
      <c r="A199" s="1265">
        <v>45840</v>
      </c>
      <c r="B199" s="1266" t="s">
        <v>2297</v>
      </c>
      <c r="C199" s="1267" t="s">
        <v>876</v>
      </c>
      <c r="D199" s="1266">
        <v>4500172403</v>
      </c>
      <c r="E199" s="1269">
        <v>21012323</v>
      </c>
      <c r="F199" s="1266" t="s">
        <v>2675</v>
      </c>
      <c r="G199" s="1097" t="s">
        <v>2118</v>
      </c>
      <c r="H199" s="1101" t="s">
        <v>2118</v>
      </c>
      <c r="I199" s="1098" t="s">
        <v>2119</v>
      </c>
      <c r="J199" s="1120">
        <v>1488</v>
      </c>
      <c r="K199" s="1097">
        <v>0</v>
      </c>
      <c r="L199" s="1097">
        <v>12</v>
      </c>
      <c r="M199" s="1114">
        <f t="shared" si="55"/>
        <v>124</v>
      </c>
      <c r="N199" s="1117">
        <v>45901</v>
      </c>
      <c r="O199" s="1117">
        <f>N199-4</f>
        <v>45897</v>
      </c>
      <c r="P199" s="1272" t="s">
        <v>2416</v>
      </c>
      <c r="Q199" s="1363" t="s">
        <v>56</v>
      </c>
      <c r="R199" s="1280" t="s">
        <v>2676</v>
      </c>
      <c r="S199" s="1147" t="s">
        <v>929</v>
      </c>
      <c r="T199" s="1364"/>
      <c r="U199" s="1281" t="s">
        <v>2673</v>
      </c>
      <c r="V199" s="1402" t="s">
        <v>2501</v>
      </c>
      <c r="W199" s="1148" t="s">
        <v>2677</v>
      </c>
      <c r="X199" s="1150" t="s">
        <v>2302</v>
      </c>
      <c r="Y199" s="1292">
        <v>2.9547</v>
      </c>
      <c r="Z199" s="1166">
        <f t="shared" si="56"/>
        <v>4396.5936</v>
      </c>
      <c r="AA199" s="1410" t="s">
        <v>2678</v>
      </c>
      <c r="AB199" s="1137" t="s">
        <v>63</v>
      </c>
      <c r="AC199" s="1137" t="s">
        <v>2040</v>
      </c>
      <c r="AD199" s="1290">
        <v>1488</v>
      </c>
      <c r="AE199" s="1289">
        <f t="shared" si="57"/>
        <v>0</v>
      </c>
      <c r="AF199" s="1291" t="s">
        <v>327</v>
      </c>
      <c r="AG199" s="1291"/>
      <c r="AH199" s="1188">
        <f>J199/3</f>
        <v>496</v>
      </c>
      <c r="AI199" s="1188">
        <f>J199/3</f>
        <v>496</v>
      </c>
      <c r="AJ199" s="1188">
        <f>J199/3</f>
        <v>496</v>
      </c>
      <c r="AK199" s="1332"/>
      <c r="AL199" s="1226"/>
      <c r="AM199" s="1332"/>
      <c r="AN199" s="1332"/>
      <c r="AO199" s="1395"/>
      <c r="AP199" s="1226"/>
      <c r="AQ199" s="1310"/>
      <c r="AR199" s="1319">
        <f t="shared" si="54"/>
        <v>1488</v>
      </c>
      <c r="AS199" s="1395"/>
      <c r="AT199" s="1396"/>
      <c r="AU199" s="1203"/>
      <c r="AV199" s="1203"/>
      <c r="AW199" s="1214">
        <f>J199</f>
        <v>1488</v>
      </c>
      <c r="AX199" s="1203"/>
      <c r="AY199" s="1203"/>
      <c r="AZ199" s="1203"/>
      <c r="BA199" s="1172"/>
      <c r="BB199" s="1172"/>
      <c r="BC199" s="1172"/>
      <c r="BD199" s="1172"/>
      <c r="BE199" s="1346"/>
      <c r="BF199" s="1346"/>
      <c r="BG199" s="1344"/>
      <c r="BH199" s="1347"/>
      <c r="BI199" s="1263"/>
      <c r="BJ199" s="1263"/>
      <c r="BK199" s="1263"/>
    </row>
    <row r="200" s="1053" customFormat="1" ht="31" customHeight="1" spans="1:63">
      <c r="A200" s="1265">
        <v>45863</v>
      </c>
      <c r="B200" s="1266" t="s">
        <v>2106</v>
      </c>
      <c r="C200" s="1267" t="s">
        <v>123</v>
      </c>
      <c r="D200" s="1266">
        <v>4500175025</v>
      </c>
      <c r="E200" s="1269" t="s">
        <v>2679</v>
      </c>
      <c r="F200" s="1266" t="s">
        <v>2680</v>
      </c>
      <c r="G200" s="1101" t="s">
        <v>2390</v>
      </c>
      <c r="H200" s="1101" t="s">
        <v>2390</v>
      </c>
      <c r="I200" s="1270" t="s">
        <v>2063</v>
      </c>
      <c r="J200" s="1120">
        <v>480</v>
      </c>
      <c r="K200" s="1097">
        <v>0</v>
      </c>
      <c r="L200" s="1097">
        <v>24</v>
      </c>
      <c r="M200" s="1114">
        <f t="shared" si="55"/>
        <v>20</v>
      </c>
      <c r="N200" s="1117">
        <v>45901</v>
      </c>
      <c r="O200" s="1117">
        <f>N200-4</f>
        <v>45897</v>
      </c>
      <c r="P200" s="1272" t="s">
        <v>2681</v>
      </c>
      <c r="Q200" s="1363" t="s">
        <v>56</v>
      </c>
      <c r="R200" s="1280" t="s">
        <v>2676</v>
      </c>
      <c r="S200" s="1147" t="s">
        <v>2392</v>
      </c>
      <c r="T200" s="1364"/>
      <c r="U200" s="1364" t="s">
        <v>2682</v>
      </c>
      <c r="V200" s="1402" t="s">
        <v>2683</v>
      </c>
      <c r="W200" s="1148" t="s">
        <v>2684</v>
      </c>
      <c r="X200" s="1150" t="s">
        <v>2115</v>
      </c>
      <c r="Y200" s="1165">
        <v>2.8755</v>
      </c>
      <c r="Z200" s="1166">
        <f t="shared" si="56"/>
        <v>1380.24</v>
      </c>
      <c r="AA200" s="1289"/>
      <c r="AB200" s="1137" t="s">
        <v>63</v>
      </c>
      <c r="AC200" s="1137" t="s">
        <v>2040</v>
      </c>
      <c r="AD200" s="1290">
        <v>480</v>
      </c>
      <c r="AE200" s="1289">
        <f t="shared" si="57"/>
        <v>0</v>
      </c>
      <c r="AF200" s="1291" t="s">
        <v>327</v>
      </c>
      <c r="AG200" s="1291"/>
      <c r="AH200" s="1189"/>
      <c r="AI200" s="1188">
        <f>J200</f>
        <v>480</v>
      </c>
      <c r="AJ200" s="1189"/>
      <c r="AK200" s="1332"/>
      <c r="AL200" s="1226"/>
      <c r="AM200" s="1332"/>
      <c r="AN200" s="1332"/>
      <c r="AO200" s="1395"/>
      <c r="AP200" s="1226"/>
      <c r="AQ200" s="1310"/>
      <c r="AR200" s="1338">
        <f t="shared" si="54"/>
        <v>480</v>
      </c>
      <c r="AS200" s="1395"/>
      <c r="AT200" s="1396"/>
      <c r="AU200" s="1203"/>
      <c r="AV200" s="1203"/>
      <c r="AW200" s="1172"/>
      <c r="AX200" s="1203"/>
      <c r="AY200" s="1203"/>
      <c r="AZ200" s="1203"/>
      <c r="BA200" s="1172"/>
      <c r="BB200" s="1172"/>
      <c r="BC200" s="1172"/>
      <c r="BD200" s="1172"/>
      <c r="BE200" s="1346"/>
      <c r="BF200" s="1346">
        <f>J200</f>
        <v>480</v>
      </c>
      <c r="BG200" s="1344"/>
      <c r="BH200" s="1347"/>
      <c r="BI200" s="1263"/>
      <c r="BJ200" s="1263"/>
      <c r="BK200" s="1263"/>
    </row>
    <row r="201" s="1053" customFormat="1" ht="31" customHeight="1" spans="1:63">
      <c r="A201" s="1265">
        <v>45869</v>
      </c>
      <c r="B201" s="1266" t="s">
        <v>2154</v>
      </c>
      <c r="C201" s="1267" t="s">
        <v>258</v>
      </c>
      <c r="D201" s="1266">
        <v>4500175640</v>
      </c>
      <c r="E201" s="1269">
        <v>11278</v>
      </c>
      <c r="F201" s="1266" t="s">
        <v>2685</v>
      </c>
      <c r="G201" s="1097" t="s">
        <v>2118</v>
      </c>
      <c r="H201" s="1101" t="s">
        <v>2118</v>
      </c>
      <c r="I201" s="1098" t="s">
        <v>2119</v>
      </c>
      <c r="J201" s="1120">
        <v>960</v>
      </c>
      <c r="K201" s="1097">
        <v>0</v>
      </c>
      <c r="L201" s="1097">
        <v>12</v>
      </c>
      <c r="M201" s="1114">
        <f t="shared" si="55"/>
        <v>80</v>
      </c>
      <c r="N201" s="1117">
        <v>45904</v>
      </c>
      <c r="O201" s="1117">
        <f>N201-3</f>
        <v>45901</v>
      </c>
      <c r="P201" s="1272"/>
      <c r="Q201" s="1285" t="s">
        <v>1480</v>
      </c>
      <c r="R201" s="1280" t="s">
        <v>2657</v>
      </c>
      <c r="S201" s="1147" t="s">
        <v>2686</v>
      </c>
      <c r="T201" s="1364"/>
      <c r="U201" s="1364" t="s">
        <v>58</v>
      </c>
      <c r="V201" s="1402" t="s">
        <v>2687</v>
      </c>
      <c r="W201" s="1148" t="s">
        <v>2688</v>
      </c>
      <c r="X201" s="1150" t="s">
        <v>2644</v>
      </c>
      <c r="Y201" s="1292">
        <v>3.0761</v>
      </c>
      <c r="Z201" s="1166">
        <f t="shared" si="56"/>
        <v>2953.056</v>
      </c>
      <c r="AA201" s="1289" t="s">
        <v>2689</v>
      </c>
      <c r="AB201" s="1137" t="s">
        <v>63</v>
      </c>
      <c r="AC201" s="1137" t="s">
        <v>2040</v>
      </c>
      <c r="AD201" s="1290">
        <v>960</v>
      </c>
      <c r="AE201" s="1289">
        <f t="shared" si="57"/>
        <v>0</v>
      </c>
      <c r="AF201" s="1294" t="s">
        <v>58</v>
      </c>
      <c r="AG201" s="1291"/>
      <c r="AH201" s="1188">
        <f>J201/3</f>
        <v>320</v>
      </c>
      <c r="AI201" s="1188">
        <f>J201/3</f>
        <v>320</v>
      </c>
      <c r="AJ201" s="1188">
        <f>J201/3</f>
        <v>320</v>
      </c>
      <c r="AK201" s="1332"/>
      <c r="AL201" s="1226"/>
      <c r="AM201" s="1332"/>
      <c r="AN201" s="1332"/>
      <c r="AO201" s="1395"/>
      <c r="AP201" s="1226"/>
      <c r="AQ201" s="1310"/>
      <c r="AR201" s="1338">
        <f t="shared" si="54"/>
        <v>960</v>
      </c>
      <c r="AS201" s="1395"/>
      <c r="AT201" s="1396"/>
      <c r="AU201" s="1203"/>
      <c r="AV201" s="1203"/>
      <c r="AW201" s="1172">
        <f>J201</f>
        <v>960</v>
      </c>
      <c r="AX201" s="1203"/>
      <c r="AY201" s="1203"/>
      <c r="AZ201" s="1203"/>
      <c r="BA201" s="1172"/>
      <c r="BB201" s="1172"/>
      <c r="BC201" s="1172"/>
      <c r="BD201" s="1172"/>
      <c r="BE201" s="1346"/>
      <c r="BF201" s="1346"/>
      <c r="BG201" s="1344"/>
      <c r="BH201" s="1347"/>
      <c r="BI201" s="1263"/>
      <c r="BJ201" s="1263"/>
      <c r="BK201" s="1263"/>
    </row>
    <row r="202" s="1053" customFormat="1" ht="31" customHeight="1" spans="1:63">
      <c r="A202" s="1265">
        <v>45863</v>
      </c>
      <c r="B202" s="1266" t="s">
        <v>1671</v>
      </c>
      <c r="C202" s="1267" t="s">
        <v>398</v>
      </c>
      <c r="D202" s="1266">
        <v>4500175030</v>
      </c>
      <c r="E202" s="1269" t="s">
        <v>2690</v>
      </c>
      <c r="F202" s="1266" t="s">
        <v>2691</v>
      </c>
      <c r="G202" s="1101" t="s">
        <v>2390</v>
      </c>
      <c r="H202" s="1101" t="s">
        <v>2390</v>
      </c>
      <c r="I202" s="1270" t="s">
        <v>2063</v>
      </c>
      <c r="J202" s="1120">
        <v>48</v>
      </c>
      <c r="K202" s="1097">
        <v>0</v>
      </c>
      <c r="L202" s="1097">
        <v>24</v>
      </c>
      <c r="M202" s="1114">
        <f t="shared" si="55"/>
        <v>2</v>
      </c>
      <c r="N202" s="1117">
        <v>45905</v>
      </c>
      <c r="O202" s="1117">
        <v>45901</v>
      </c>
      <c r="P202" s="1272" t="s">
        <v>2524</v>
      </c>
      <c r="Q202" s="1285" t="s">
        <v>1480</v>
      </c>
      <c r="R202" s="1280" t="s">
        <v>2692</v>
      </c>
      <c r="S202" s="1147" t="s">
        <v>1734</v>
      </c>
      <c r="T202" s="1364"/>
      <c r="U202" s="1364" t="s">
        <v>2693</v>
      </c>
      <c r="V202" s="1402" t="s">
        <v>2556</v>
      </c>
      <c r="W202" s="1148" t="s">
        <v>2694</v>
      </c>
      <c r="X202" s="1150" t="s">
        <v>220</v>
      </c>
      <c r="Y202" s="1292">
        <v>2.8755</v>
      </c>
      <c r="Z202" s="1166">
        <f t="shared" si="56"/>
        <v>138.024</v>
      </c>
      <c r="AA202" s="1289"/>
      <c r="AB202" s="1137" t="s">
        <v>63</v>
      </c>
      <c r="AC202" s="1137" t="s">
        <v>2040</v>
      </c>
      <c r="AD202" s="1290">
        <v>48</v>
      </c>
      <c r="AE202" s="1289">
        <f t="shared" ref="AE202:AE221" si="58">AD202-J202</f>
        <v>0</v>
      </c>
      <c r="AF202" s="1291" t="s">
        <v>327</v>
      </c>
      <c r="AG202" s="1291"/>
      <c r="AH202" s="1189"/>
      <c r="AI202" s="1188">
        <f t="shared" ref="AI202:AI207" si="59">J202</f>
        <v>48</v>
      </c>
      <c r="AJ202" s="1189"/>
      <c r="AK202" s="1332"/>
      <c r="AL202" s="1226"/>
      <c r="AM202" s="1332"/>
      <c r="AN202" s="1332"/>
      <c r="AO202" s="1395"/>
      <c r="AP202" s="1226"/>
      <c r="AQ202" s="1310"/>
      <c r="AR202" s="1338">
        <f t="shared" si="54"/>
        <v>48</v>
      </c>
      <c r="AS202" s="1395"/>
      <c r="AT202" s="1396"/>
      <c r="AU202" s="1203"/>
      <c r="AV202" s="1203"/>
      <c r="AW202" s="1172"/>
      <c r="AX202" s="1203"/>
      <c r="AY202" s="1203"/>
      <c r="AZ202" s="1203"/>
      <c r="BA202" s="1172"/>
      <c r="BB202" s="1172"/>
      <c r="BC202" s="1172"/>
      <c r="BD202" s="1172"/>
      <c r="BE202" s="1346"/>
      <c r="BF202" s="1346">
        <f>J202</f>
        <v>48</v>
      </c>
      <c r="BG202" s="1344"/>
      <c r="BH202" s="1347"/>
      <c r="BI202" s="1263"/>
      <c r="BJ202" s="1263"/>
      <c r="BK202" s="1263"/>
    </row>
    <row r="203" s="1053" customFormat="1" ht="31" customHeight="1" spans="1:63">
      <c r="A203" s="1265">
        <v>45863</v>
      </c>
      <c r="B203" s="1266" t="s">
        <v>1671</v>
      </c>
      <c r="C203" s="1267" t="s">
        <v>398</v>
      </c>
      <c r="D203" s="1266">
        <v>4500175030</v>
      </c>
      <c r="E203" s="1269" t="s">
        <v>2695</v>
      </c>
      <c r="F203" s="1266" t="s">
        <v>2696</v>
      </c>
      <c r="G203" s="1101" t="s">
        <v>2390</v>
      </c>
      <c r="H203" s="1101" t="s">
        <v>2390</v>
      </c>
      <c r="I203" s="1270" t="s">
        <v>2063</v>
      </c>
      <c r="J203" s="1120">
        <v>120</v>
      </c>
      <c r="K203" s="1097">
        <v>0</v>
      </c>
      <c r="L203" s="1097">
        <v>24</v>
      </c>
      <c r="M203" s="1114">
        <f t="shared" si="55"/>
        <v>5</v>
      </c>
      <c r="N203" s="1117">
        <v>45905</v>
      </c>
      <c r="O203" s="1117">
        <v>45901</v>
      </c>
      <c r="P203" s="1272" t="s">
        <v>2524</v>
      </c>
      <c r="Q203" s="1285" t="s">
        <v>1480</v>
      </c>
      <c r="R203" s="1280" t="s">
        <v>2692</v>
      </c>
      <c r="S203" s="1147" t="s">
        <v>1734</v>
      </c>
      <c r="T203" s="1364"/>
      <c r="U203" s="1364" t="s">
        <v>2693</v>
      </c>
      <c r="V203" s="1402" t="s">
        <v>2556</v>
      </c>
      <c r="W203" s="1148" t="s">
        <v>2694</v>
      </c>
      <c r="X203" s="1150" t="s">
        <v>220</v>
      </c>
      <c r="Y203" s="1292">
        <v>2.8755</v>
      </c>
      <c r="Z203" s="1166">
        <f t="shared" si="56"/>
        <v>345.06</v>
      </c>
      <c r="AA203" s="1289"/>
      <c r="AB203" s="1137" t="s">
        <v>63</v>
      </c>
      <c r="AC203" s="1137" t="s">
        <v>2040</v>
      </c>
      <c r="AD203" s="1290">
        <v>120</v>
      </c>
      <c r="AE203" s="1289">
        <f t="shared" si="58"/>
        <v>0</v>
      </c>
      <c r="AF203" s="1291" t="s">
        <v>327</v>
      </c>
      <c r="AG203" s="1291"/>
      <c r="AH203" s="1189"/>
      <c r="AI203" s="1188">
        <f t="shared" si="59"/>
        <v>120</v>
      </c>
      <c r="AJ203" s="1189"/>
      <c r="AK203" s="1332"/>
      <c r="AL203" s="1226"/>
      <c r="AM203" s="1332"/>
      <c r="AN203" s="1332"/>
      <c r="AO203" s="1395"/>
      <c r="AP203" s="1226"/>
      <c r="AQ203" s="1310"/>
      <c r="AR203" s="1338">
        <f t="shared" si="54"/>
        <v>120</v>
      </c>
      <c r="AS203" s="1395"/>
      <c r="AT203" s="1396"/>
      <c r="AU203" s="1203"/>
      <c r="AV203" s="1203"/>
      <c r="AW203" s="1172"/>
      <c r="AX203" s="1203"/>
      <c r="AY203" s="1203"/>
      <c r="AZ203" s="1203"/>
      <c r="BA203" s="1172"/>
      <c r="BB203" s="1172"/>
      <c r="BC203" s="1172"/>
      <c r="BD203" s="1172"/>
      <c r="BE203" s="1346"/>
      <c r="BF203" s="1346">
        <f t="shared" ref="BF203:BF211" si="60">J203</f>
        <v>120</v>
      </c>
      <c r="BG203" s="1344"/>
      <c r="BH203" s="1347"/>
      <c r="BI203" s="1263"/>
      <c r="BJ203" s="1263"/>
      <c r="BK203" s="1263"/>
    </row>
    <row r="204" s="1053" customFormat="1" ht="31" customHeight="1" spans="1:63">
      <c r="A204" s="1265">
        <v>45863</v>
      </c>
      <c r="B204" s="1266" t="s">
        <v>1671</v>
      </c>
      <c r="C204" s="1267" t="s">
        <v>398</v>
      </c>
      <c r="D204" s="1266">
        <v>4500175030</v>
      </c>
      <c r="E204" s="1269" t="s">
        <v>2697</v>
      </c>
      <c r="F204" s="1266" t="s">
        <v>2698</v>
      </c>
      <c r="G204" s="1101" t="s">
        <v>2390</v>
      </c>
      <c r="H204" s="1101" t="s">
        <v>2390</v>
      </c>
      <c r="I204" s="1270" t="s">
        <v>2063</v>
      </c>
      <c r="J204" s="1120">
        <v>24</v>
      </c>
      <c r="K204" s="1097">
        <v>0</v>
      </c>
      <c r="L204" s="1097">
        <v>24</v>
      </c>
      <c r="M204" s="1114">
        <f t="shared" si="55"/>
        <v>1</v>
      </c>
      <c r="N204" s="1117">
        <v>45905</v>
      </c>
      <c r="O204" s="1117">
        <v>45901</v>
      </c>
      <c r="P204" s="1272" t="s">
        <v>2524</v>
      </c>
      <c r="Q204" s="1285" t="s">
        <v>1480</v>
      </c>
      <c r="R204" s="1280" t="s">
        <v>2692</v>
      </c>
      <c r="S204" s="1147" t="s">
        <v>1734</v>
      </c>
      <c r="T204" s="1364"/>
      <c r="U204" s="1364" t="s">
        <v>2693</v>
      </c>
      <c r="V204" s="1402" t="s">
        <v>2556</v>
      </c>
      <c r="W204" s="1148" t="s">
        <v>2694</v>
      </c>
      <c r="X204" s="1150" t="s">
        <v>220</v>
      </c>
      <c r="Y204" s="1292">
        <v>2.8755</v>
      </c>
      <c r="Z204" s="1166">
        <f t="shared" si="56"/>
        <v>69.012</v>
      </c>
      <c r="AA204" s="1289"/>
      <c r="AB204" s="1137" t="s">
        <v>63</v>
      </c>
      <c r="AC204" s="1137" t="s">
        <v>2040</v>
      </c>
      <c r="AD204" s="1290">
        <v>24</v>
      </c>
      <c r="AE204" s="1289">
        <f t="shared" si="58"/>
        <v>0</v>
      </c>
      <c r="AF204" s="1291" t="s">
        <v>327</v>
      </c>
      <c r="AG204" s="1291"/>
      <c r="AH204" s="1189"/>
      <c r="AI204" s="1188">
        <f t="shared" si="59"/>
        <v>24</v>
      </c>
      <c r="AJ204" s="1189"/>
      <c r="AK204" s="1332"/>
      <c r="AL204" s="1226"/>
      <c r="AM204" s="1332"/>
      <c r="AN204" s="1332"/>
      <c r="AO204" s="1395"/>
      <c r="AP204" s="1226"/>
      <c r="AQ204" s="1310"/>
      <c r="AR204" s="1338">
        <f t="shared" si="54"/>
        <v>24</v>
      </c>
      <c r="AS204" s="1395"/>
      <c r="AT204" s="1396"/>
      <c r="AU204" s="1203"/>
      <c r="AV204" s="1203"/>
      <c r="AW204" s="1172"/>
      <c r="AX204" s="1203"/>
      <c r="AY204" s="1203"/>
      <c r="AZ204" s="1203"/>
      <c r="BA204" s="1172"/>
      <c r="BB204" s="1172"/>
      <c r="BC204" s="1172"/>
      <c r="BD204" s="1172"/>
      <c r="BE204" s="1346"/>
      <c r="BF204" s="1346">
        <f t="shared" si="60"/>
        <v>24</v>
      </c>
      <c r="BG204" s="1344"/>
      <c r="BH204" s="1347"/>
      <c r="BI204" s="1263"/>
      <c r="BJ204" s="1263"/>
      <c r="BK204" s="1263"/>
    </row>
    <row r="205" s="1053" customFormat="1" ht="31" customHeight="1" spans="1:63">
      <c r="A205" s="1265">
        <v>45863</v>
      </c>
      <c r="B205" s="1266" t="s">
        <v>1671</v>
      </c>
      <c r="C205" s="1267" t="s">
        <v>398</v>
      </c>
      <c r="D205" s="1266">
        <v>4500175030</v>
      </c>
      <c r="E205" s="1269" t="s">
        <v>2699</v>
      </c>
      <c r="F205" s="1266" t="s">
        <v>2700</v>
      </c>
      <c r="G205" s="1101" t="s">
        <v>2390</v>
      </c>
      <c r="H205" s="1101" t="s">
        <v>2390</v>
      </c>
      <c r="I205" s="1270" t="s">
        <v>2063</v>
      </c>
      <c r="J205" s="1120">
        <v>48</v>
      </c>
      <c r="K205" s="1097">
        <v>0</v>
      </c>
      <c r="L205" s="1097">
        <v>24</v>
      </c>
      <c r="M205" s="1114">
        <f t="shared" si="55"/>
        <v>2</v>
      </c>
      <c r="N205" s="1117">
        <v>45905</v>
      </c>
      <c r="O205" s="1117">
        <v>45901</v>
      </c>
      <c r="P205" s="1272" t="s">
        <v>2524</v>
      </c>
      <c r="Q205" s="1285" t="s">
        <v>1480</v>
      </c>
      <c r="R205" s="1280" t="s">
        <v>2692</v>
      </c>
      <c r="S205" s="1147" t="s">
        <v>1734</v>
      </c>
      <c r="T205" s="1364"/>
      <c r="U205" s="1364" t="s">
        <v>2693</v>
      </c>
      <c r="V205" s="1402" t="s">
        <v>2556</v>
      </c>
      <c r="W205" s="1148" t="s">
        <v>2694</v>
      </c>
      <c r="X205" s="1150" t="s">
        <v>220</v>
      </c>
      <c r="Y205" s="1292">
        <v>2.8755</v>
      </c>
      <c r="Z205" s="1166">
        <f t="shared" si="56"/>
        <v>138.024</v>
      </c>
      <c r="AA205" s="1289"/>
      <c r="AB205" s="1137" t="s">
        <v>63</v>
      </c>
      <c r="AC205" s="1137" t="s">
        <v>2040</v>
      </c>
      <c r="AD205" s="1290">
        <v>48</v>
      </c>
      <c r="AE205" s="1289">
        <f t="shared" si="58"/>
        <v>0</v>
      </c>
      <c r="AF205" s="1291" t="s">
        <v>327</v>
      </c>
      <c r="AG205" s="1291"/>
      <c r="AH205" s="1189"/>
      <c r="AI205" s="1188">
        <f t="shared" si="59"/>
        <v>48</v>
      </c>
      <c r="AJ205" s="1189"/>
      <c r="AK205" s="1332"/>
      <c r="AL205" s="1226"/>
      <c r="AM205" s="1332"/>
      <c r="AN205" s="1332"/>
      <c r="AO205" s="1395"/>
      <c r="AP205" s="1226"/>
      <c r="AQ205" s="1310"/>
      <c r="AR205" s="1338">
        <f t="shared" si="54"/>
        <v>48</v>
      </c>
      <c r="AS205" s="1395"/>
      <c r="AT205" s="1396"/>
      <c r="AU205" s="1203"/>
      <c r="AV205" s="1203"/>
      <c r="AW205" s="1172"/>
      <c r="AX205" s="1203"/>
      <c r="AY205" s="1203"/>
      <c r="AZ205" s="1203"/>
      <c r="BA205" s="1172"/>
      <c r="BB205" s="1172"/>
      <c r="BC205" s="1172"/>
      <c r="BD205" s="1172"/>
      <c r="BE205" s="1346"/>
      <c r="BF205" s="1346">
        <f t="shared" si="60"/>
        <v>48</v>
      </c>
      <c r="BG205" s="1344"/>
      <c r="BH205" s="1347"/>
      <c r="BI205" s="1263"/>
      <c r="BJ205" s="1263"/>
      <c r="BK205" s="1263"/>
    </row>
    <row r="206" s="1053" customFormat="1" ht="31" customHeight="1" spans="1:63">
      <c r="A206" s="1265">
        <v>45863</v>
      </c>
      <c r="B206" s="1266" t="s">
        <v>1671</v>
      </c>
      <c r="C206" s="1267" t="s">
        <v>398</v>
      </c>
      <c r="D206" s="1266">
        <v>4500175030</v>
      </c>
      <c r="E206" s="1269" t="s">
        <v>2701</v>
      </c>
      <c r="F206" s="1266" t="s">
        <v>2702</v>
      </c>
      <c r="G206" s="1101" t="s">
        <v>2390</v>
      </c>
      <c r="H206" s="1101" t="s">
        <v>2390</v>
      </c>
      <c r="I206" s="1270" t="s">
        <v>2063</v>
      </c>
      <c r="J206" s="1120">
        <v>72</v>
      </c>
      <c r="K206" s="1097">
        <v>0</v>
      </c>
      <c r="L206" s="1097">
        <v>24</v>
      </c>
      <c r="M206" s="1114">
        <f t="shared" si="55"/>
        <v>3</v>
      </c>
      <c r="N206" s="1117">
        <v>45905</v>
      </c>
      <c r="O206" s="1117">
        <v>45901</v>
      </c>
      <c r="P206" s="1272" t="s">
        <v>2524</v>
      </c>
      <c r="Q206" s="1285" t="s">
        <v>1480</v>
      </c>
      <c r="R206" s="1280" t="s">
        <v>2692</v>
      </c>
      <c r="S206" s="1147" t="s">
        <v>1734</v>
      </c>
      <c r="T206" s="1364"/>
      <c r="U206" s="1364" t="s">
        <v>2693</v>
      </c>
      <c r="V206" s="1402" t="s">
        <v>2556</v>
      </c>
      <c r="W206" s="1148" t="s">
        <v>2694</v>
      </c>
      <c r="X206" s="1150" t="s">
        <v>220</v>
      </c>
      <c r="Y206" s="1292">
        <v>2.8755</v>
      </c>
      <c r="Z206" s="1166">
        <f t="shared" si="56"/>
        <v>207.036</v>
      </c>
      <c r="AA206" s="1289"/>
      <c r="AB206" s="1137" t="s">
        <v>63</v>
      </c>
      <c r="AC206" s="1137" t="s">
        <v>2040</v>
      </c>
      <c r="AD206" s="1290">
        <v>72</v>
      </c>
      <c r="AE206" s="1289">
        <f t="shared" si="58"/>
        <v>0</v>
      </c>
      <c r="AF206" s="1291" t="s">
        <v>327</v>
      </c>
      <c r="AG206" s="1291"/>
      <c r="AH206" s="1189"/>
      <c r="AI206" s="1188">
        <f t="shared" si="59"/>
        <v>72</v>
      </c>
      <c r="AJ206" s="1189"/>
      <c r="AK206" s="1332"/>
      <c r="AL206" s="1226"/>
      <c r="AM206" s="1332"/>
      <c r="AN206" s="1332"/>
      <c r="AO206" s="1395"/>
      <c r="AP206" s="1226"/>
      <c r="AQ206" s="1310"/>
      <c r="AR206" s="1338">
        <f t="shared" si="54"/>
        <v>72</v>
      </c>
      <c r="AS206" s="1395"/>
      <c r="AT206" s="1396"/>
      <c r="AU206" s="1203"/>
      <c r="AV206" s="1203"/>
      <c r="AW206" s="1172"/>
      <c r="AX206" s="1203"/>
      <c r="AY206" s="1203"/>
      <c r="AZ206" s="1203"/>
      <c r="BA206" s="1172"/>
      <c r="BB206" s="1172"/>
      <c r="BC206" s="1172"/>
      <c r="BD206" s="1172"/>
      <c r="BE206" s="1346"/>
      <c r="BF206" s="1346">
        <f t="shared" si="60"/>
        <v>72</v>
      </c>
      <c r="BG206" s="1344"/>
      <c r="BH206" s="1347"/>
      <c r="BI206" s="1263"/>
      <c r="BJ206" s="1263"/>
      <c r="BK206" s="1263"/>
    </row>
    <row r="207" s="1053" customFormat="1" ht="31" customHeight="1" spans="1:63">
      <c r="A207" s="1265">
        <v>45863</v>
      </c>
      <c r="B207" s="1266" t="s">
        <v>1671</v>
      </c>
      <c r="C207" s="1267" t="s">
        <v>398</v>
      </c>
      <c r="D207" s="1266">
        <v>4500175030</v>
      </c>
      <c r="E207" s="1269" t="s">
        <v>2703</v>
      </c>
      <c r="F207" s="1266" t="s">
        <v>2704</v>
      </c>
      <c r="G207" s="1101" t="s">
        <v>2390</v>
      </c>
      <c r="H207" s="1101" t="s">
        <v>2390</v>
      </c>
      <c r="I207" s="1270" t="s">
        <v>2063</v>
      </c>
      <c r="J207" s="1120">
        <v>72</v>
      </c>
      <c r="K207" s="1097">
        <v>0</v>
      </c>
      <c r="L207" s="1097">
        <v>24</v>
      </c>
      <c r="M207" s="1114">
        <f t="shared" si="55"/>
        <v>3</v>
      </c>
      <c r="N207" s="1117">
        <v>45905</v>
      </c>
      <c r="O207" s="1117">
        <v>45901</v>
      </c>
      <c r="P207" s="1272" t="s">
        <v>2524</v>
      </c>
      <c r="Q207" s="1285" t="s">
        <v>1480</v>
      </c>
      <c r="R207" s="1280" t="s">
        <v>2692</v>
      </c>
      <c r="S207" s="1147" t="s">
        <v>1734</v>
      </c>
      <c r="T207" s="1364"/>
      <c r="U207" s="1364" t="s">
        <v>2693</v>
      </c>
      <c r="V207" s="1402" t="s">
        <v>2556</v>
      </c>
      <c r="W207" s="1148" t="s">
        <v>2694</v>
      </c>
      <c r="X207" s="1150" t="s">
        <v>220</v>
      </c>
      <c r="Y207" s="1292">
        <v>2.8755</v>
      </c>
      <c r="Z207" s="1166">
        <f t="shared" si="56"/>
        <v>207.036</v>
      </c>
      <c r="AA207" s="1289"/>
      <c r="AB207" s="1137" t="s">
        <v>63</v>
      </c>
      <c r="AC207" s="1137" t="s">
        <v>2040</v>
      </c>
      <c r="AD207" s="1290">
        <v>72</v>
      </c>
      <c r="AE207" s="1289">
        <f t="shared" si="58"/>
        <v>0</v>
      </c>
      <c r="AF207" s="1291" t="s">
        <v>327</v>
      </c>
      <c r="AG207" s="1291"/>
      <c r="AH207" s="1189"/>
      <c r="AI207" s="1188">
        <f t="shared" si="59"/>
        <v>72</v>
      </c>
      <c r="AJ207" s="1189"/>
      <c r="AK207" s="1332"/>
      <c r="AL207" s="1226"/>
      <c r="AM207" s="1332"/>
      <c r="AN207" s="1332"/>
      <c r="AO207" s="1395"/>
      <c r="AP207" s="1226"/>
      <c r="AQ207" s="1310"/>
      <c r="AR207" s="1338">
        <f t="shared" si="54"/>
        <v>72</v>
      </c>
      <c r="AS207" s="1395"/>
      <c r="AT207" s="1396"/>
      <c r="AU207" s="1203"/>
      <c r="AV207" s="1203"/>
      <c r="AW207" s="1172"/>
      <c r="AX207" s="1203"/>
      <c r="AY207" s="1203"/>
      <c r="AZ207" s="1203"/>
      <c r="BA207" s="1172"/>
      <c r="BB207" s="1172"/>
      <c r="BC207" s="1172"/>
      <c r="BD207" s="1172"/>
      <c r="BE207" s="1346"/>
      <c r="BF207" s="1346">
        <f t="shared" si="60"/>
        <v>72</v>
      </c>
      <c r="BG207" s="1344"/>
      <c r="BH207" s="1347"/>
      <c r="BI207" s="1263"/>
      <c r="BJ207" s="1263"/>
      <c r="BK207" s="1263"/>
    </row>
    <row r="208" s="1053" customFormat="1" ht="31" customHeight="1" spans="1:63">
      <c r="A208" s="1265">
        <v>45863</v>
      </c>
      <c r="B208" s="1266" t="s">
        <v>1671</v>
      </c>
      <c r="C208" s="1267" t="s">
        <v>398</v>
      </c>
      <c r="D208" s="1266">
        <v>4500175030</v>
      </c>
      <c r="E208" s="1269" t="s">
        <v>2705</v>
      </c>
      <c r="F208" s="1266" t="s">
        <v>2706</v>
      </c>
      <c r="G208" s="1101" t="s">
        <v>2109</v>
      </c>
      <c r="H208" s="1101" t="s">
        <v>2109</v>
      </c>
      <c r="I208" s="1098" t="s">
        <v>2042</v>
      </c>
      <c r="J208" s="1120">
        <v>24</v>
      </c>
      <c r="K208" s="1097">
        <v>0</v>
      </c>
      <c r="L208" s="1097">
        <v>24</v>
      </c>
      <c r="M208" s="1114">
        <f t="shared" si="55"/>
        <v>1</v>
      </c>
      <c r="N208" s="1117">
        <v>45905</v>
      </c>
      <c r="O208" s="1117">
        <v>45901</v>
      </c>
      <c r="P208" s="1272" t="s">
        <v>2524</v>
      </c>
      <c r="Q208" s="1285" t="s">
        <v>1480</v>
      </c>
      <c r="R208" s="1280" t="s">
        <v>2692</v>
      </c>
      <c r="S208" s="1147" t="s">
        <v>1734</v>
      </c>
      <c r="T208" s="1364"/>
      <c r="U208" s="1364" t="s">
        <v>2693</v>
      </c>
      <c r="V208" s="1402" t="s">
        <v>2556</v>
      </c>
      <c r="W208" s="1148" t="s">
        <v>2707</v>
      </c>
      <c r="X208" s="1150" t="s">
        <v>220</v>
      </c>
      <c r="Y208" s="1292">
        <v>2.8203</v>
      </c>
      <c r="Z208" s="1166">
        <f t="shared" si="56"/>
        <v>67.6872</v>
      </c>
      <c r="AA208" s="1289"/>
      <c r="AB208" s="1137" t="s">
        <v>63</v>
      </c>
      <c r="AC208" s="1137" t="s">
        <v>2040</v>
      </c>
      <c r="AD208" s="1290">
        <v>24</v>
      </c>
      <c r="AE208" s="1289">
        <f t="shared" si="58"/>
        <v>0</v>
      </c>
      <c r="AF208" s="1291" t="s">
        <v>327</v>
      </c>
      <c r="AG208" s="1291"/>
      <c r="AH208" s="1189"/>
      <c r="AI208" s="1188"/>
      <c r="AJ208" s="1188">
        <f>J208</f>
        <v>24</v>
      </c>
      <c r="AK208" s="1332"/>
      <c r="AL208" s="1226"/>
      <c r="AM208" s="1332"/>
      <c r="AN208" s="1332"/>
      <c r="AO208" s="1395"/>
      <c r="AP208" s="1226"/>
      <c r="AQ208" s="1310"/>
      <c r="AR208" s="1338">
        <f t="shared" si="54"/>
        <v>24</v>
      </c>
      <c r="AS208" s="1395"/>
      <c r="AT208" s="1396"/>
      <c r="AU208" s="1203"/>
      <c r="AV208" s="1203"/>
      <c r="AW208" s="1172"/>
      <c r="AX208" s="1203"/>
      <c r="AY208" s="1203"/>
      <c r="AZ208" s="1203"/>
      <c r="BA208" s="1172"/>
      <c r="BB208" s="1172"/>
      <c r="BC208" s="1172"/>
      <c r="BD208" s="1172"/>
      <c r="BE208" s="1346"/>
      <c r="BF208" s="1346">
        <f t="shared" si="60"/>
        <v>24</v>
      </c>
      <c r="BG208" s="1344"/>
      <c r="BH208" s="1347"/>
      <c r="BI208" s="1263"/>
      <c r="BJ208" s="1263"/>
      <c r="BK208" s="1263"/>
    </row>
    <row r="209" s="1053" customFormat="1" ht="31" customHeight="1" spans="1:63">
      <c r="A209" s="1265">
        <v>45863</v>
      </c>
      <c r="B209" s="1266" t="s">
        <v>1671</v>
      </c>
      <c r="C209" s="1267" t="s">
        <v>398</v>
      </c>
      <c r="D209" s="1266">
        <v>4500175030</v>
      </c>
      <c r="E209" s="1269" t="s">
        <v>2708</v>
      </c>
      <c r="F209" s="1266" t="s">
        <v>2709</v>
      </c>
      <c r="G209" s="1101" t="s">
        <v>2109</v>
      </c>
      <c r="H209" s="1101" t="s">
        <v>2109</v>
      </c>
      <c r="I209" s="1098" t="s">
        <v>2042</v>
      </c>
      <c r="J209" s="1120">
        <v>48</v>
      </c>
      <c r="K209" s="1097">
        <v>0</v>
      </c>
      <c r="L209" s="1097">
        <v>24</v>
      </c>
      <c r="M209" s="1114">
        <f t="shared" si="55"/>
        <v>2</v>
      </c>
      <c r="N209" s="1117">
        <v>45905</v>
      </c>
      <c r="O209" s="1117">
        <v>45901</v>
      </c>
      <c r="P209" s="1272" t="s">
        <v>2524</v>
      </c>
      <c r="Q209" s="1285" t="s">
        <v>1480</v>
      </c>
      <c r="R209" s="1280" t="s">
        <v>2692</v>
      </c>
      <c r="S209" s="1147" t="s">
        <v>1734</v>
      </c>
      <c r="T209" s="1364"/>
      <c r="U209" s="1364" t="s">
        <v>2693</v>
      </c>
      <c r="V209" s="1402" t="s">
        <v>2556</v>
      </c>
      <c r="W209" s="1148" t="s">
        <v>2707</v>
      </c>
      <c r="X209" s="1150" t="s">
        <v>220</v>
      </c>
      <c r="Y209" s="1292">
        <v>2.8203</v>
      </c>
      <c r="Z209" s="1166">
        <f t="shared" si="56"/>
        <v>135.3744</v>
      </c>
      <c r="AA209" s="1289"/>
      <c r="AB209" s="1137" t="s">
        <v>63</v>
      </c>
      <c r="AC209" s="1137" t="s">
        <v>2040</v>
      </c>
      <c r="AD209" s="1290">
        <v>48</v>
      </c>
      <c r="AE209" s="1289">
        <f t="shared" si="58"/>
        <v>0</v>
      </c>
      <c r="AF209" s="1291" t="s">
        <v>327</v>
      </c>
      <c r="AG209" s="1291"/>
      <c r="AH209" s="1189"/>
      <c r="AI209" s="1188"/>
      <c r="AJ209" s="1188">
        <f>J209</f>
        <v>48</v>
      </c>
      <c r="AK209" s="1332"/>
      <c r="AL209" s="1226"/>
      <c r="AM209" s="1332"/>
      <c r="AN209" s="1332"/>
      <c r="AO209" s="1395"/>
      <c r="AP209" s="1226"/>
      <c r="AQ209" s="1310"/>
      <c r="AR209" s="1338">
        <f t="shared" si="54"/>
        <v>48</v>
      </c>
      <c r="AS209" s="1395"/>
      <c r="AT209" s="1396"/>
      <c r="AU209" s="1203"/>
      <c r="AV209" s="1203"/>
      <c r="AW209" s="1172"/>
      <c r="AX209" s="1203"/>
      <c r="AY209" s="1203"/>
      <c r="AZ209" s="1203"/>
      <c r="BA209" s="1172"/>
      <c r="BB209" s="1172"/>
      <c r="BC209" s="1172"/>
      <c r="BD209" s="1172"/>
      <c r="BE209" s="1346"/>
      <c r="BF209" s="1346">
        <f t="shared" si="60"/>
        <v>48</v>
      </c>
      <c r="BG209" s="1344"/>
      <c r="BH209" s="1347"/>
      <c r="BI209" s="1263"/>
      <c r="BJ209" s="1263"/>
      <c r="BK209" s="1263"/>
    </row>
    <row r="210" s="1053" customFormat="1" ht="31" customHeight="1" spans="1:63">
      <c r="A210" s="1265">
        <v>45863</v>
      </c>
      <c r="B210" s="1266" t="s">
        <v>1671</v>
      </c>
      <c r="C210" s="1267" t="s">
        <v>398</v>
      </c>
      <c r="D210" s="1266">
        <v>4500175030</v>
      </c>
      <c r="E210" s="1269" t="s">
        <v>2710</v>
      </c>
      <c r="F210" s="1266" t="s">
        <v>2711</v>
      </c>
      <c r="G210" s="1101" t="s">
        <v>2109</v>
      </c>
      <c r="H210" s="1101" t="s">
        <v>2109</v>
      </c>
      <c r="I210" s="1098" t="s">
        <v>2042</v>
      </c>
      <c r="J210" s="1120">
        <v>24</v>
      </c>
      <c r="K210" s="1097">
        <v>0</v>
      </c>
      <c r="L210" s="1097">
        <v>24</v>
      </c>
      <c r="M210" s="1114">
        <f t="shared" si="55"/>
        <v>1</v>
      </c>
      <c r="N210" s="1117">
        <v>45905</v>
      </c>
      <c r="O210" s="1117">
        <v>45901</v>
      </c>
      <c r="P210" s="1272" t="s">
        <v>2524</v>
      </c>
      <c r="Q210" s="1285" t="s">
        <v>1480</v>
      </c>
      <c r="R210" s="1280" t="s">
        <v>2692</v>
      </c>
      <c r="S210" s="1147" t="s">
        <v>1734</v>
      </c>
      <c r="T210" s="1364"/>
      <c r="U210" s="1364" t="s">
        <v>2693</v>
      </c>
      <c r="V210" s="1402" t="s">
        <v>2556</v>
      </c>
      <c r="W210" s="1148" t="s">
        <v>2707</v>
      </c>
      <c r="X210" s="1150" t="s">
        <v>220</v>
      </c>
      <c r="Y210" s="1292">
        <v>2.8203</v>
      </c>
      <c r="Z210" s="1166">
        <f t="shared" si="56"/>
        <v>67.6872</v>
      </c>
      <c r="AA210" s="1289"/>
      <c r="AB210" s="1137" t="s">
        <v>63</v>
      </c>
      <c r="AC210" s="1137" t="s">
        <v>2040</v>
      </c>
      <c r="AD210" s="1290">
        <v>24</v>
      </c>
      <c r="AE210" s="1289">
        <f t="shared" si="58"/>
        <v>0</v>
      </c>
      <c r="AF210" s="1291" t="s">
        <v>327</v>
      </c>
      <c r="AG210" s="1291"/>
      <c r="AH210" s="1189"/>
      <c r="AI210" s="1188"/>
      <c r="AJ210" s="1188">
        <f>J210</f>
        <v>24</v>
      </c>
      <c r="AK210" s="1332"/>
      <c r="AL210" s="1226"/>
      <c r="AM210" s="1332"/>
      <c r="AN210" s="1332"/>
      <c r="AO210" s="1395"/>
      <c r="AP210" s="1226"/>
      <c r="AQ210" s="1310"/>
      <c r="AR210" s="1338">
        <f t="shared" si="54"/>
        <v>24</v>
      </c>
      <c r="AS210" s="1395"/>
      <c r="AT210" s="1396"/>
      <c r="AU210" s="1203"/>
      <c r="AV210" s="1203"/>
      <c r="AW210" s="1172"/>
      <c r="AX210" s="1203"/>
      <c r="AY210" s="1203"/>
      <c r="AZ210" s="1203"/>
      <c r="BA210" s="1172"/>
      <c r="BB210" s="1172"/>
      <c r="BC210" s="1172"/>
      <c r="BD210" s="1172"/>
      <c r="BE210" s="1346"/>
      <c r="BF210" s="1346">
        <f t="shared" si="60"/>
        <v>24</v>
      </c>
      <c r="BG210" s="1344"/>
      <c r="BH210" s="1347"/>
      <c r="BI210" s="1263"/>
      <c r="BJ210" s="1263"/>
      <c r="BK210" s="1263"/>
    </row>
    <row r="211" s="1053" customFormat="1" ht="31" customHeight="1" spans="1:63">
      <c r="A211" s="1265">
        <v>45863</v>
      </c>
      <c r="B211" s="1266" t="s">
        <v>1671</v>
      </c>
      <c r="C211" s="1267" t="s">
        <v>398</v>
      </c>
      <c r="D211" s="1266">
        <v>4500175030</v>
      </c>
      <c r="E211" s="1269" t="s">
        <v>2712</v>
      </c>
      <c r="F211" s="1266" t="s">
        <v>2713</v>
      </c>
      <c r="G211" s="1101" t="s">
        <v>2109</v>
      </c>
      <c r="H211" s="1101" t="s">
        <v>2109</v>
      </c>
      <c r="I211" s="1098" t="s">
        <v>2042</v>
      </c>
      <c r="J211" s="1120">
        <v>48</v>
      </c>
      <c r="K211" s="1097">
        <v>0</v>
      </c>
      <c r="L211" s="1097">
        <v>24</v>
      </c>
      <c r="M211" s="1114">
        <f t="shared" si="55"/>
        <v>2</v>
      </c>
      <c r="N211" s="1117">
        <v>45905</v>
      </c>
      <c r="O211" s="1117">
        <v>45901</v>
      </c>
      <c r="P211" s="1272" t="s">
        <v>2524</v>
      </c>
      <c r="Q211" s="1285" t="s">
        <v>1480</v>
      </c>
      <c r="R211" s="1280" t="s">
        <v>2692</v>
      </c>
      <c r="S211" s="1147" t="s">
        <v>1734</v>
      </c>
      <c r="T211" s="1364"/>
      <c r="U211" s="1364" t="s">
        <v>2693</v>
      </c>
      <c r="V211" s="1402" t="s">
        <v>2556</v>
      </c>
      <c r="W211" s="1148" t="s">
        <v>2707</v>
      </c>
      <c r="X211" s="1150" t="s">
        <v>220</v>
      </c>
      <c r="Y211" s="1292">
        <v>2.8203</v>
      </c>
      <c r="Z211" s="1166">
        <f t="shared" si="56"/>
        <v>135.3744</v>
      </c>
      <c r="AA211" s="1289"/>
      <c r="AB211" s="1137" t="s">
        <v>63</v>
      </c>
      <c r="AC211" s="1137" t="s">
        <v>2040</v>
      </c>
      <c r="AD211" s="1290">
        <v>48</v>
      </c>
      <c r="AE211" s="1289">
        <f t="shared" si="58"/>
        <v>0</v>
      </c>
      <c r="AF211" s="1291" t="s">
        <v>327</v>
      </c>
      <c r="AG211" s="1291"/>
      <c r="AH211" s="1189"/>
      <c r="AI211" s="1188"/>
      <c r="AJ211" s="1188">
        <f>J211</f>
        <v>48</v>
      </c>
      <c r="AK211" s="1332"/>
      <c r="AL211" s="1226"/>
      <c r="AM211" s="1332"/>
      <c r="AN211" s="1332"/>
      <c r="AO211" s="1395"/>
      <c r="AP211" s="1226"/>
      <c r="AQ211" s="1310"/>
      <c r="AR211" s="1338">
        <f t="shared" si="54"/>
        <v>48</v>
      </c>
      <c r="AS211" s="1395"/>
      <c r="AT211" s="1396"/>
      <c r="AU211" s="1203"/>
      <c r="AV211" s="1203"/>
      <c r="AW211" s="1172"/>
      <c r="AX211" s="1203"/>
      <c r="AY211" s="1203"/>
      <c r="AZ211" s="1203"/>
      <c r="BA211" s="1172"/>
      <c r="BB211" s="1172"/>
      <c r="BC211" s="1172"/>
      <c r="BD211" s="1172"/>
      <c r="BE211" s="1346"/>
      <c r="BF211" s="1346">
        <f t="shared" si="60"/>
        <v>48</v>
      </c>
      <c r="BG211" s="1344"/>
      <c r="BH211" s="1347"/>
      <c r="BI211" s="1263"/>
      <c r="BJ211" s="1263"/>
      <c r="BK211" s="1263"/>
    </row>
    <row r="212" s="1053" customFormat="1" ht="31" customHeight="1" spans="1:63">
      <c r="A212" s="1265">
        <v>45855</v>
      </c>
      <c r="B212" s="1266" t="s">
        <v>918</v>
      </c>
      <c r="C212" s="1267" t="s">
        <v>123</v>
      </c>
      <c r="D212" s="1266">
        <v>4500174207</v>
      </c>
      <c r="E212" s="1269" t="s">
        <v>2714</v>
      </c>
      <c r="F212" s="1266" t="s">
        <v>2715</v>
      </c>
      <c r="G212" s="1101" t="s">
        <v>2316</v>
      </c>
      <c r="H212" s="1101" t="s">
        <v>2317</v>
      </c>
      <c r="I212" s="1098" t="s">
        <v>2063</v>
      </c>
      <c r="J212" s="1120">
        <v>2508</v>
      </c>
      <c r="K212" s="1097">
        <v>0</v>
      </c>
      <c r="L212" s="1097">
        <v>12</v>
      </c>
      <c r="M212" s="1114">
        <f t="shared" si="55"/>
        <v>209</v>
      </c>
      <c r="N212" s="1117">
        <v>45903</v>
      </c>
      <c r="O212" s="1117">
        <f>N212-4</f>
        <v>45899</v>
      </c>
      <c r="P212" s="1272"/>
      <c r="Q212" s="1404" t="s">
        <v>1480</v>
      </c>
      <c r="R212" s="1280" t="s">
        <v>2716</v>
      </c>
      <c r="S212" s="1147" t="s">
        <v>861</v>
      </c>
      <c r="T212" s="1364"/>
      <c r="U212" s="1364" t="s">
        <v>2717</v>
      </c>
      <c r="V212" s="1402" t="s">
        <v>2659</v>
      </c>
      <c r="W212" s="1148" t="s">
        <v>2718</v>
      </c>
      <c r="X212" s="1150" t="s">
        <v>490</v>
      </c>
      <c r="Y212" s="1292">
        <v>2.7771</v>
      </c>
      <c r="Z212" s="1166">
        <f t="shared" si="56"/>
        <v>6964.9668</v>
      </c>
      <c r="AA212" s="1289" t="s">
        <v>2719</v>
      </c>
      <c r="AB212" s="1137" t="s">
        <v>63</v>
      </c>
      <c r="AC212" s="1137" t="s">
        <v>2040</v>
      </c>
      <c r="AD212" s="1290">
        <v>2508</v>
      </c>
      <c r="AE212" s="1289">
        <f t="shared" si="58"/>
        <v>0</v>
      </c>
      <c r="AF212" s="1291" t="s">
        <v>327</v>
      </c>
      <c r="AG212" s="1291"/>
      <c r="AH212" s="1189"/>
      <c r="AI212" s="1188">
        <f>J212</f>
        <v>2508</v>
      </c>
      <c r="AJ212" s="1189"/>
      <c r="AK212" s="1371"/>
      <c r="AL212" s="1372"/>
      <c r="AM212" s="1371"/>
      <c r="AN212" s="1371"/>
      <c r="AO212" s="1384"/>
      <c r="AP212" s="1372"/>
      <c r="AQ212" s="1375"/>
      <c r="AR212" s="1338">
        <f t="shared" si="54"/>
        <v>2508</v>
      </c>
      <c r="AS212" s="1384"/>
      <c r="AT212" s="1386"/>
      <c r="AU212" s="1387"/>
      <c r="AV212" s="1387"/>
      <c r="AW212" s="1172"/>
      <c r="AX212" s="1387"/>
      <c r="AY212" s="1387"/>
      <c r="AZ212" s="1387"/>
      <c r="BA212" s="1172">
        <f>J212</f>
        <v>2508</v>
      </c>
      <c r="BB212" s="1172"/>
      <c r="BC212" s="1172"/>
      <c r="BD212" s="1172"/>
      <c r="BE212" s="1346"/>
      <c r="BF212" s="1346"/>
      <c r="BG212" s="1344"/>
      <c r="BH212" s="1347"/>
      <c r="BI212" s="1399"/>
      <c r="BJ212" s="1399"/>
      <c r="BK212" s="1399"/>
    </row>
    <row r="213" s="1053" customFormat="1" ht="31" customHeight="1" spans="1:63">
      <c r="A213" s="1265">
        <v>45855</v>
      </c>
      <c r="B213" s="1266" t="s">
        <v>918</v>
      </c>
      <c r="C213" s="1267" t="s">
        <v>123</v>
      </c>
      <c r="D213" s="1266">
        <v>4500174207</v>
      </c>
      <c r="E213" s="1269" t="s">
        <v>2714</v>
      </c>
      <c r="F213" s="1266" t="s">
        <v>2720</v>
      </c>
      <c r="G213" s="1101" t="s">
        <v>2309</v>
      </c>
      <c r="H213" s="1101" t="s">
        <v>2310</v>
      </c>
      <c r="I213" s="1098" t="s">
        <v>2663</v>
      </c>
      <c r="J213" s="1120">
        <v>2508</v>
      </c>
      <c r="K213" s="1097">
        <v>0</v>
      </c>
      <c r="L213" s="1097">
        <v>12</v>
      </c>
      <c r="M213" s="1114">
        <f t="shared" si="55"/>
        <v>209</v>
      </c>
      <c r="N213" s="1117">
        <v>45903</v>
      </c>
      <c r="O213" s="1117">
        <f>N213-4</f>
        <v>45899</v>
      </c>
      <c r="P213" s="1272"/>
      <c r="Q213" s="1404" t="s">
        <v>1480</v>
      </c>
      <c r="R213" s="1280" t="s">
        <v>2716</v>
      </c>
      <c r="S213" s="1147" t="s">
        <v>861</v>
      </c>
      <c r="T213" s="1364"/>
      <c r="U213" s="1364" t="s">
        <v>2717</v>
      </c>
      <c r="V213" s="1402" t="s">
        <v>2659</v>
      </c>
      <c r="W213" s="1148" t="s">
        <v>2721</v>
      </c>
      <c r="X213" s="1150" t="s">
        <v>490</v>
      </c>
      <c r="Y213" s="1292">
        <v>2.7771</v>
      </c>
      <c r="Z213" s="1166">
        <f t="shared" si="56"/>
        <v>6964.9668</v>
      </c>
      <c r="AA213" s="1289" t="s">
        <v>2719</v>
      </c>
      <c r="AB213" s="1137" t="s">
        <v>63</v>
      </c>
      <c r="AC213" s="1137" t="s">
        <v>2040</v>
      </c>
      <c r="AD213" s="1290">
        <v>2508</v>
      </c>
      <c r="AE213" s="1289">
        <f t="shared" si="58"/>
        <v>0</v>
      </c>
      <c r="AF213" s="1291" t="s">
        <v>327</v>
      </c>
      <c r="AG213" s="1291"/>
      <c r="AH213" s="1189"/>
      <c r="AI213" s="1188"/>
      <c r="AJ213" s="1188">
        <f>J213</f>
        <v>2508</v>
      </c>
      <c r="AK213" s="1375"/>
      <c r="AL213" s="1376"/>
      <c r="AM213" s="1376"/>
      <c r="AN213" s="1377"/>
      <c r="AO213" s="1377"/>
      <c r="AP213" s="1377"/>
      <c r="AQ213" s="1377"/>
      <c r="AR213" s="1338">
        <f t="shared" si="54"/>
        <v>2508</v>
      </c>
      <c r="AS213" s="1384"/>
      <c r="AT213" s="1386"/>
      <c r="AU213" s="1387"/>
      <c r="AV213" s="1387"/>
      <c r="AW213" s="1172"/>
      <c r="AX213" s="1387"/>
      <c r="AY213" s="1387"/>
      <c r="AZ213" s="1387"/>
      <c r="BA213" s="1172">
        <f>J213</f>
        <v>2508</v>
      </c>
      <c r="BB213" s="1172"/>
      <c r="BC213" s="1172"/>
      <c r="BD213" s="1172"/>
      <c r="BE213" s="1346"/>
      <c r="BF213" s="1346"/>
      <c r="BG213" s="1344"/>
      <c r="BH213" s="1347"/>
      <c r="BI213" s="1399"/>
      <c r="BJ213" s="1399"/>
      <c r="BK213" s="1399"/>
    </row>
    <row r="214" s="1053" customFormat="1" ht="31" customHeight="1" spans="1:63">
      <c r="A214" s="1265">
        <v>45855</v>
      </c>
      <c r="B214" s="1266" t="s">
        <v>918</v>
      </c>
      <c r="C214" s="1267" t="s">
        <v>123</v>
      </c>
      <c r="D214" s="1266">
        <v>4500174207</v>
      </c>
      <c r="E214" s="1269" t="s">
        <v>2714</v>
      </c>
      <c r="F214" s="1266" t="s">
        <v>2722</v>
      </c>
      <c r="G214" s="1101" t="s">
        <v>2444</v>
      </c>
      <c r="H214" s="1101" t="s">
        <v>2445</v>
      </c>
      <c r="I214" s="1098" t="s">
        <v>2446</v>
      </c>
      <c r="J214" s="1120">
        <v>2004</v>
      </c>
      <c r="K214" s="1097">
        <v>0</v>
      </c>
      <c r="L214" s="1097">
        <v>12</v>
      </c>
      <c r="M214" s="1114">
        <f t="shared" si="55"/>
        <v>167</v>
      </c>
      <c r="N214" s="1117">
        <v>45903</v>
      </c>
      <c r="O214" s="1117">
        <f>N214-4</f>
        <v>45899</v>
      </c>
      <c r="P214" s="1272"/>
      <c r="Q214" s="1404" t="s">
        <v>1480</v>
      </c>
      <c r="R214" s="1280" t="s">
        <v>2716</v>
      </c>
      <c r="S214" s="1147" t="s">
        <v>861</v>
      </c>
      <c r="T214" s="1364"/>
      <c r="U214" s="1364" t="s">
        <v>2717</v>
      </c>
      <c r="V214" s="1402" t="s">
        <v>2659</v>
      </c>
      <c r="W214" s="1148" t="s">
        <v>2723</v>
      </c>
      <c r="X214" s="1150" t="s">
        <v>490</v>
      </c>
      <c r="Y214" s="1292">
        <v>3.389</v>
      </c>
      <c r="Z214" s="1166">
        <f t="shared" si="56"/>
        <v>6791.556</v>
      </c>
      <c r="AA214" s="1289" t="s">
        <v>2719</v>
      </c>
      <c r="AB214" s="1137" t="s">
        <v>63</v>
      </c>
      <c r="AC214" s="1137" t="s">
        <v>2040</v>
      </c>
      <c r="AD214" s="1290">
        <v>2004</v>
      </c>
      <c r="AE214" s="1289">
        <f t="shared" si="58"/>
        <v>0</v>
      </c>
      <c r="AF214" s="1291" t="s">
        <v>327</v>
      </c>
      <c r="AG214" s="1291"/>
      <c r="AH214" s="1188">
        <f>J214</f>
        <v>2004</v>
      </c>
      <c r="AI214" s="1188"/>
      <c r="AJ214" s="1189"/>
      <c r="AK214" s="1413"/>
      <c r="AL214" s="1414"/>
      <c r="AM214" s="1413"/>
      <c r="AN214" s="1413"/>
      <c r="AO214" s="1419"/>
      <c r="AP214" s="1414"/>
      <c r="AQ214" s="1420"/>
      <c r="AR214" s="1338">
        <f t="shared" si="54"/>
        <v>2004</v>
      </c>
      <c r="AS214" s="1419"/>
      <c r="AT214" s="1421"/>
      <c r="AU214" s="1422"/>
      <c r="AV214" s="1422"/>
      <c r="AW214" s="1172"/>
      <c r="AX214" s="1422"/>
      <c r="AY214" s="1422"/>
      <c r="AZ214" s="1422"/>
      <c r="BA214" s="1172">
        <f>J214</f>
        <v>2004</v>
      </c>
      <c r="BB214" s="1172"/>
      <c r="BC214" s="1172"/>
      <c r="BD214" s="1172"/>
      <c r="BE214" s="1346"/>
      <c r="BF214" s="1346"/>
      <c r="BG214" s="1344"/>
      <c r="BH214" s="1347"/>
      <c r="BI214" s="1434"/>
      <c r="BJ214" s="1434"/>
      <c r="BK214" s="1434"/>
    </row>
    <row r="215" s="1053" customFormat="1" ht="29" customHeight="1" spans="1:63">
      <c r="A215" s="1265">
        <v>45877</v>
      </c>
      <c r="B215" s="1266" t="s">
        <v>2724</v>
      </c>
      <c r="C215" s="1267" t="s">
        <v>123</v>
      </c>
      <c r="D215" s="1266">
        <v>4500176452</v>
      </c>
      <c r="E215" s="1269">
        <v>2950866871</v>
      </c>
      <c r="F215" s="1266" t="s">
        <v>2725</v>
      </c>
      <c r="G215" s="1101" t="s">
        <v>2726</v>
      </c>
      <c r="H215" s="1101" t="s">
        <v>2726</v>
      </c>
      <c r="I215" s="1098" t="s">
        <v>2727</v>
      </c>
      <c r="J215" s="1120">
        <v>1920</v>
      </c>
      <c r="K215" s="1097">
        <v>2</v>
      </c>
      <c r="L215" s="1097">
        <v>320</v>
      </c>
      <c r="M215" s="1114">
        <f t="shared" si="55"/>
        <v>6</v>
      </c>
      <c r="N215" s="1117">
        <v>45903</v>
      </c>
      <c r="O215" s="1117">
        <f>N215-4</f>
        <v>45899</v>
      </c>
      <c r="P215" s="1272"/>
      <c r="Q215" s="1285" t="s">
        <v>1480</v>
      </c>
      <c r="R215" s="1280" t="s">
        <v>2728</v>
      </c>
      <c r="S215" s="1147" t="s">
        <v>2729</v>
      </c>
      <c r="T215" s="1364"/>
      <c r="U215" s="1364" t="s">
        <v>2730</v>
      </c>
      <c r="V215" s="1402" t="s">
        <v>2731</v>
      </c>
      <c r="W215" s="1148" t="s">
        <v>2732</v>
      </c>
      <c r="X215" s="1150" t="s">
        <v>1005</v>
      </c>
      <c r="Y215" s="1292">
        <v>877.0577</v>
      </c>
      <c r="Z215" s="1166">
        <f>Y215*M215</f>
        <v>5262.3462</v>
      </c>
      <c r="AA215" s="1137" t="s">
        <v>2733</v>
      </c>
      <c r="AB215" s="1411" t="s">
        <v>63</v>
      </c>
      <c r="AC215" s="1137" t="s">
        <v>2040</v>
      </c>
      <c r="AD215" s="1290">
        <v>1920</v>
      </c>
      <c r="AE215" s="1289">
        <f t="shared" si="58"/>
        <v>0</v>
      </c>
      <c r="AF215" s="1294" t="s">
        <v>2734</v>
      </c>
      <c r="AG215" s="1291"/>
      <c r="AH215" s="1188">
        <f t="shared" ref="AH215:AH229" si="61">J215/3</f>
        <v>640</v>
      </c>
      <c r="AI215" s="1188">
        <f t="shared" ref="AI215:AI229" si="62">J215/3</f>
        <v>640</v>
      </c>
      <c r="AJ215" s="1189">
        <f t="shared" ref="AJ215:AJ229" si="63">J215/3</f>
        <v>640</v>
      </c>
      <c r="AK215" s="1320"/>
      <c r="AL215" s="1415"/>
      <c r="AM215" s="1320"/>
      <c r="AN215" s="1320"/>
      <c r="AO215" s="1423"/>
      <c r="AP215" s="1415"/>
      <c r="AQ215" s="1298"/>
      <c r="AR215" s="1338">
        <f t="shared" si="54"/>
        <v>1920</v>
      </c>
      <c r="AS215" s="1423"/>
      <c r="AT215" s="1424"/>
      <c r="AU215" s="1199"/>
      <c r="AV215" s="1199"/>
      <c r="AW215" s="1172">
        <f t="shared" ref="AW215:AW229" si="64">J215</f>
        <v>1920</v>
      </c>
      <c r="AX215" s="1199"/>
      <c r="AY215" s="1199"/>
      <c r="AZ215" s="1199"/>
      <c r="BA215" s="1172"/>
      <c r="BB215" s="1172"/>
      <c r="BC215" s="1172"/>
      <c r="BD215" s="1172"/>
      <c r="BE215" s="1346"/>
      <c r="BF215" s="1346"/>
      <c r="BG215" s="1344"/>
      <c r="BH215" s="1347"/>
      <c r="BI215" s="1262"/>
      <c r="BJ215" s="1262"/>
      <c r="BK215" s="1262"/>
    </row>
    <row r="216" s="1053" customFormat="1" ht="31" customHeight="1" spans="1:63">
      <c r="A216" s="1265">
        <v>45866</v>
      </c>
      <c r="B216" s="1266" t="s">
        <v>2304</v>
      </c>
      <c r="C216" s="1267" t="s">
        <v>258</v>
      </c>
      <c r="D216" s="1266">
        <v>4500175179</v>
      </c>
      <c r="E216" s="1269">
        <v>21012332</v>
      </c>
      <c r="F216" s="1266" t="s">
        <v>2735</v>
      </c>
      <c r="G216" s="1097" t="s">
        <v>2118</v>
      </c>
      <c r="H216" s="1101" t="s">
        <v>2118</v>
      </c>
      <c r="I216" s="1098" t="s">
        <v>2119</v>
      </c>
      <c r="J216" s="1120">
        <v>144</v>
      </c>
      <c r="K216" s="1097">
        <v>0</v>
      </c>
      <c r="L216" s="1097">
        <v>12</v>
      </c>
      <c r="M216" s="1114">
        <f t="shared" si="55"/>
        <v>12</v>
      </c>
      <c r="N216" s="1117">
        <v>45908</v>
      </c>
      <c r="O216" s="1117">
        <v>45904</v>
      </c>
      <c r="P216" s="1272" t="s">
        <v>2736</v>
      </c>
      <c r="Q216" s="1285" t="s">
        <v>1480</v>
      </c>
      <c r="R216" s="1280" t="s">
        <v>2737</v>
      </c>
      <c r="S216" s="1147" t="s">
        <v>2729</v>
      </c>
      <c r="T216" s="1364"/>
      <c r="U216" s="1281" t="s">
        <v>2738</v>
      </c>
      <c r="V216" s="1402" t="s">
        <v>2501</v>
      </c>
      <c r="W216" s="1148" t="s">
        <v>2432</v>
      </c>
      <c r="X216" s="1150" t="s">
        <v>2302</v>
      </c>
      <c r="Y216" s="1292">
        <v>3.0761</v>
      </c>
      <c r="Z216" s="1166">
        <f t="shared" ref="Z216:Z256" si="65">Y216*J216</f>
        <v>442.9584</v>
      </c>
      <c r="AA216" s="1289" t="s">
        <v>2739</v>
      </c>
      <c r="AB216" s="1137" t="s">
        <v>63</v>
      </c>
      <c r="AC216" s="1137" t="s">
        <v>2040</v>
      </c>
      <c r="AD216" s="1290">
        <v>144</v>
      </c>
      <c r="AE216" s="1289">
        <f t="shared" si="58"/>
        <v>0</v>
      </c>
      <c r="AF216" s="1291" t="s">
        <v>327</v>
      </c>
      <c r="AG216" s="1291"/>
      <c r="AH216" s="1188">
        <f t="shared" si="61"/>
        <v>48</v>
      </c>
      <c r="AI216" s="1188">
        <f t="shared" si="62"/>
        <v>48</v>
      </c>
      <c r="AJ216" s="1188">
        <f t="shared" si="63"/>
        <v>48</v>
      </c>
      <c r="AK216" s="1371"/>
      <c r="AL216" s="1372"/>
      <c r="AM216" s="1371"/>
      <c r="AN216" s="1371"/>
      <c r="AO216" s="1384"/>
      <c r="AP216" s="1372"/>
      <c r="AQ216" s="1375"/>
      <c r="AR216" s="1338">
        <f t="shared" si="54"/>
        <v>144</v>
      </c>
      <c r="AS216" s="1384"/>
      <c r="AT216" s="1386"/>
      <c r="AU216" s="1387"/>
      <c r="AV216" s="1387"/>
      <c r="AW216" s="1172">
        <f t="shared" si="64"/>
        <v>144</v>
      </c>
      <c r="AX216" s="1387"/>
      <c r="AY216" s="1387"/>
      <c r="AZ216" s="1387"/>
      <c r="BA216" s="1172"/>
      <c r="BB216" s="1172"/>
      <c r="BC216" s="1172"/>
      <c r="BD216" s="1172"/>
      <c r="BE216" s="1346"/>
      <c r="BF216" s="1346"/>
      <c r="BG216" s="1344"/>
      <c r="BH216" s="1347"/>
      <c r="BI216" s="1399"/>
      <c r="BJ216" s="1399"/>
      <c r="BK216" s="1399"/>
    </row>
    <row r="217" s="1053" customFormat="1" ht="31" customHeight="1" spans="1:63">
      <c r="A217" s="1265">
        <v>45866</v>
      </c>
      <c r="B217" s="1266" t="s">
        <v>2304</v>
      </c>
      <c r="C217" s="1267" t="s">
        <v>258</v>
      </c>
      <c r="D217" s="1266">
        <v>4500175179</v>
      </c>
      <c r="E217" s="1269">
        <v>21012333</v>
      </c>
      <c r="F217" s="1266" t="s">
        <v>2740</v>
      </c>
      <c r="G217" s="1097" t="s">
        <v>2118</v>
      </c>
      <c r="H217" s="1101" t="s">
        <v>2118</v>
      </c>
      <c r="I217" s="1098" t="s">
        <v>2119</v>
      </c>
      <c r="J217" s="1120">
        <v>240</v>
      </c>
      <c r="K217" s="1097">
        <v>0</v>
      </c>
      <c r="L217" s="1097">
        <v>12</v>
      </c>
      <c r="M217" s="1114">
        <f t="shared" si="55"/>
        <v>20</v>
      </c>
      <c r="N217" s="1117">
        <v>45908</v>
      </c>
      <c r="O217" s="1117">
        <v>45904</v>
      </c>
      <c r="P217" s="1272" t="s">
        <v>2736</v>
      </c>
      <c r="Q217" s="1285" t="s">
        <v>1480</v>
      </c>
      <c r="R217" s="1280" t="s">
        <v>2737</v>
      </c>
      <c r="S217" s="1147" t="s">
        <v>2729</v>
      </c>
      <c r="T217" s="1364"/>
      <c r="U217" s="1281" t="s">
        <v>2738</v>
      </c>
      <c r="V217" s="1402" t="s">
        <v>2501</v>
      </c>
      <c r="W217" s="1148" t="s">
        <v>2432</v>
      </c>
      <c r="X217" s="1150" t="s">
        <v>2302</v>
      </c>
      <c r="Y217" s="1292">
        <v>3.0761</v>
      </c>
      <c r="Z217" s="1166">
        <f t="shared" si="65"/>
        <v>738.264</v>
      </c>
      <c r="AA217" s="1289" t="s">
        <v>2739</v>
      </c>
      <c r="AB217" s="1137" t="s">
        <v>63</v>
      </c>
      <c r="AC217" s="1137" t="s">
        <v>2040</v>
      </c>
      <c r="AD217" s="1290">
        <v>240</v>
      </c>
      <c r="AE217" s="1289">
        <f t="shared" si="58"/>
        <v>0</v>
      </c>
      <c r="AF217" s="1291" t="s">
        <v>327</v>
      </c>
      <c r="AG217" s="1291"/>
      <c r="AH217" s="1188">
        <f t="shared" si="61"/>
        <v>80</v>
      </c>
      <c r="AI217" s="1188">
        <f t="shared" si="62"/>
        <v>80</v>
      </c>
      <c r="AJ217" s="1188">
        <f t="shared" si="63"/>
        <v>80</v>
      </c>
      <c r="AK217" s="1371"/>
      <c r="AL217" s="1372"/>
      <c r="AM217" s="1371"/>
      <c r="AN217" s="1371"/>
      <c r="AO217" s="1384"/>
      <c r="AP217" s="1372"/>
      <c r="AQ217" s="1375"/>
      <c r="AR217" s="1338">
        <f t="shared" si="54"/>
        <v>240</v>
      </c>
      <c r="AS217" s="1384"/>
      <c r="AT217" s="1386"/>
      <c r="AU217" s="1387"/>
      <c r="AV217" s="1387"/>
      <c r="AW217" s="1172">
        <f t="shared" si="64"/>
        <v>240</v>
      </c>
      <c r="AX217" s="1387"/>
      <c r="AY217" s="1387"/>
      <c r="AZ217" s="1387"/>
      <c r="BA217" s="1172"/>
      <c r="BB217" s="1172"/>
      <c r="BC217" s="1172"/>
      <c r="BD217" s="1172"/>
      <c r="BE217" s="1346"/>
      <c r="BF217" s="1346"/>
      <c r="BG217" s="1344"/>
      <c r="BH217" s="1347"/>
      <c r="BI217" s="1399"/>
      <c r="BJ217" s="1399"/>
      <c r="BK217" s="1399"/>
    </row>
    <row r="218" s="1053" customFormat="1" ht="31" customHeight="1" spans="1:63">
      <c r="A218" s="1265">
        <v>45866</v>
      </c>
      <c r="B218" s="1266" t="s">
        <v>2297</v>
      </c>
      <c r="C218" s="1267" t="s">
        <v>876</v>
      </c>
      <c r="D218" s="1266">
        <v>4500175177</v>
      </c>
      <c r="E218" s="1269">
        <v>21012329</v>
      </c>
      <c r="F218" s="1266" t="s">
        <v>2741</v>
      </c>
      <c r="G218" s="1097" t="s">
        <v>2118</v>
      </c>
      <c r="H218" s="1101" t="s">
        <v>2118</v>
      </c>
      <c r="I218" s="1098" t="s">
        <v>2119</v>
      </c>
      <c r="J218" s="1120">
        <v>1656</v>
      </c>
      <c r="K218" s="1097">
        <v>0</v>
      </c>
      <c r="L218" s="1097">
        <v>12</v>
      </c>
      <c r="M218" s="1114">
        <f t="shared" si="55"/>
        <v>138</v>
      </c>
      <c r="N218" s="1117">
        <v>45908</v>
      </c>
      <c r="O218" s="1117">
        <v>45904</v>
      </c>
      <c r="P218" s="1272" t="s">
        <v>2736</v>
      </c>
      <c r="Q218" s="1285" t="s">
        <v>1480</v>
      </c>
      <c r="R218" s="1280" t="s">
        <v>2737</v>
      </c>
      <c r="S218" s="1147" t="s">
        <v>2729</v>
      </c>
      <c r="T218" s="1364"/>
      <c r="U218" s="1281" t="s">
        <v>2738</v>
      </c>
      <c r="V218" s="1402" t="s">
        <v>2501</v>
      </c>
      <c r="W218" s="1148" t="s">
        <v>2434</v>
      </c>
      <c r="X218" s="1150" t="s">
        <v>2302</v>
      </c>
      <c r="Y218" s="1292">
        <v>2.9547</v>
      </c>
      <c r="Z218" s="1166">
        <f t="shared" si="65"/>
        <v>4892.9832</v>
      </c>
      <c r="AA218" s="1289" t="s">
        <v>2742</v>
      </c>
      <c r="AB218" s="1137" t="s">
        <v>63</v>
      </c>
      <c r="AC218" s="1137" t="s">
        <v>2040</v>
      </c>
      <c r="AD218" s="1290">
        <v>1656</v>
      </c>
      <c r="AE218" s="1289">
        <f t="shared" si="58"/>
        <v>0</v>
      </c>
      <c r="AF218" s="1291" t="s">
        <v>327</v>
      </c>
      <c r="AG218" s="1291"/>
      <c r="AH218" s="1188">
        <f t="shared" si="61"/>
        <v>552</v>
      </c>
      <c r="AI218" s="1188">
        <f t="shared" si="62"/>
        <v>552</v>
      </c>
      <c r="AJ218" s="1188">
        <f t="shared" si="63"/>
        <v>552</v>
      </c>
      <c r="AK218" s="1371"/>
      <c r="AL218" s="1372"/>
      <c r="AM218" s="1371"/>
      <c r="AN218" s="1371"/>
      <c r="AO218" s="1384"/>
      <c r="AP218" s="1372"/>
      <c r="AQ218" s="1375"/>
      <c r="AR218" s="1338">
        <f t="shared" si="54"/>
        <v>1656</v>
      </c>
      <c r="AS218" s="1384"/>
      <c r="AT218" s="1386"/>
      <c r="AU218" s="1387"/>
      <c r="AV218" s="1387"/>
      <c r="AW218" s="1172">
        <f t="shared" si="64"/>
        <v>1656</v>
      </c>
      <c r="AX218" s="1387"/>
      <c r="AY218" s="1387"/>
      <c r="AZ218" s="1387"/>
      <c r="BA218" s="1172"/>
      <c r="BB218" s="1172"/>
      <c r="BC218" s="1172"/>
      <c r="BD218" s="1172"/>
      <c r="BE218" s="1346"/>
      <c r="BF218" s="1346"/>
      <c r="BG218" s="1344"/>
      <c r="BH218" s="1347"/>
      <c r="BI218" s="1399"/>
      <c r="BJ218" s="1399"/>
      <c r="BK218" s="1399"/>
    </row>
    <row r="219" s="1053" customFormat="1" ht="31" customHeight="1" spans="1:63">
      <c r="A219" s="1265">
        <v>45866</v>
      </c>
      <c r="B219" s="1266" t="s">
        <v>2297</v>
      </c>
      <c r="C219" s="1267" t="s">
        <v>876</v>
      </c>
      <c r="D219" s="1266">
        <v>4500175177</v>
      </c>
      <c r="E219" s="1269">
        <v>21012330</v>
      </c>
      <c r="F219" s="1266" t="s">
        <v>2743</v>
      </c>
      <c r="G219" s="1097" t="s">
        <v>2118</v>
      </c>
      <c r="H219" s="1101" t="s">
        <v>2118</v>
      </c>
      <c r="I219" s="1098" t="s">
        <v>2119</v>
      </c>
      <c r="J219" s="1120">
        <v>1980</v>
      </c>
      <c r="K219" s="1097">
        <v>0</v>
      </c>
      <c r="L219" s="1097">
        <v>12</v>
      </c>
      <c r="M219" s="1114">
        <f t="shared" si="55"/>
        <v>165</v>
      </c>
      <c r="N219" s="1117">
        <v>45908</v>
      </c>
      <c r="O219" s="1117">
        <v>45904</v>
      </c>
      <c r="P219" s="1272" t="s">
        <v>2736</v>
      </c>
      <c r="Q219" s="1285" t="s">
        <v>1480</v>
      </c>
      <c r="R219" s="1280" t="s">
        <v>2737</v>
      </c>
      <c r="S219" s="1147" t="s">
        <v>2729</v>
      </c>
      <c r="T219" s="1364"/>
      <c r="U219" s="1281" t="s">
        <v>2738</v>
      </c>
      <c r="V219" s="1402" t="s">
        <v>2501</v>
      </c>
      <c r="W219" s="1148" t="s">
        <v>2434</v>
      </c>
      <c r="X219" s="1150" t="s">
        <v>2302</v>
      </c>
      <c r="Y219" s="1292">
        <v>2.9547</v>
      </c>
      <c r="Z219" s="1166">
        <f t="shared" si="65"/>
        <v>5850.306</v>
      </c>
      <c r="AA219" s="1289" t="s">
        <v>2742</v>
      </c>
      <c r="AB219" s="1137" t="s">
        <v>63</v>
      </c>
      <c r="AC219" s="1137" t="s">
        <v>2040</v>
      </c>
      <c r="AD219" s="1290">
        <v>1980</v>
      </c>
      <c r="AE219" s="1289">
        <f t="shared" si="58"/>
        <v>0</v>
      </c>
      <c r="AF219" s="1291" t="s">
        <v>327</v>
      </c>
      <c r="AG219" s="1291"/>
      <c r="AH219" s="1188">
        <f t="shared" si="61"/>
        <v>660</v>
      </c>
      <c r="AI219" s="1188">
        <f t="shared" si="62"/>
        <v>660</v>
      </c>
      <c r="AJ219" s="1188">
        <f t="shared" si="63"/>
        <v>660</v>
      </c>
      <c r="AK219" s="1371"/>
      <c r="AL219" s="1372"/>
      <c r="AM219" s="1371"/>
      <c r="AN219" s="1371"/>
      <c r="AO219" s="1384"/>
      <c r="AP219" s="1372"/>
      <c r="AQ219" s="1375"/>
      <c r="AR219" s="1338">
        <f t="shared" si="54"/>
        <v>1980</v>
      </c>
      <c r="AS219" s="1384"/>
      <c r="AT219" s="1386"/>
      <c r="AU219" s="1387"/>
      <c r="AV219" s="1387"/>
      <c r="AW219" s="1172">
        <f t="shared" si="64"/>
        <v>1980</v>
      </c>
      <c r="AX219" s="1387"/>
      <c r="AY219" s="1387"/>
      <c r="AZ219" s="1387"/>
      <c r="BA219" s="1172"/>
      <c r="BB219" s="1172"/>
      <c r="BC219" s="1172"/>
      <c r="BD219" s="1172"/>
      <c r="BE219" s="1346"/>
      <c r="BF219" s="1346"/>
      <c r="BG219" s="1344"/>
      <c r="BH219" s="1347"/>
      <c r="BI219" s="1399"/>
      <c r="BJ219" s="1399"/>
      <c r="BK219" s="1399"/>
    </row>
    <row r="220" s="1053" customFormat="1" ht="31" customHeight="1" spans="1:63">
      <c r="A220" s="1265">
        <v>45860</v>
      </c>
      <c r="B220" s="1266" t="s">
        <v>1231</v>
      </c>
      <c r="C220" s="1267" t="s">
        <v>91</v>
      </c>
      <c r="D220" s="1266">
        <v>4500174511</v>
      </c>
      <c r="E220" s="1269">
        <v>383802501</v>
      </c>
      <c r="F220" s="1266" t="s">
        <v>2744</v>
      </c>
      <c r="G220" s="1097" t="s">
        <v>2118</v>
      </c>
      <c r="H220" s="1101" t="s">
        <v>2118</v>
      </c>
      <c r="I220" s="1098" t="s">
        <v>2119</v>
      </c>
      <c r="J220" s="1120">
        <v>18000</v>
      </c>
      <c r="K220" s="1097">
        <v>0</v>
      </c>
      <c r="L220" s="1097">
        <v>12</v>
      </c>
      <c r="M220" s="1114">
        <f t="shared" si="55"/>
        <v>1500</v>
      </c>
      <c r="N220" s="1117">
        <v>45908</v>
      </c>
      <c r="O220" s="1117">
        <v>45904</v>
      </c>
      <c r="P220" s="1272"/>
      <c r="Q220" s="1285" t="s">
        <v>1480</v>
      </c>
      <c r="R220" s="1280" t="s">
        <v>2745</v>
      </c>
      <c r="S220" s="1147" t="s">
        <v>861</v>
      </c>
      <c r="T220" s="1364"/>
      <c r="U220" s="1364" t="s">
        <v>2746</v>
      </c>
      <c r="V220" s="1402" t="s">
        <v>2747</v>
      </c>
      <c r="W220" s="1148" t="s">
        <v>1238</v>
      </c>
      <c r="X220" s="1150" t="s">
        <v>350</v>
      </c>
      <c r="Y220" s="1292">
        <v>1.6028</v>
      </c>
      <c r="Z220" s="1166">
        <f t="shared" si="65"/>
        <v>28850.4</v>
      </c>
      <c r="AA220" s="1289" t="s">
        <v>2748</v>
      </c>
      <c r="AB220" s="1137" t="s">
        <v>63</v>
      </c>
      <c r="AC220" s="1137" t="s">
        <v>2040</v>
      </c>
      <c r="AD220" s="1290">
        <f>10800+7200</f>
        <v>18000</v>
      </c>
      <c r="AE220" s="1289">
        <f t="shared" si="58"/>
        <v>0</v>
      </c>
      <c r="AF220" s="1291" t="s">
        <v>327</v>
      </c>
      <c r="AG220" s="1291"/>
      <c r="AH220" s="1188">
        <f t="shared" si="61"/>
        <v>6000</v>
      </c>
      <c r="AI220" s="1188">
        <f t="shared" si="62"/>
        <v>6000</v>
      </c>
      <c r="AJ220" s="1188">
        <f t="shared" si="63"/>
        <v>6000</v>
      </c>
      <c r="AK220" s="1416"/>
      <c r="AL220" s="1417"/>
      <c r="AM220" s="1416"/>
      <c r="AN220" s="1416"/>
      <c r="AO220" s="1425"/>
      <c r="AP220" s="1417"/>
      <c r="AQ220" s="1426"/>
      <c r="AR220" s="1338">
        <f t="shared" si="54"/>
        <v>18000</v>
      </c>
      <c r="AS220" s="1425"/>
      <c r="AT220" s="1427"/>
      <c r="AU220" s="1428"/>
      <c r="AV220" s="1428"/>
      <c r="AW220" s="1172">
        <f t="shared" si="64"/>
        <v>18000</v>
      </c>
      <c r="AX220" s="1428"/>
      <c r="AY220" s="1428"/>
      <c r="AZ220" s="1428"/>
      <c r="BA220" s="1172"/>
      <c r="BB220" s="1172"/>
      <c r="BC220" s="1172"/>
      <c r="BD220" s="1172"/>
      <c r="BE220" s="1346"/>
      <c r="BF220" s="1346"/>
      <c r="BG220" s="1344"/>
      <c r="BH220" s="1347"/>
      <c r="BI220" s="1435"/>
      <c r="BJ220" s="1435"/>
      <c r="BK220" s="1435"/>
    </row>
    <row r="221" s="1053" customFormat="1" ht="31" customHeight="1" spans="1:63">
      <c r="A221" s="1265">
        <v>45873</v>
      </c>
      <c r="B221" s="1266" t="s">
        <v>2304</v>
      </c>
      <c r="C221" s="1267" t="s">
        <v>258</v>
      </c>
      <c r="D221" s="1266">
        <v>4500175925</v>
      </c>
      <c r="E221" s="1269">
        <v>21012327</v>
      </c>
      <c r="F221" s="1266" t="s">
        <v>2749</v>
      </c>
      <c r="G221" s="1097" t="s">
        <v>2118</v>
      </c>
      <c r="H221" s="1101" t="s">
        <v>2118</v>
      </c>
      <c r="I221" s="1098" t="s">
        <v>2119</v>
      </c>
      <c r="J221" s="1120">
        <v>204</v>
      </c>
      <c r="K221" s="1097">
        <v>0</v>
      </c>
      <c r="L221" s="1097">
        <v>12</v>
      </c>
      <c r="M221" s="1114">
        <f t="shared" si="55"/>
        <v>17</v>
      </c>
      <c r="N221" s="1117">
        <v>45915</v>
      </c>
      <c r="O221" s="1117">
        <v>45911</v>
      </c>
      <c r="P221" s="1272" t="s">
        <v>2416</v>
      </c>
      <c r="Q221" s="1285" t="s">
        <v>1480</v>
      </c>
      <c r="R221" s="1280"/>
      <c r="S221" s="1147" t="s">
        <v>2729</v>
      </c>
      <c r="T221" s="1364"/>
      <c r="U221" s="1281" t="s">
        <v>2750</v>
      </c>
      <c r="V221" s="1402" t="s">
        <v>2501</v>
      </c>
      <c r="W221" s="1148" t="s">
        <v>2411</v>
      </c>
      <c r="X221" s="1150" t="s">
        <v>2751</v>
      </c>
      <c r="Y221" s="1292">
        <v>3.0761</v>
      </c>
      <c r="Z221" s="1166">
        <f t="shared" si="65"/>
        <v>627.5244</v>
      </c>
      <c r="AA221" s="1289" t="s">
        <v>2752</v>
      </c>
      <c r="AB221" s="1137" t="s">
        <v>63</v>
      </c>
      <c r="AC221" s="1137" t="s">
        <v>2040</v>
      </c>
      <c r="AD221" s="1290">
        <v>204</v>
      </c>
      <c r="AE221" s="1289">
        <f t="shared" ref="AE221:AE234" si="66">AD221-J221</f>
        <v>0</v>
      </c>
      <c r="AF221" s="1291" t="s">
        <v>327</v>
      </c>
      <c r="AG221" s="1291"/>
      <c r="AH221" s="1188">
        <f t="shared" si="61"/>
        <v>68</v>
      </c>
      <c r="AI221" s="1188">
        <f t="shared" si="62"/>
        <v>68</v>
      </c>
      <c r="AJ221" s="1188">
        <f t="shared" si="63"/>
        <v>68</v>
      </c>
      <c r="AK221" s="1416"/>
      <c r="AL221" s="1417"/>
      <c r="AM221" s="1416"/>
      <c r="AN221" s="1416"/>
      <c r="AO221" s="1425"/>
      <c r="AP221" s="1417"/>
      <c r="AQ221" s="1426"/>
      <c r="AR221" s="1338">
        <f t="shared" si="54"/>
        <v>204</v>
      </c>
      <c r="AS221" s="1425"/>
      <c r="AT221" s="1427"/>
      <c r="AU221" s="1428"/>
      <c r="AV221" s="1428"/>
      <c r="AW221" s="1172">
        <f t="shared" si="64"/>
        <v>204</v>
      </c>
      <c r="AX221" s="1428"/>
      <c r="AY221" s="1428"/>
      <c r="AZ221" s="1428"/>
      <c r="BA221" s="1172"/>
      <c r="BB221" s="1172"/>
      <c r="BC221" s="1172"/>
      <c r="BD221" s="1172"/>
      <c r="BE221" s="1346"/>
      <c r="BF221" s="1346"/>
      <c r="BG221" s="1344"/>
      <c r="BH221" s="1347"/>
      <c r="BI221" s="1435"/>
      <c r="BJ221" s="1435"/>
      <c r="BK221" s="1435"/>
    </row>
    <row r="222" s="1053" customFormat="1" ht="31" customHeight="1" spans="1:63">
      <c r="A222" s="1265">
        <v>45873</v>
      </c>
      <c r="B222" s="1266" t="s">
        <v>2304</v>
      </c>
      <c r="C222" s="1267" t="s">
        <v>258</v>
      </c>
      <c r="D222" s="1266">
        <v>4500175925</v>
      </c>
      <c r="E222" s="1269">
        <v>21012334</v>
      </c>
      <c r="F222" s="1266" t="s">
        <v>2753</v>
      </c>
      <c r="G222" s="1097" t="s">
        <v>2118</v>
      </c>
      <c r="H222" s="1101" t="s">
        <v>2118</v>
      </c>
      <c r="I222" s="1098" t="s">
        <v>2119</v>
      </c>
      <c r="J222" s="1120">
        <v>216</v>
      </c>
      <c r="K222" s="1097">
        <v>0</v>
      </c>
      <c r="L222" s="1097">
        <v>12</v>
      </c>
      <c r="M222" s="1114">
        <f t="shared" si="55"/>
        <v>18</v>
      </c>
      <c r="N222" s="1117">
        <v>45915</v>
      </c>
      <c r="O222" s="1117">
        <v>45911</v>
      </c>
      <c r="P222" s="1272" t="s">
        <v>2416</v>
      </c>
      <c r="Q222" s="1285" t="s">
        <v>1480</v>
      </c>
      <c r="R222" s="1280"/>
      <c r="S222" s="1147" t="s">
        <v>2729</v>
      </c>
      <c r="T222" s="1364"/>
      <c r="U222" s="1281" t="s">
        <v>2750</v>
      </c>
      <c r="V222" s="1402" t="s">
        <v>2501</v>
      </c>
      <c r="W222" s="1148" t="s">
        <v>2411</v>
      </c>
      <c r="X222" s="1150" t="s">
        <v>2751</v>
      </c>
      <c r="Y222" s="1292">
        <v>3.0761</v>
      </c>
      <c r="Z222" s="1166">
        <f t="shared" si="65"/>
        <v>664.4376</v>
      </c>
      <c r="AA222" s="1289" t="s">
        <v>2752</v>
      </c>
      <c r="AB222" s="1137" t="s">
        <v>63</v>
      </c>
      <c r="AC222" s="1137" t="s">
        <v>2040</v>
      </c>
      <c r="AD222" s="1290">
        <v>216</v>
      </c>
      <c r="AE222" s="1289">
        <f t="shared" si="66"/>
        <v>0</v>
      </c>
      <c r="AF222" s="1291" t="s">
        <v>327</v>
      </c>
      <c r="AG222" s="1291"/>
      <c r="AH222" s="1188">
        <f t="shared" si="61"/>
        <v>72</v>
      </c>
      <c r="AI222" s="1188">
        <f t="shared" si="62"/>
        <v>72</v>
      </c>
      <c r="AJ222" s="1188">
        <f t="shared" si="63"/>
        <v>72</v>
      </c>
      <c r="AK222" s="1416"/>
      <c r="AL222" s="1417"/>
      <c r="AM222" s="1416"/>
      <c r="AN222" s="1416"/>
      <c r="AO222" s="1425"/>
      <c r="AP222" s="1417"/>
      <c r="AQ222" s="1426"/>
      <c r="AR222" s="1338">
        <f t="shared" si="54"/>
        <v>216</v>
      </c>
      <c r="AS222" s="1425"/>
      <c r="AT222" s="1427"/>
      <c r="AU222" s="1428"/>
      <c r="AV222" s="1428"/>
      <c r="AW222" s="1172">
        <f t="shared" si="64"/>
        <v>216</v>
      </c>
      <c r="AX222" s="1428"/>
      <c r="AY222" s="1428"/>
      <c r="AZ222" s="1428"/>
      <c r="BA222" s="1172"/>
      <c r="BB222" s="1172"/>
      <c r="BC222" s="1172"/>
      <c r="BD222" s="1172"/>
      <c r="BE222" s="1346"/>
      <c r="BF222" s="1346"/>
      <c r="BG222" s="1344"/>
      <c r="BH222" s="1347"/>
      <c r="BI222" s="1435"/>
      <c r="BJ222" s="1435"/>
      <c r="BK222" s="1435"/>
    </row>
    <row r="223" s="1053" customFormat="1" ht="31" customHeight="1" spans="1:63">
      <c r="A223" s="1265">
        <v>45873</v>
      </c>
      <c r="B223" s="1266" t="s">
        <v>2297</v>
      </c>
      <c r="C223" s="1267" t="s">
        <v>876</v>
      </c>
      <c r="D223" s="1266">
        <v>4500175924</v>
      </c>
      <c r="E223" s="1269">
        <v>21012324</v>
      </c>
      <c r="F223" s="1266" t="s">
        <v>2754</v>
      </c>
      <c r="G223" s="1097" t="s">
        <v>2118</v>
      </c>
      <c r="H223" s="1101" t="s">
        <v>2118</v>
      </c>
      <c r="I223" s="1098" t="s">
        <v>2119</v>
      </c>
      <c r="J223" s="1120">
        <v>6000</v>
      </c>
      <c r="K223" s="1097">
        <v>0</v>
      </c>
      <c r="L223" s="1097">
        <v>12</v>
      </c>
      <c r="M223" s="1114">
        <f t="shared" si="55"/>
        <v>500</v>
      </c>
      <c r="N223" s="1117">
        <v>45915</v>
      </c>
      <c r="O223" s="1117">
        <v>45911</v>
      </c>
      <c r="P223" s="1272" t="s">
        <v>2416</v>
      </c>
      <c r="Q223" s="1285" t="s">
        <v>1480</v>
      </c>
      <c r="R223" s="1280" t="s">
        <v>2755</v>
      </c>
      <c r="S223" s="1147" t="s">
        <v>2729</v>
      </c>
      <c r="T223" s="1364"/>
      <c r="U223" s="1281" t="s">
        <v>2750</v>
      </c>
      <c r="V223" s="1402" t="s">
        <v>2501</v>
      </c>
      <c r="W223" s="1148" t="s">
        <v>2677</v>
      </c>
      <c r="X223" s="1150" t="s">
        <v>2751</v>
      </c>
      <c r="Y223" s="1292">
        <v>2.8227</v>
      </c>
      <c r="Z223" s="1166">
        <f t="shared" si="65"/>
        <v>16936.2</v>
      </c>
      <c r="AA223" s="1289" t="s">
        <v>2756</v>
      </c>
      <c r="AB223" s="1137" t="s">
        <v>63</v>
      </c>
      <c r="AC223" s="1137" t="s">
        <v>2040</v>
      </c>
      <c r="AD223" s="1290">
        <v>6000</v>
      </c>
      <c r="AE223" s="1289">
        <f t="shared" si="66"/>
        <v>0</v>
      </c>
      <c r="AF223" s="1291" t="s">
        <v>327</v>
      </c>
      <c r="AG223" s="1291"/>
      <c r="AH223" s="1188">
        <f t="shared" si="61"/>
        <v>2000</v>
      </c>
      <c r="AI223" s="1188">
        <f t="shared" si="62"/>
        <v>2000</v>
      </c>
      <c r="AJ223" s="1188">
        <f t="shared" si="63"/>
        <v>2000</v>
      </c>
      <c r="AK223" s="1416"/>
      <c r="AL223" s="1417"/>
      <c r="AM223" s="1416"/>
      <c r="AN223" s="1416"/>
      <c r="AO223" s="1425"/>
      <c r="AP223" s="1417"/>
      <c r="AQ223" s="1426"/>
      <c r="AR223" s="1338">
        <f t="shared" si="54"/>
        <v>6000</v>
      </c>
      <c r="AS223" s="1425"/>
      <c r="AT223" s="1427"/>
      <c r="AU223" s="1428"/>
      <c r="AV223" s="1428"/>
      <c r="AW223" s="1172">
        <f t="shared" si="64"/>
        <v>6000</v>
      </c>
      <c r="AX223" s="1428"/>
      <c r="AY223" s="1428"/>
      <c r="AZ223" s="1428"/>
      <c r="BA223" s="1172"/>
      <c r="BB223" s="1172"/>
      <c r="BC223" s="1172"/>
      <c r="BD223" s="1172"/>
      <c r="BE223" s="1346"/>
      <c r="BF223" s="1346"/>
      <c r="BG223" s="1344"/>
      <c r="BH223" s="1347"/>
      <c r="BI223" s="1435"/>
      <c r="BJ223" s="1435"/>
      <c r="BK223" s="1435"/>
    </row>
    <row r="224" s="1053" customFormat="1" ht="31" customHeight="1" spans="1:63">
      <c r="A224" s="1265">
        <v>45873</v>
      </c>
      <c r="B224" s="1266" t="s">
        <v>2297</v>
      </c>
      <c r="C224" s="1267" t="s">
        <v>876</v>
      </c>
      <c r="D224" s="1266">
        <v>4500175924</v>
      </c>
      <c r="E224" s="1269">
        <v>21012331</v>
      </c>
      <c r="F224" s="1266" t="s">
        <v>2757</v>
      </c>
      <c r="G224" s="1097" t="s">
        <v>2118</v>
      </c>
      <c r="H224" s="1101" t="s">
        <v>2118</v>
      </c>
      <c r="I224" s="1098" t="s">
        <v>2119</v>
      </c>
      <c r="J224" s="1120">
        <v>6000</v>
      </c>
      <c r="K224" s="1097">
        <v>0</v>
      </c>
      <c r="L224" s="1097">
        <v>12</v>
      </c>
      <c r="M224" s="1114">
        <f t="shared" si="55"/>
        <v>500</v>
      </c>
      <c r="N224" s="1117">
        <v>45915</v>
      </c>
      <c r="O224" s="1117">
        <v>45911</v>
      </c>
      <c r="P224" s="1272" t="s">
        <v>2416</v>
      </c>
      <c r="Q224" s="1285" t="s">
        <v>1480</v>
      </c>
      <c r="R224" s="1280" t="s">
        <v>2755</v>
      </c>
      <c r="S224" s="1147" t="s">
        <v>2729</v>
      </c>
      <c r="T224" s="1364"/>
      <c r="U224" s="1281" t="s">
        <v>2750</v>
      </c>
      <c r="V224" s="1402" t="s">
        <v>2501</v>
      </c>
      <c r="W224" s="1148" t="s">
        <v>2677</v>
      </c>
      <c r="X224" s="1150" t="s">
        <v>2751</v>
      </c>
      <c r="Y224" s="1292">
        <v>2.8227</v>
      </c>
      <c r="Z224" s="1166">
        <f t="shared" si="65"/>
        <v>16936.2</v>
      </c>
      <c r="AA224" s="1289" t="s">
        <v>2756</v>
      </c>
      <c r="AB224" s="1137" t="s">
        <v>63</v>
      </c>
      <c r="AC224" s="1137" t="s">
        <v>2040</v>
      </c>
      <c r="AD224" s="1290">
        <v>6000</v>
      </c>
      <c r="AE224" s="1289">
        <f t="shared" si="66"/>
        <v>0</v>
      </c>
      <c r="AF224" s="1291" t="s">
        <v>327</v>
      </c>
      <c r="AG224" s="1291"/>
      <c r="AH224" s="1188">
        <f t="shared" si="61"/>
        <v>2000</v>
      </c>
      <c r="AI224" s="1188">
        <f t="shared" si="62"/>
        <v>2000</v>
      </c>
      <c r="AJ224" s="1188">
        <f t="shared" si="63"/>
        <v>2000</v>
      </c>
      <c r="AK224" s="1416"/>
      <c r="AL224" s="1417"/>
      <c r="AM224" s="1416"/>
      <c r="AN224" s="1416"/>
      <c r="AO224" s="1425"/>
      <c r="AP224" s="1417"/>
      <c r="AQ224" s="1426"/>
      <c r="AR224" s="1338">
        <f t="shared" si="54"/>
        <v>6000</v>
      </c>
      <c r="AS224" s="1425"/>
      <c r="AT224" s="1427"/>
      <c r="AU224" s="1428"/>
      <c r="AV224" s="1428"/>
      <c r="AW224" s="1172">
        <f t="shared" si="64"/>
        <v>6000</v>
      </c>
      <c r="AX224" s="1428"/>
      <c r="AY224" s="1428"/>
      <c r="AZ224" s="1428"/>
      <c r="BA224" s="1172"/>
      <c r="BB224" s="1172"/>
      <c r="BC224" s="1172"/>
      <c r="BD224" s="1172"/>
      <c r="BE224" s="1346"/>
      <c r="BF224" s="1346"/>
      <c r="BG224" s="1344"/>
      <c r="BH224" s="1347"/>
      <c r="BI224" s="1435"/>
      <c r="BJ224" s="1435"/>
      <c r="BK224" s="1435"/>
    </row>
    <row r="225" s="1053" customFormat="1" ht="31" customHeight="1" spans="1:63">
      <c r="A225" s="1265">
        <v>45862</v>
      </c>
      <c r="B225" s="1266" t="s">
        <v>811</v>
      </c>
      <c r="C225" s="1267" t="s">
        <v>91</v>
      </c>
      <c r="D225" s="1266">
        <v>4500174764</v>
      </c>
      <c r="E225" s="1269">
        <v>70072639</v>
      </c>
      <c r="F225" s="1266" t="s">
        <v>2758</v>
      </c>
      <c r="G225" s="1097" t="s">
        <v>2118</v>
      </c>
      <c r="H225" s="1101" t="s">
        <v>2118</v>
      </c>
      <c r="I225" s="1098" t="s">
        <v>2119</v>
      </c>
      <c r="J225" s="1120">
        <v>1200</v>
      </c>
      <c r="K225" s="1097">
        <v>0</v>
      </c>
      <c r="L225" s="1097">
        <v>12</v>
      </c>
      <c r="M225" s="1114">
        <f t="shared" si="55"/>
        <v>100</v>
      </c>
      <c r="N225" s="1117">
        <v>45918</v>
      </c>
      <c r="O225" s="1117">
        <v>45915</v>
      </c>
      <c r="P225" s="1272"/>
      <c r="Q225" s="1285" t="s">
        <v>1480</v>
      </c>
      <c r="R225" s="1280" t="s">
        <v>2759</v>
      </c>
      <c r="S225" s="1147" t="s">
        <v>967</v>
      </c>
      <c r="T225" s="1364"/>
      <c r="U225" s="1405" t="s">
        <v>917</v>
      </c>
      <c r="V225" s="1365" t="s">
        <v>235</v>
      </c>
      <c r="W225" s="1148" t="s">
        <v>816</v>
      </c>
      <c r="X225" s="1150" t="s">
        <v>681</v>
      </c>
      <c r="Y225" s="1292">
        <v>1.7072</v>
      </c>
      <c r="Z225" s="1166">
        <f t="shared" si="65"/>
        <v>2048.64</v>
      </c>
      <c r="AA225" s="1289" t="s">
        <v>992</v>
      </c>
      <c r="AB225" s="1137" t="s">
        <v>63</v>
      </c>
      <c r="AC225" s="1137" t="s">
        <v>2040</v>
      </c>
      <c r="AD225" s="1290">
        <v>1200</v>
      </c>
      <c r="AE225" s="1289">
        <f t="shared" si="66"/>
        <v>0</v>
      </c>
      <c r="AF225" s="1409" t="s">
        <v>327</v>
      </c>
      <c r="AG225" s="1291"/>
      <c r="AH225" s="1188">
        <f t="shared" si="61"/>
        <v>400</v>
      </c>
      <c r="AI225" s="1188">
        <f t="shared" si="62"/>
        <v>400</v>
      </c>
      <c r="AJ225" s="1188">
        <f t="shared" si="63"/>
        <v>400</v>
      </c>
      <c r="AK225" s="1416"/>
      <c r="AL225" s="1417"/>
      <c r="AM225" s="1416"/>
      <c r="AN225" s="1416"/>
      <c r="AO225" s="1425"/>
      <c r="AP225" s="1417"/>
      <c r="AQ225" s="1426"/>
      <c r="AR225" s="1338">
        <f t="shared" si="54"/>
        <v>1200</v>
      </c>
      <c r="AS225" s="1425"/>
      <c r="AT225" s="1427"/>
      <c r="AU225" s="1428"/>
      <c r="AV225" s="1428"/>
      <c r="AW225" s="1172">
        <f t="shared" si="64"/>
        <v>1200</v>
      </c>
      <c r="AX225" s="1428"/>
      <c r="AY225" s="1428"/>
      <c r="AZ225" s="1428"/>
      <c r="BA225" s="1172"/>
      <c r="BB225" s="1172"/>
      <c r="BC225" s="1172"/>
      <c r="BD225" s="1172"/>
      <c r="BE225" s="1346"/>
      <c r="BF225" s="1346"/>
      <c r="BG225" s="1344"/>
      <c r="BH225" s="1347"/>
      <c r="BI225" s="1435"/>
      <c r="BJ225" s="1435"/>
      <c r="BK225" s="1435"/>
    </row>
    <row r="226" s="1053" customFormat="1" ht="31" customHeight="1" spans="1:63">
      <c r="A226" s="1265">
        <v>45874</v>
      </c>
      <c r="B226" s="1266" t="s">
        <v>963</v>
      </c>
      <c r="C226" s="1267" t="s">
        <v>91</v>
      </c>
      <c r="D226" s="1266">
        <v>4500175962</v>
      </c>
      <c r="E226" s="1269" t="s">
        <v>964</v>
      </c>
      <c r="F226" s="1266" t="s">
        <v>2760</v>
      </c>
      <c r="G226" s="1097" t="s">
        <v>2118</v>
      </c>
      <c r="H226" s="1101" t="s">
        <v>2118</v>
      </c>
      <c r="I226" s="1098" t="s">
        <v>2119</v>
      </c>
      <c r="J226" s="1120">
        <v>156</v>
      </c>
      <c r="K226" s="1097">
        <v>0</v>
      </c>
      <c r="L226" s="1097">
        <v>12</v>
      </c>
      <c r="M226" s="1114">
        <f t="shared" si="55"/>
        <v>13</v>
      </c>
      <c r="N226" s="1117">
        <v>45919</v>
      </c>
      <c r="O226" s="1117">
        <v>45915</v>
      </c>
      <c r="P226" s="1272"/>
      <c r="Q226" s="1285" t="s">
        <v>1480</v>
      </c>
      <c r="R226" s="1363" t="s">
        <v>966</v>
      </c>
      <c r="S226" s="1147" t="s">
        <v>967</v>
      </c>
      <c r="T226" s="1364"/>
      <c r="U226" s="1364" t="s">
        <v>968</v>
      </c>
      <c r="V226" s="1402" t="s">
        <v>969</v>
      </c>
      <c r="W226" s="1148" t="s">
        <v>2761</v>
      </c>
      <c r="X226" s="1150" t="s">
        <v>971</v>
      </c>
      <c r="Y226" s="1292">
        <v>1.7438</v>
      </c>
      <c r="Z226" s="1166">
        <f t="shared" si="65"/>
        <v>272.0328</v>
      </c>
      <c r="AA226" s="1289" t="s">
        <v>972</v>
      </c>
      <c r="AB226" s="1137" t="s">
        <v>63</v>
      </c>
      <c r="AC226" s="1137" t="s">
        <v>2040</v>
      </c>
      <c r="AD226" s="1290">
        <v>156</v>
      </c>
      <c r="AE226" s="1289">
        <f t="shared" si="66"/>
        <v>0</v>
      </c>
      <c r="AF226" s="1291" t="s">
        <v>327</v>
      </c>
      <c r="AG226" s="1291"/>
      <c r="AH226" s="1188">
        <f t="shared" si="61"/>
        <v>52</v>
      </c>
      <c r="AI226" s="1188">
        <f t="shared" si="62"/>
        <v>52</v>
      </c>
      <c r="AJ226" s="1188">
        <f t="shared" si="63"/>
        <v>52</v>
      </c>
      <c r="AK226" s="1416"/>
      <c r="AL226" s="1417"/>
      <c r="AM226" s="1416"/>
      <c r="AN226" s="1416"/>
      <c r="AO226" s="1425"/>
      <c r="AP226" s="1417"/>
      <c r="AQ226" s="1426"/>
      <c r="AR226" s="1338">
        <f t="shared" si="54"/>
        <v>156</v>
      </c>
      <c r="AS226" s="1425"/>
      <c r="AT226" s="1427"/>
      <c r="AU226" s="1428"/>
      <c r="AV226" s="1428"/>
      <c r="AW226" s="1172">
        <f t="shared" si="64"/>
        <v>156</v>
      </c>
      <c r="AX226" s="1428"/>
      <c r="AY226" s="1428"/>
      <c r="AZ226" s="1428"/>
      <c r="BA226" s="1172"/>
      <c r="BB226" s="1172"/>
      <c r="BC226" s="1172"/>
      <c r="BD226" s="1172"/>
      <c r="BE226" s="1346"/>
      <c r="BF226" s="1346"/>
      <c r="BG226" s="1344"/>
      <c r="BH226" s="1347"/>
      <c r="BI226" s="1435"/>
      <c r="BJ226" s="1435"/>
      <c r="BK226" s="1435"/>
    </row>
    <row r="227" s="1053" customFormat="1" ht="33" customHeight="1" spans="1:63">
      <c r="A227" s="1265">
        <v>45863</v>
      </c>
      <c r="B227" s="1266" t="s">
        <v>2762</v>
      </c>
      <c r="C227" s="1267" t="s">
        <v>123</v>
      </c>
      <c r="D227" s="1266">
        <v>4500175085</v>
      </c>
      <c r="E227" s="1269" t="s">
        <v>2763</v>
      </c>
      <c r="F227" s="1266" t="s">
        <v>2764</v>
      </c>
      <c r="G227" s="1097" t="s">
        <v>2118</v>
      </c>
      <c r="H227" s="1101" t="s">
        <v>2118</v>
      </c>
      <c r="I227" s="1098" t="s">
        <v>2119</v>
      </c>
      <c r="J227" s="1120">
        <v>504</v>
      </c>
      <c r="K227" s="1101">
        <v>0</v>
      </c>
      <c r="L227" s="1101">
        <v>12</v>
      </c>
      <c r="M227" s="1114">
        <f t="shared" si="55"/>
        <v>42</v>
      </c>
      <c r="N227" s="1117">
        <v>45922</v>
      </c>
      <c r="O227" s="1117">
        <v>45918</v>
      </c>
      <c r="P227" s="1272"/>
      <c r="Q227" s="1285" t="s">
        <v>1480</v>
      </c>
      <c r="R227" s="1280" t="s">
        <v>2765</v>
      </c>
      <c r="S227" s="1147" t="s">
        <v>2766</v>
      </c>
      <c r="T227" s="1364"/>
      <c r="U227" s="1406" t="s">
        <v>2767</v>
      </c>
      <c r="V227" s="1402" t="s">
        <v>2768</v>
      </c>
      <c r="W227" s="1148" t="s">
        <v>2769</v>
      </c>
      <c r="X227" s="1150" t="s">
        <v>2770</v>
      </c>
      <c r="Y227" s="1292">
        <v>2.9064</v>
      </c>
      <c r="Z227" s="1166">
        <f t="shared" si="65"/>
        <v>1464.8256</v>
      </c>
      <c r="AA227" s="1289" t="s">
        <v>2771</v>
      </c>
      <c r="AB227" s="1137" t="s">
        <v>63</v>
      </c>
      <c r="AC227" s="1137" t="s">
        <v>2040</v>
      </c>
      <c r="AD227" s="1290">
        <v>504</v>
      </c>
      <c r="AE227" s="1289">
        <f t="shared" si="66"/>
        <v>0</v>
      </c>
      <c r="AF227" s="1291" t="s">
        <v>327</v>
      </c>
      <c r="AG227" s="1291"/>
      <c r="AH227" s="1188">
        <f t="shared" si="61"/>
        <v>168</v>
      </c>
      <c r="AI227" s="1188">
        <f t="shared" si="62"/>
        <v>168</v>
      </c>
      <c r="AJ227" s="1188">
        <f t="shared" si="63"/>
        <v>168</v>
      </c>
      <c r="AK227" s="1416"/>
      <c r="AL227" s="1417"/>
      <c r="AM227" s="1416"/>
      <c r="AN227" s="1416"/>
      <c r="AO227" s="1425"/>
      <c r="AP227" s="1417"/>
      <c r="AQ227" s="1426"/>
      <c r="AR227" s="1338">
        <f t="shared" si="54"/>
        <v>504</v>
      </c>
      <c r="AS227" s="1425"/>
      <c r="AT227" s="1427"/>
      <c r="AU227" s="1428"/>
      <c r="AV227" s="1428"/>
      <c r="AW227" s="1172">
        <f t="shared" si="64"/>
        <v>504</v>
      </c>
      <c r="AX227" s="1428"/>
      <c r="AY227" s="1428"/>
      <c r="AZ227" s="1428"/>
      <c r="BA227" s="1172"/>
      <c r="BB227" s="1172"/>
      <c r="BC227" s="1172"/>
      <c r="BD227" s="1172"/>
      <c r="BE227" s="1346"/>
      <c r="BF227" s="1346"/>
      <c r="BG227" s="1344"/>
      <c r="BH227" s="1347"/>
      <c r="BI227" s="1435"/>
      <c r="BJ227" s="1435"/>
      <c r="BK227" s="1435"/>
    </row>
    <row r="228" s="1053" customFormat="1" ht="31" customHeight="1" spans="1:60">
      <c r="A228" s="1265">
        <v>45859</v>
      </c>
      <c r="B228" s="1266" t="s">
        <v>230</v>
      </c>
      <c r="C228" s="1267" t="s">
        <v>91</v>
      </c>
      <c r="D228" s="1266">
        <v>4500173503</v>
      </c>
      <c r="E228" s="1269">
        <v>60235195</v>
      </c>
      <c r="F228" s="1266" t="s">
        <v>2772</v>
      </c>
      <c r="G228" s="1097" t="s">
        <v>2118</v>
      </c>
      <c r="H228" s="1101" t="s">
        <v>2118</v>
      </c>
      <c r="I228" s="1098" t="s">
        <v>2119</v>
      </c>
      <c r="J228" s="1120">
        <v>13416</v>
      </c>
      <c r="K228" s="1097" t="s">
        <v>1443</v>
      </c>
      <c r="L228" s="1097">
        <v>12</v>
      </c>
      <c r="M228" s="1114">
        <f t="shared" si="55"/>
        <v>1118</v>
      </c>
      <c r="N228" s="1117">
        <v>45920</v>
      </c>
      <c r="O228" s="1117">
        <v>45916</v>
      </c>
      <c r="P228" s="1272"/>
      <c r="Q228" s="1285" t="s">
        <v>1480</v>
      </c>
      <c r="R228" s="1280" t="s">
        <v>2773</v>
      </c>
      <c r="S228" s="1147" t="s">
        <v>929</v>
      </c>
      <c r="T228" s="1364"/>
      <c r="U228" s="1407" t="s">
        <v>917</v>
      </c>
      <c r="V228" s="1402" t="s">
        <v>2774</v>
      </c>
      <c r="W228" s="1148" t="s">
        <v>816</v>
      </c>
      <c r="X228" s="1150" t="s">
        <v>681</v>
      </c>
      <c r="Y228" s="1292">
        <v>1.5667</v>
      </c>
      <c r="Z228" s="1166">
        <f t="shared" si="65"/>
        <v>21018.8472</v>
      </c>
      <c r="AA228" s="1289" t="s">
        <v>944</v>
      </c>
      <c r="AB228" s="1137" t="s">
        <v>63</v>
      </c>
      <c r="AC228" s="1137" t="s">
        <v>2040</v>
      </c>
      <c r="AD228" s="1290">
        <f>5184+8220+12</f>
        <v>13416</v>
      </c>
      <c r="AE228" s="1289">
        <f t="shared" si="66"/>
        <v>0</v>
      </c>
      <c r="AF228" s="1409" t="s">
        <v>327</v>
      </c>
      <c r="AG228" s="1291"/>
      <c r="AH228" s="1188">
        <f t="shared" si="61"/>
        <v>4472</v>
      </c>
      <c r="AI228" s="1188">
        <f t="shared" si="62"/>
        <v>4472</v>
      </c>
      <c r="AJ228" s="1188">
        <f t="shared" si="63"/>
        <v>4472</v>
      </c>
      <c r="AK228" s="1319"/>
      <c r="AL228" s="1214"/>
      <c r="AM228" s="1319"/>
      <c r="AN228" s="1319"/>
      <c r="AO228" s="1338"/>
      <c r="AP228" s="1214"/>
      <c r="AQ228" s="1346"/>
      <c r="AR228" s="1338">
        <f t="shared" si="54"/>
        <v>13416</v>
      </c>
      <c r="AS228" s="1338"/>
      <c r="AT228" s="1429"/>
      <c r="AU228" s="1397"/>
      <c r="AV228" s="1397"/>
      <c r="AW228" s="1172">
        <f t="shared" si="64"/>
        <v>13416</v>
      </c>
      <c r="AX228" s="1397"/>
      <c r="AY228" s="1397"/>
      <c r="AZ228" s="1397"/>
      <c r="BA228" s="1172"/>
      <c r="BB228" s="1172"/>
      <c r="BC228" s="1172"/>
      <c r="BD228" s="1172"/>
      <c r="BE228" s="1346"/>
      <c r="BF228" s="1346"/>
      <c r="BG228" s="1344"/>
      <c r="BH228" s="1347"/>
    </row>
    <row r="229" s="1053" customFormat="1" ht="31" customHeight="1" spans="1:63">
      <c r="A229" s="1265">
        <v>45876</v>
      </c>
      <c r="B229" s="1266" t="s">
        <v>2375</v>
      </c>
      <c r="C229" s="1267" t="s">
        <v>752</v>
      </c>
      <c r="D229" s="1266">
        <v>4500176300</v>
      </c>
      <c r="E229" s="1269" t="s">
        <v>2775</v>
      </c>
      <c r="F229" s="1266" t="s">
        <v>2776</v>
      </c>
      <c r="G229" s="1097" t="s">
        <v>2118</v>
      </c>
      <c r="H229" s="1101" t="s">
        <v>2118</v>
      </c>
      <c r="I229" s="1098" t="s">
        <v>2119</v>
      </c>
      <c r="J229" s="1120">
        <v>324</v>
      </c>
      <c r="K229" s="1101">
        <v>0</v>
      </c>
      <c r="L229" s="1101">
        <v>12</v>
      </c>
      <c r="M229" s="1114">
        <f t="shared" ref="M206:M271" si="67">J229/L229</f>
        <v>27</v>
      </c>
      <c r="N229" s="1117">
        <v>45922</v>
      </c>
      <c r="O229" s="1117">
        <v>45918</v>
      </c>
      <c r="P229" s="1272"/>
      <c r="Q229" s="1285" t="s">
        <v>1480</v>
      </c>
      <c r="R229" s="1280" t="s">
        <v>2765</v>
      </c>
      <c r="S229" s="1147" t="s">
        <v>2777</v>
      </c>
      <c r="T229" s="1364"/>
      <c r="U229" s="1281" t="s">
        <v>58</v>
      </c>
      <c r="V229" s="1402" t="s">
        <v>2778</v>
      </c>
      <c r="W229" s="1148" t="s">
        <v>2779</v>
      </c>
      <c r="X229" s="1150" t="s">
        <v>907</v>
      </c>
      <c r="Y229" s="1292">
        <v>2.9064</v>
      </c>
      <c r="Z229" s="1166">
        <f t="shared" si="65"/>
        <v>941.6736</v>
      </c>
      <c r="AA229" s="1412" t="s">
        <v>2780</v>
      </c>
      <c r="AB229" s="1137" t="s">
        <v>63</v>
      </c>
      <c r="AC229" s="1137" t="s">
        <v>2040</v>
      </c>
      <c r="AD229" s="1290">
        <v>324</v>
      </c>
      <c r="AE229" s="1289">
        <f t="shared" si="66"/>
        <v>0</v>
      </c>
      <c r="AF229" s="1294" t="s">
        <v>58</v>
      </c>
      <c r="AG229" s="1291"/>
      <c r="AH229" s="1188">
        <f t="shared" si="61"/>
        <v>108</v>
      </c>
      <c r="AI229" s="1188">
        <f t="shared" si="62"/>
        <v>108</v>
      </c>
      <c r="AJ229" s="1188">
        <f t="shared" si="63"/>
        <v>108</v>
      </c>
      <c r="AK229" s="1416"/>
      <c r="AL229" s="1417"/>
      <c r="AM229" s="1416"/>
      <c r="AN229" s="1416"/>
      <c r="AO229" s="1425"/>
      <c r="AP229" s="1417"/>
      <c r="AQ229" s="1426"/>
      <c r="AR229" s="1338">
        <f t="shared" si="54"/>
        <v>324</v>
      </c>
      <c r="AS229" s="1425"/>
      <c r="AT229" s="1427"/>
      <c r="AU229" s="1428"/>
      <c r="AV229" s="1428"/>
      <c r="AW229" s="1172">
        <f t="shared" si="64"/>
        <v>324</v>
      </c>
      <c r="AX229" s="1428"/>
      <c r="AY229" s="1428"/>
      <c r="AZ229" s="1428"/>
      <c r="BA229" s="1172"/>
      <c r="BB229" s="1172"/>
      <c r="BC229" s="1172"/>
      <c r="BD229" s="1172"/>
      <c r="BE229" s="1346"/>
      <c r="BF229" s="1346"/>
      <c r="BG229" s="1344"/>
      <c r="BH229" s="1347"/>
      <c r="BI229" s="1435"/>
      <c r="BJ229" s="1435"/>
      <c r="BK229" s="1435"/>
    </row>
    <row r="230" s="1053" customFormat="1" ht="31" customHeight="1" spans="1:60">
      <c r="A230" s="1265">
        <v>45877</v>
      </c>
      <c r="B230" s="1266" t="s">
        <v>856</v>
      </c>
      <c r="C230" s="1267" t="s">
        <v>178</v>
      </c>
      <c r="D230" s="1266">
        <v>4500176409</v>
      </c>
      <c r="E230" s="1269">
        <v>4400501782</v>
      </c>
      <c r="F230" s="1266" t="s">
        <v>2781</v>
      </c>
      <c r="G230" s="1101" t="s">
        <v>2316</v>
      </c>
      <c r="H230" s="1101" t="s">
        <v>2317</v>
      </c>
      <c r="I230" s="1098" t="s">
        <v>2063</v>
      </c>
      <c r="J230" s="1120">
        <v>504</v>
      </c>
      <c r="K230" s="1097">
        <v>0</v>
      </c>
      <c r="L230" s="1097">
        <v>12</v>
      </c>
      <c r="M230" s="1114">
        <f t="shared" si="67"/>
        <v>42</v>
      </c>
      <c r="N230" s="1117">
        <v>45929</v>
      </c>
      <c r="O230" s="1117">
        <v>45925</v>
      </c>
      <c r="P230" s="1272"/>
      <c r="Q230" s="1285" t="s">
        <v>1480</v>
      </c>
      <c r="R230" s="1280" t="s">
        <v>2782</v>
      </c>
      <c r="S230" s="1147" t="s">
        <v>2729</v>
      </c>
      <c r="T230" s="1364"/>
      <c r="U230" s="1405" t="s">
        <v>2783</v>
      </c>
      <c r="V230" s="1402" t="s">
        <v>2784</v>
      </c>
      <c r="W230" s="1148" t="s">
        <v>2785</v>
      </c>
      <c r="X230" s="1150" t="s">
        <v>953</v>
      </c>
      <c r="Y230" s="1292">
        <v>2.9064</v>
      </c>
      <c r="Z230" s="1166">
        <f t="shared" si="65"/>
        <v>1464.8256</v>
      </c>
      <c r="AA230" s="1289" t="s">
        <v>2786</v>
      </c>
      <c r="AB230" s="1137" t="s">
        <v>63</v>
      </c>
      <c r="AC230" s="1137" t="s">
        <v>2040</v>
      </c>
      <c r="AD230" s="1290">
        <v>504</v>
      </c>
      <c r="AE230" s="1289">
        <f t="shared" si="66"/>
        <v>0</v>
      </c>
      <c r="AF230" s="1291" t="s">
        <v>327</v>
      </c>
      <c r="AG230" s="1291"/>
      <c r="AH230" s="1188"/>
      <c r="AI230" s="1188">
        <f>J230</f>
        <v>504</v>
      </c>
      <c r="AJ230" s="1188"/>
      <c r="AK230" s="1319"/>
      <c r="AL230" s="1214"/>
      <c r="AM230" s="1319"/>
      <c r="AN230" s="1319"/>
      <c r="AO230" s="1338"/>
      <c r="AP230" s="1214"/>
      <c r="AQ230" s="1346"/>
      <c r="AR230" s="1338">
        <f t="shared" si="54"/>
        <v>504</v>
      </c>
      <c r="AS230" s="1338"/>
      <c r="AT230" s="1429"/>
      <c r="AU230" s="1397"/>
      <c r="AV230" s="1397"/>
      <c r="AW230" s="1172"/>
      <c r="AX230" s="1397"/>
      <c r="AY230" s="1397"/>
      <c r="AZ230" s="1397"/>
      <c r="BA230" s="1172">
        <f>J230</f>
        <v>504</v>
      </c>
      <c r="BB230" s="1172"/>
      <c r="BC230" s="1172"/>
      <c r="BD230" s="1172"/>
      <c r="BE230" s="1346"/>
      <c r="BF230" s="1346"/>
      <c r="BG230" s="1344"/>
      <c r="BH230" s="1347"/>
    </row>
    <row r="231" s="1053" customFormat="1" ht="31" customHeight="1" spans="1:60">
      <c r="A231" s="1265">
        <v>45877</v>
      </c>
      <c r="B231" s="1266" t="s">
        <v>856</v>
      </c>
      <c r="C231" s="1267" t="s">
        <v>178</v>
      </c>
      <c r="D231" s="1266">
        <v>4500176409</v>
      </c>
      <c r="E231" s="1269">
        <v>4400501782</v>
      </c>
      <c r="F231" s="1266" t="s">
        <v>2787</v>
      </c>
      <c r="G231" s="1101" t="s">
        <v>2309</v>
      </c>
      <c r="H231" s="1101" t="s">
        <v>2310</v>
      </c>
      <c r="I231" s="1098" t="s">
        <v>2663</v>
      </c>
      <c r="J231" s="1120">
        <v>504</v>
      </c>
      <c r="K231" s="1097">
        <v>0</v>
      </c>
      <c r="L231" s="1097">
        <v>12</v>
      </c>
      <c r="M231" s="1114">
        <f t="shared" si="67"/>
        <v>42</v>
      </c>
      <c r="N231" s="1117">
        <v>45929</v>
      </c>
      <c r="O231" s="1117">
        <v>45925</v>
      </c>
      <c r="P231" s="1272"/>
      <c r="Q231" s="1285" t="s">
        <v>1480</v>
      </c>
      <c r="R231" s="1280" t="s">
        <v>2782</v>
      </c>
      <c r="S231" s="1147" t="s">
        <v>2729</v>
      </c>
      <c r="T231" s="1364"/>
      <c r="U231" s="1405" t="s">
        <v>2783</v>
      </c>
      <c r="V231" s="1402" t="s">
        <v>2788</v>
      </c>
      <c r="W231" s="1148" t="s">
        <v>2789</v>
      </c>
      <c r="X231" s="1150" t="s">
        <v>953</v>
      </c>
      <c r="Y231" s="1292">
        <v>2.9064</v>
      </c>
      <c r="Z231" s="1166">
        <f t="shared" si="65"/>
        <v>1464.8256</v>
      </c>
      <c r="AA231" s="1289" t="s">
        <v>2786</v>
      </c>
      <c r="AB231" s="1137" t="s">
        <v>63</v>
      </c>
      <c r="AC231" s="1137" t="s">
        <v>2040</v>
      </c>
      <c r="AD231" s="1290">
        <v>504</v>
      </c>
      <c r="AE231" s="1289">
        <f t="shared" si="66"/>
        <v>0</v>
      </c>
      <c r="AF231" s="1291" t="s">
        <v>327</v>
      </c>
      <c r="AG231" s="1291"/>
      <c r="AH231" s="1188"/>
      <c r="AI231" s="1188"/>
      <c r="AJ231" s="1188">
        <f>J231</f>
        <v>504</v>
      </c>
      <c r="AK231" s="1319"/>
      <c r="AL231" s="1214"/>
      <c r="AM231" s="1319"/>
      <c r="AN231" s="1319"/>
      <c r="AO231" s="1338"/>
      <c r="AP231" s="1214"/>
      <c r="AQ231" s="1346"/>
      <c r="AR231" s="1338">
        <f t="shared" si="54"/>
        <v>504</v>
      </c>
      <c r="AS231" s="1338"/>
      <c r="AT231" s="1429"/>
      <c r="AU231" s="1397"/>
      <c r="AV231" s="1397"/>
      <c r="AW231" s="1172"/>
      <c r="AX231" s="1397"/>
      <c r="AY231" s="1397"/>
      <c r="AZ231" s="1397"/>
      <c r="BA231" s="1172">
        <f>J231</f>
        <v>504</v>
      </c>
      <c r="BB231" s="1172"/>
      <c r="BC231" s="1172"/>
      <c r="BD231" s="1172"/>
      <c r="BE231" s="1346"/>
      <c r="BF231" s="1346"/>
      <c r="BG231" s="1344"/>
      <c r="BH231" s="1347"/>
    </row>
    <row r="232" s="1053" customFormat="1" ht="31" customHeight="1" spans="1:60">
      <c r="A232" s="1265">
        <v>45877</v>
      </c>
      <c r="B232" s="1266" t="s">
        <v>856</v>
      </c>
      <c r="C232" s="1267" t="s">
        <v>178</v>
      </c>
      <c r="D232" s="1266">
        <v>4500176409</v>
      </c>
      <c r="E232" s="1269">
        <v>4400501782</v>
      </c>
      <c r="F232" s="1266" t="s">
        <v>2790</v>
      </c>
      <c r="G232" s="1101" t="s">
        <v>2444</v>
      </c>
      <c r="H232" s="1101" t="s">
        <v>2445</v>
      </c>
      <c r="I232" s="1098" t="s">
        <v>2446</v>
      </c>
      <c r="J232" s="1120">
        <v>504</v>
      </c>
      <c r="K232" s="1097">
        <v>0</v>
      </c>
      <c r="L232" s="1097">
        <v>12</v>
      </c>
      <c r="M232" s="1114">
        <f t="shared" si="67"/>
        <v>42</v>
      </c>
      <c r="N232" s="1117">
        <v>45929</v>
      </c>
      <c r="O232" s="1117">
        <v>45925</v>
      </c>
      <c r="P232" s="1272"/>
      <c r="Q232" s="1285" t="s">
        <v>1480</v>
      </c>
      <c r="R232" s="1280" t="s">
        <v>2782</v>
      </c>
      <c r="S232" s="1147" t="s">
        <v>2729</v>
      </c>
      <c r="T232" s="1364"/>
      <c r="U232" s="1405" t="s">
        <v>2783</v>
      </c>
      <c r="V232" s="1402" t="s">
        <v>2791</v>
      </c>
      <c r="W232" s="1148" t="s">
        <v>2792</v>
      </c>
      <c r="X232" s="1150" t="s">
        <v>953</v>
      </c>
      <c r="Y232" s="1292">
        <v>2.9668</v>
      </c>
      <c r="Z232" s="1166">
        <f t="shared" si="65"/>
        <v>1495.2672</v>
      </c>
      <c r="AA232" s="1289" t="s">
        <v>2786</v>
      </c>
      <c r="AB232" s="1137" t="s">
        <v>63</v>
      </c>
      <c r="AC232" s="1137" t="s">
        <v>2040</v>
      </c>
      <c r="AD232" s="1290">
        <v>504</v>
      </c>
      <c r="AE232" s="1289">
        <f t="shared" si="66"/>
        <v>0</v>
      </c>
      <c r="AF232" s="1291" t="s">
        <v>327</v>
      </c>
      <c r="AG232" s="1291"/>
      <c r="AH232" s="1188">
        <f>J232</f>
        <v>504</v>
      </c>
      <c r="AI232" s="1188"/>
      <c r="AJ232" s="1188"/>
      <c r="AK232" s="1319"/>
      <c r="AL232" s="1214"/>
      <c r="AM232" s="1319"/>
      <c r="AN232" s="1319"/>
      <c r="AO232" s="1338"/>
      <c r="AP232" s="1214"/>
      <c r="AQ232" s="1346"/>
      <c r="AR232" s="1338">
        <f t="shared" si="54"/>
        <v>504</v>
      </c>
      <c r="AS232" s="1338"/>
      <c r="AT232" s="1429"/>
      <c r="AU232" s="1397"/>
      <c r="AV232" s="1397"/>
      <c r="AW232" s="1172"/>
      <c r="AX232" s="1397"/>
      <c r="AY232" s="1397"/>
      <c r="AZ232" s="1397"/>
      <c r="BA232" s="1172">
        <f>J232</f>
        <v>504</v>
      </c>
      <c r="BB232" s="1172"/>
      <c r="BC232" s="1172"/>
      <c r="BD232" s="1172"/>
      <c r="BE232" s="1346"/>
      <c r="BF232" s="1346"/>
      <c r="BG232" s="1344"/>
      <c r="BH232" s="1347"/>
    </row>
    <row r="233" s="1053" customFormat="1" ht="31" customHeight="1" spans="1:63">
      <c r="A233" s="1265">
        <v>45887</v>
      </c>
      <c r="B233" s="1266" t="s">
        <v>2297</v>
      </c>
      <c r="C233" s="1267" t="s">
        <v>876</v>
      </c>
      <c r="D233" s="1266">
        <v>4500177236</v>
      </c>
      <c r="E233" s="1269">
        <v>21012325</v>
      </c>
      <c r="F233" s="1266" t="s">
        <v>2793</v>
      </c>
      <c r="G233" s="1097" t="s">
        <v>2118</v>
      </c>
      <c r="H233" s="1101" t="s">
        <v>2118</v>
      </c>
      <c r="I233" s="1098" t="s">
        <v>2119</v>
      </c>
      <c r="J233" s="1120">
        <v>4800</v>
      </c>
      <c r="K233" s="1097">
        <v>0</v>
      </c>
      <c r="L233" s="1097">
        <v>12</v>
      </c>
      <c r="M233" s="1114">
        <f t="shared" si="67"/>
        <v>400</v>
      </c>
      <c r="N233" s="1117">
        <v>45930</v>
      </c>
      <c r="O233" s="1117">
        <v>45926</v>
      </c>
      <c r="P233" s="1272" t="s">
        <v>2416</v>
      </c>
      <c r="Q233" s="1285" t="s">
        <v>1480</v>
      </c>
      <c r="R233" s="1280" t="s">
        <v>2794</v>
      </c>
      <c r="S233" s="1147" t="s">
        <v>2795</v>
      </c>
      <c r="T233" s="1364"/>
      <c r="U233" s="1281" t="s">
        <v>2796</v>
      </c>
      <c r="V233" s="1402" t="s">
        <v>2501</v>
      </c>
      <c r="W233" s="1148" t="s">
        <v>2434</v>
      </c>
      <c r="X233" s="1150" t="s">
        <v>2302</v>
      </c>
      <c r="Y233" s="1292">
        <v>2.8606</v>
      </c>
      <c r="Z233" s="1166">
        <f t="shared" si="65"/>
        <v>13730.88</v>
      </c>
      <c r="AA233" s="1289" t="s">
        <v>2797</v>
      </c>
      <c r="AB233" s="1137" t="s">
        <v>63</v>
      </c>
      <c r="AC233" s="1137" t="s">
        <v>2040</v>
      </c>
      <c r="AD233" s="1290">
        <v>4800</v>
      </c>
      <c r="AE233" s="1289">
        <f t="shared" si="66"/>
        <v>0</v>
      </c>
      <c r="AF233" s="1291" t="s">
        <v>327</v>
      </c>
      <c r="AG233" s="1291"/>
      <c r="AH233" s="1188">
        <f>J233/3</f>
        <v>1600</v>
      </c>
      <c r="AI233" s="1188">
        <f>J233/3</f>
        <v>1600</v>
      </c>
      <c r="AJ233" s="1188">
        <f>J233/3</f>
        <v>1600</v>
      </c>
      <c r="AK233" s="1416"/>
      <c r="AL233" s="1417"/>
      <c r="AM233" s="1416"/>
      <c r="AN233" s="1416"/>
      <c r="AO233" s="1425"/>
      <c r="AP233" s="1417"/>
      <c r="AQ233" s="1426"/>
      <c r="AR233" s="1338">
        <f t="shared" si="54"/>
        <v>4800</v>
      </c>
      <c r="AS233" s="1425"/>
      <c r="AT233" s="1427"/>
      <c r="AU233" s="1428"/>
      <c r="AV233" s="1428"/>
      <c r="AW233" s="1172">
        <f>J233</f>
        <v>4800</v>
      </c>
      <c r="AX233" s="1428"/>
      <c r="AY233" s="1428"/>
      <c r="AZ233" s="1428"/>
      <c r="BA233" s="1172"/>
      <c r="BB233" s="1172"/>
      <c r="BC233" s="1172"/>
      <c r="BD233" s="1172"/>
      <c r="BE233" s="1346"/>
      <c r="BF233" s="1346"/>
      <c r="BG233" s="1344"/>
      <c r="BH233" s="1347"/>
      <c r="BI233" s="1435"/>
      <c r="BJ233" s="1435"/>
      <c r="BK233" s="1435"/>
    </row>
    <row r="234" s="1053" customFormat="1" ht="31" customHeight="1" spans="1:63">
      <c r="A234" s="1265">
        <v>45887</v>
      </c>
      <c r="B234" s="1266" t="s">
        <v>2304</v>
      </c>
      <c r="C234" s="1267" t="s">
        <v>258</v>
      </c>
      <c r="D234" s="1266">
        <v>4500177240</v>
      </c>
      <c r="E234" s="1269" t="s">
        <v>2798</v>
      </c>
      <c r="F234" s="1266" t="s">
        <v>2799</v>
      </c>
      <c r="G234" s="1097" t="s">
        <v>2118</v>
      </c>
      <c r="H234" s="1101" t="s">
        <v>2118</v>
      </c>
      <c r="I234" s="1098" t="s">
        <v>2119</v>
      </c>
      <c r="J234" s="1120">
        <v>348</v>
      </c>
      <c r="K234" s="1097">
        <v>0</v>
      </c>
      <c r="L234" s="1097">
        <v>12</v>
      </c>
      <c r="M234" s="1114">
        <f t="shared" si="67"/>
        <v>29</v>
      </c>
      <c r="N234" s="1117">
        <v>45930</v>
      </c>
      <c r="O234" s="1117">
        <v>45926</v>
      </c>
      <c r="P234" s="1272" t="s">
        <v>2416</v>
      </c>
      <c r="Q234" s="1285" t="s">
        <v>1480</v>
      </c>
      <c r="R234" s="1280" t="s">
        <v>2794</v>
      </c>
      <c r="S234" s="1147" t="s">
        <v>2795</v>
      </c>
      <c r="T234" s="1364"/>
      <c r="U234" s="1281" t="s">
        <v>2796</v>
      </c>
      <c r="V234" s="1402" t="s">
        <v>2501</v>
      </c>
      <c r="W234" s="1148" t="s">
        <v>2432</v>
      </c>
      <c r="X234" s="1150" t="s">
        <v>2302</v>
      </c>
      <c r="Y234" s="1292">
        <v>3.0761</v>
      </c>
      <c r="Z234" s="1166">
        <f t="shared" si="65"/>
        <v>1070.4828</v>
      </c>
      <c r="AA234" s="1289" t="s">
        <v>2800</v>
      </c>
      <c r="AB234" s="1137" t="s">
        <v>63</v>
      </c>
      <c r="AC234" s="1137" t="s">
        <v>2040</v>
      </c>
      <c r="AD234" s="1290">
        <v>348</v>
      </c>
      <c r="AE234" s="1289">
        <f t="shared" ref="AE234:AE260" si="68">AD234-J234</f>
        <v>0</v>
      </c>
      <c r="AF234" s="1291" t="s">
        <v>327</v>
      </c>
      <c r="AG234" s="1291"/>
      <c r="AH234" s="1188">
        <f>J234/3</f>
        <v>116</v>
      </c>
      <c r="AI234" s="1188">
        <f>J234/3</f>
        <v>116</v>
      </c>
      <c r="AJ234" s="1188">
        <f>J234/3</f>
        <v>116</v>
      </c>
      <c r="AK234" s="1416"/>
      <c r="AL234" s="1417"/>
      <c r="AM234" s="1416"/>
      <c r="AN234" s="1416"/>
      <c r="AO234" s="1425"/>
      <c r="AP234" s="1417"/>
      <c r="AQ234" s="1426"/>
      <c r="AR234" s="1338">
        <f t="shared" si="54"/>
        <v>348</v>
      </c>
      <c r="AS234" s="1425"/>
      <c r="AT234" s="1427"/>
      <c r="AU234" s="1428"/>
      <c r="AV234" s="1428"/>
      <c r="AW234" s="1172">
        <f>J234</f>
        <v>348</v>
      </c>
      <c r="AX234" s="1428"/>
      <c r="AY234" s="1428"/>
      <c r="AZ234" s="1428"/>
      <c r="BA234" s="1172"/>
      <c r="BB234" s="1172"/>
      <c r="BC234" s="1172"/>
      <c r="BD234" s="1172"/>
      <c r="BE234" s="1346"/>
      <c r="BF234" s="1346"/>
      <c r="BG234" s="1344"/>
      <c r="BH234" s="1347"/>
      <c r="BI234" s="1435"/>
      <c r="BJ234" s="1435"/>
      <c r="BK234" s="1435"/>
    </row>
    <row r="235" s="1053" customFormat="1" ht="31" customHeight="1" spans="1:63">
      <c r="A235" s="1265">
        <v>45896</v>
      </c>
      <c r="B235" s="1266" t="s">
        <v>1701</v>
      </c>
      <c r="C235" s="1267" t="s">
        <v>91</v>
      </c>
      <c r="D235" s="1266">
        <v>4500178034</v>
      </c>
      <c r="E235" s="1269" t="s">
        <v>2801</v>
      </c>
      <c r="F235" s="1266" t="s">
        <v>2802</v>
      </c>
      <c r="G235" s="1101" t="s">
        <v>2390</v>
      </c>
      <c r="H235" s="1101" t="s">
        <v>2390</v>
      </c>
      <c r="I235" s="1270" t="s">
        <v>2063</v>
      </c>
      <c r="J235" s="1120">
        <v>504</v>
      </c>
      <c r="K235" s="1097">
        <v>0</v>
      </c>
      <c r="L235" s="1097">
        <v>24</v>
      </c>
      <c r="M235" s="1114">
        <f t="shared" si="67"/>
        <v>21</v>
      </c>
      <c r="N235" s="1117">
        <v>45939</v>
      </c>
      <c r="O235" s="1117">
        <v>45936</v>
      </c>
      <c r="P235" s="1272"/>
      <c r="Q235" s="1285" t="s">
        <v>1480</v>
      </c>
      <c r="R235" s="1408" t="s">
        <v>2803</v>
      </c>
      <c r="S235" s="1147" t="s">
        <v>1785</v>
      </c>
      <c r="T235" s="1364"/>
      <c r="U235" s="1405" t="s">
        <v>2804</v>
      </c>
      <c r="V235" s="1402" t="s">
        <v>2805</v>
      </c>
      <c r="W235" s="1148" t="s">
        <v>2806</v>
      </c>
      <c r="X235" s="1150" t="s">
        <v>1592</v>
      </c>
      <c r="Y235" s="1292">
        <v>1.7253</v>
      </c>
      <c r="Z235" s="1166">
        <f t="shared" si="65"/>
        <v>869.5512</v>
      </c>
      <c r="AA235" s="1289" t="s">
        <v>1788</v>
      </c>
      <c r="AB235" s="1137" t="s">
        <v>63</v>
      </c>
      <c r="AC235" s="1137" t="s">
        <v>2040</v>
      </c>
      <c r="AD235" s="1290">
        <v>504</v>
      </c>
      <c r="AE235" s="1289">
        <f t="shared" si="68"/>
        <v>0</v>
      </c>
      <c r="AF235" s="1291" t="s">
        <v>327</v>
      </c>
      <c r="AG235" s="1291"/>
      <c r="AH235" s="1188"/>
      <c r="AI235" s="1188">
        <f>J235</f>
        <v>504</v>
      </c>
      <c r="AJ235" s="1188"/>
      <c r="AK235" s="1371"/>
      <c r="AL235" s="1372"/>
      <c r="AM235" s="1371"/>
      <c r="AN235" s="1371"/>
      <c r="AO235" s="1384"/>
      <c r="AP235" s="1372"/>
      <c r="AQ235" s="1375"/>
      <c r="AR235" s="1338">
        <f t="shared" si="54"/>
        <v>504</v>
      </c>
      <c r="AS235" s="1384"/>
      <c r="AT235" s="1386"/>
      <c r="AU235" s="1387"/>
      <c r="AV235" s="1387"/>
      <c r="AW235" s="1172"/>
      <c r="AX235" s="1387"/>
      <c r="AY235" s="1387"/>
      <c r="AZ235" s="1387"/>
      <c r="BA235" s="1172"/>
      <c r="BB235" s="1172"/>
      <c r="BC235" s="1172"/>
      <c r="BD235" s="1172"/>
      <c r="BE235" s="1346"/>
      <c r="BF235" s="1346">
        <f>J235</f>
        <v>504</v>
      </c>
      <c r="BG235" s="1344"/>
      <c r="BH235" s="1347"/>
      <c r="BI235" s="1399"/>
      <c r="BJ235" s="1399"/>
      <c r="BK235" s="1399"/>
    </row>
    <row r="236" s="1053" customFormat="1" ht="31" customHeight="1" spans="1:63">
      <c r="A236" s="1265">
        <v>45896</v>
      </c>
      <c r="B236" s="1266" t="s">
        <v>1701</v>
      </c>
      <c r="C236" s="1267" t="s">
        <v>91</v>
      </c>
      <c r="D236" s="1266">
        <v>4500178034</v>
      </c>
      <c r="E236" s="1269" t="s">
        <v>2807</v>
      </c>
      <c r="F236" s="1266" t="s">
        <v>2808</v>
      </c>
      <c r="G236" s="1101" t="s">
        <v>2109</v>
      </c>
      <c r="H236" s="1101" t="s">
        <v>2109</v>
      </c>
      <c r="I236" s="1098" t="s">
        <v>2042</v>
      </c>
      <c r="J236" s="1120">
        <v>456</v>
      </c>
      <c r="K236" s="1097">
        <v>0</v>
      </c>
      <c r="L236" s="1097">
        <v>24</v>
      </c>
      <c r="M236" s="1114">
        <f t="shared" si="67"/>
        <v>19</v>
      </c>
      <c r="N236" s="1117">
        <v>45939</v>
      </c>
      <c r="O236" s="1117">
        <v>45936</v>
      </c>
      <c r="P236" s="1272"/>
      <c r="Q236" s="1285" t="s">
        <v>1480</v>
      </c>
      <c r="R236" s="1408" t="s">
        <v>2803</v>
      </c>
      <c r="S236" s="1147" t="s">
        <v>1785</v>
      </c>
      <c r="T236" s="1364"/>
      <c r="U236" s="1405" t="s">
        <v>2809</v>
      </c>
      <c r="V236" s="1402" t="s">
        <v>2805</v>
      </c>
      <c r="W236" s="1148" t="s">
        <v>2810</v>
      </c>
      <c r="X236" s="1150" t="s">
        <v>1592</v>
      </c>
      <c r="Y236" s="1292">
        <v>1.6922</v>
      </c>
      <c r="Z236" s="1166">
        <f t="shared" si="65"/>
        <v>771.6432</v>
      </c>
      <c r="AA236" s="1289" t="s">
        <v>1788</v>
      </c>
      <c r="AB236" s="1137" t="s">
        <v>63</v>
      </c>
      <c r="AC236" s="1137" t="s">
        <v>2040</v>
      </c>
      <c r="AD236" s="1290">
        <v>456</v>
      </c>
      <c r="AE236" s="1289">
        <f t="shared" si="68"/>
        <v>0</v>
      </c>
      <c r="AF236" s="1291" t="s">
        <v>327</v>
      </c>
      <c r="AG236" s="1291"/>
      <c r="AH236" s="1188"/>
      <c r="AI236" s="1188"/>
      <c r="AJ236" s="1188">
        <f>J236</f>
        <v>456</v>
      </c>
      <c r="AK236" s="1371"/>
      <c r="AL236" s="1372"/>
      <c r="AM236" s="1371"/>
      <c r="AN236" s="1371"/>
      <c r="AO236" s="1384"/>
      <c r="AP236" s="1372"/>
      <c r="AQ236" s="1375"/>
      <c r="AR236" s="1338">
        <f t="shared" ref="AR236:AR293" si="69">J236</f>
        <v>456</v>
      </c>
      <c r="AS236" s="1384"/>
      <c r="AT236" s="1386"/>
      <c r="AU236" s="1387"/>
      <c r="AV236" s="1387"/>
      <c r="AW236" s="1172"/>
      <c r="AX236" s="1387"/>
      <c r="AY236" s="1387"/>
      <c r="AZ236" s="1387"/>
      <c r="BA236" s="1172"/>
      <c r="BB236" s="1172"/>
      <c r="BC236" s="1172"/>
      <c r="BD236" s="1172"/>
      <c r="BE236" s="1346"/>
      <c r="BF236" s="1346">
        <f t="shared" ref="BF236:BF245" si="70">J236</f>
        <v>456</v>
      </c>
      <c r="BG236" s="1344"/>
      <c r="BH236" s="1347"/>
      <c r="BI236" s="1399"/>
      <c r="BJ236" s="1399"/>
      <c r="BK236" s="1399"/>
    </row>
    <row r="237" s="1053" customFormat="1" ht="31" customHeight="1" spans="1:63">
      <c r="A237" s="1265">
        <v>45896</v>
      </c>
      <c r="B237" s="1266" t="s">
        <v>1701</v>
      </c>
      <c r="C237" s="1267" t="s">
        <v>91</v>
      </c>
      <c r="D237" s="1266">
        <v>4500178020</v>
      </c>
      <c r="E237" s="1269" t="s">
        <v>2811</v>
      </c>
      <c r="F237" s="1266" t="s">
        <v>2812</v>
      </c>
      <c r="G237" s="1101" t="s">
        <v>2390</v>
      </c>
      <c r="H237" s="1101" t="s">
        <v>2390</v>
      </c>
      <c r="I237" s="1270" t="s">
        <v>2063</v>
      </c>
      <c r="J237" s="1120">
        <v>816</v>
      </c>
      <c r="K237" s="1097">
        <v>0</v>
      </c>
      <c r="L237" s="1097">
        <v>24</v>
      </c>
      <c r="M237" s="1114">
        <f t="shared" si="67"/>
        <v>34</v>
      </c>
      <c r="N237" s="1117">
        <v>45939</v>
      </c>
      <c r="O237" s="1117">
        <v>45936</v>
      </c>
      <c r="P237" s="1272"/>
      <c r="Q237" s="1285" t="s">
        <v>1480</v>
      </c>
      <c r="R237" s="1408" t="s">
        <v>2803</v>
      </c>
      <c r="S237" s="1147" t="s">
        <v>1785</v>
      </c>
      <c r="T237" s="1364"/>
      <c r="U237" s="1405" t="s">
        <v>2804</v>
      </c>
      <c r="V237" s="1402" t="s">
        <v>2805</v>
      </c>
      <c r="W237" s="1148" t="s">
        <v>2813</v>
      </c>
      <c r="X237" s="1150" t="s">
        <v>1592</v>
      </c>
      <c r="Y237" s="1292">
        <v>1.702</v>
      </c>
      <c r="Z237" s="1166">
        <f t="shared" si="65"/>
        <v>1388.832</v>
      </c>
      <c r="AA237" s="1289" t="s">
        <v>1795</v>
      </c>
      <c r="AB237" s="1137" t="s">
        <v>63</v>
      </c>
      <c r="AC237" s="1137" t="s">
        <v>2040</v>
      </c>
      <c r="AD237" s="1290">
        <v>816</v>
      </c>
      <c r="AE237" s="1289">
        <f t="shared" si="68"/>
        <v>0</v>
      </c>
      <c r="AF237" s="1291" t="s">
        <v>327</v>
      </c>
      <c r="AG237" s="1291"/>
      <c r="AH237" s="1188"/>
      <c r="AI237" s="1188">
        <f>J237</f>
        <v>816</v>
      </c>
      <c r="AJ237" s="1188"/>
      <c r="AK237" s="1416"/>
      <c r="AL237" s="1417"/>
      <c r="AM237" s="1416"/>
      <c r="AN237" s="1416"/>
      <c r="AO237" s="1425"/>
      <c r="AP237" s="1417"/>
      <c r="AQ237" s="1426"/>
      <c r="AR237" s="1338">
        <f t="shared" si="69"/>
        <v>816</v>
      </c>
      <c r="AS237" s="1425"/>
      <c r="AT237" s="1427"/>
      <c r="AU237" s="1428"/>
      <c r="AV237" s="1428"/>
      <c r="AW237" s="1172"/>
      <c r="AX237" s="1428"/>
      <c r="AY237" s="1428"/>
      <c r="AZ237" s="1428"/>
      <c r="BA237" s="1172"/>
      <c r="BB237" s="1172"/>
      <c r="BC237" s="1172"/>
      <c r="BD237" s="1172"/>
      <c r="BE237" s="1346"/>
      <c r="BF237" s="1346">
        <f t="shared" si="70"/>
        <v>816</v>
      </c>
      <c r="BG237" s="1344"/>
      <c r="BH237" s="1347"/>
      <c r="BI237" s="1435"/>
      <c r="BJ237" s="1435"/>
      <c r="BK237" s="1435"/>
    </row>
    <row r="238" s="1053" customFormat="1" ht="31" customHeight="1" spans="1:63">
      <c r="A238" s="1265">
        <v>45896</v>
      </c>
      <c r="B238" s="1266" t="s">
        <v>1701</v>
      </c>
      <c r="C238" s="1267" t="s">
        <v>91</v>
      </c>
      <c r="D238" s="1266">
        <v>4500178020</v>
      </c>
      <c r="E238" s="1269" t="s">
        <v>2814</v>
      </c>
      <c r="F238" s="1266" t="s">
        <v>2815</v>
      </c>
      <c r="G238" s="1101" t="s">
        <v>2390</v>
      </c>
      <c r="H238" s="1101" t="s">
        <v>2390</v>
      </c>
      <c r="I238" s="1270" t="s">
        <v>2063</v>
      </c>
      <c r="J238" s="1120">
        <v>696</v>
      </c>
      <c r="K238" s="1097">
        <v>0</v>
      </c>
      <c r="L238" s="1097">
        <v>24</v>
      </c>
      <c r="M238" s="1114">
        <f t="shared" si="67"/>
        <v>29</v>
      </c>
      <c r="N238" s="1117">
        <v>45939</v>
      </c>
      <c r="O238" s="1117">
        <v>45936</v>
      </c>
      <c r="P238" s="1272"/>
      <c r="Q238" s="1285" t="s">
        <v>1480</v>
      </c>
      <c r="R238" s="1408" t="s">
        <v>2803</v>
      </c>
      <c r="S238" s="1147" t="s">
        <v>1785</v>
      </c>
      <c r="T238" s="1364"/>
      <c r="U238" s="1405" t="s">
        <v>2804</v>
      </c>
      <c r="V238" s="1402" t="s">
        <v>2805</v>
      </c>
      <c r="W238" s="1148" t="s">
        <v>2813</v>
      </c>
      <c r="X238" s="1150" t="s">
        <v>1592</v>
      </c>
      <c r="Y238" s="1292">
        <v>1.702</v>
      </c>
      <c r="Z238" s="1166">
        <f t="shared" si="65"/>
        <v>1184.592</v>
      </c>
      <c r="AA238" s="1289" t="s">
        <v>1795</v>
      </c>
      <c r="AB238" s="1137" t="s">
        <v>63</v>
      </c>
      <c r="AC238" s="1137" t="s">
        <v>2040</v>
      </c>
      <c r="AD238" s="1290">
        <v>696</v>
      </c>
      <c r="AE238" s="1289">
        <f t="shared" si="68"/>
        <v>0</v>
      </c>
      <c r="AF238" s="1291" t="s">
        <v>327</v>
      </c>
      <c r="AG238" s="1291"/>
      <c r="AH238" s="1188"/>
      <c r="AI238" s="1188">
        <f>J238</f>
        <v>696</v>
      </c>
      <c r="AJ238" s="1188"/>
      <c r="AK238" s="1416"/>
      <c r="AL238" s="1417"/>
      <c r="AM238" s="1416"/>
      <c r="AN238" s="1416"/>
      <c r="AO238" s="1425"/>
      <c r="AP238" s="1417"/>
      <c r="AQ238" s="1426"/>
      <c r="AR238" s="1338">
        <f t="shared" si="69"/>
        <v>696</v>
      </c>
      <c r="AS238" s="1425"/>
      <c r="AT238" s="1427"/>
      <c r="AU238" s="1428"/>
      <c r="AV238" s="1428"/>
      <c r="AW238" s="1172"/>
      <c r="AX238" s="1428"/>
      <c r="AY238" s="1428"/>
      <c r="AZ238" s="1428"/>
      <c r="BA238" s="1172"/>
      <c r="BB238" s="1172"/>
      <c r="BC238" s="1172"/>
      <c r="BD238" s="1172"/>
      <c r="BE238" s="1346"/>
      <c r="BF238" s="1346">
        <f t="shared" si="70"/>
        <v>696</v>
      </c>
      <c r="BG238" s="1344"/>
      <c r="BH238" s="1347"/>
      <c r="BI238" s="1435"/>
      <c r="BJ238" s="1435"/>
      <c r="BK238" s="1435"/>
    </row>
    <row r="239" s="1053" customFormat="1" ht="31" customHeight="1" spans="1:63">
      <c r="A239" s="1265">
        <v>45896</v>
      </c>
      <c r="B239" s="1266" t="s">
        <v>1701</v>
      </c>
      <c r="C239" s="1267" t="s">
        <v>91</v>
      </c>
      <c r="D239" s="1266">
        <v>4500178020</v>
      </c>
      <c r="E239" s="1269" t="s">
        <v>2816</v>
      </c>
      <c r="F239" s="1266" t="s">
        <v>2817</v>
      </c>
      <c r="G239" s="1101" t="s">
        <v>2109</v>
      </c>
      <c r="H239" s="1101" t="s">
        <v>2109</v>
      </c>
      <c r="I239" s="1098" t="s">
        <v>2042</v>
      </c>
      <c r="J239" s="1120">
        <v>768</v>
      </c>
      <c r="K239" s="1097">
        <v>0</v>
      </c>
      <c r="L239" s="1097">
        <v>24</v>
      </c>
      <c r="M239" s="1114">
        <f t="shared" si="67"/>
        <v>32</v>
      </c>
      <c r="N239" s="1117">
        <v>45939</v>
      </c>
      <c r="O239" s="1117">
        <v>45936</v>
      </c>
      <c r="P239" s="1272"/>
      <c r="Q239" s="1285" t="s">
        <v>1480</v>
      </c>
      <c r="R239" s="1408" t="s">
        <v>2803</v>
      </c>
      <c r="S239" s="1147" t="s">
        <v>1785</v>
      </c>
      <c r="T239" s="1364"/>
      <c r="U239" s="1405" t="s">
        <v>2809</v>
      </c>
      <c r="V239" s="1402" t="s">
        <v>2805</v>
      </c>
      <c r="W239" s="1148" t="s">
        <v>2818</v>
      </c>
      <c r="X239" s="1150" t="s">
        <v>1592</v>
      </c>
      <c r="Y239" s="1292">
        <v>1.6694</v>
      </c>
      <c r="Z239" s="1166">
        <f t="shared" si="65"/>
        <v>1282.0992</v>
      </c>
      <c r="AA239" s="1289" t="s">
        <v>1795</v>
      </c>
      <c r="AB239" s="1137" t="s">
        <v>63</v>
      </c>
      <c r="AC239" s="1137" t="s">
        <v>2040</v>
      </c>
      <c r="AD239" s="1290">
        <v>768</v>
      </c>
      <c r="AE239" s="1289">
        <f t="shared" si="68"/>
        <v>0</v>
      </c>
      <c r="AF239" s="1291" t="s">
        <v>327</v>
      </c>
      <c r="AG239" s="1291"/>
      <c r="AH239" s="1188"/>
      <c r="AI239" s="1188"/>
      <c r="AJ239" s="1188">
        <f>J239</f>
        <v>768</v>
      </c>
      <c r="AK239" s="1416"/>
      <c r="AL239" s="1417"/>
      <c r="AM239" s="1416"/>
      <c r="AN239" s="1416"/>
      <c r="AO239" s="1425"/>
      <c r="AP239" s="1417"/>
      <c r="AQ239" s="1426"/>
      <c r="AR239" s="1338">
        <f t="shared" si="69"/>
        <v>768</v>
      </c>
      <c r="AS239" s="1425"/>
      <c r="AT239" s="1427"/>
      <c r="AU239" s="1428"/>
      <c r="AV239" s="1428"/>
      <c r="AW239" s="1172"/>
      <c r="AX239" s="1428"/>
      <c r="AY239" s="1428"/>
      <c r="AZ239" s="1428"/>
      <c r="BA239" s="1172"/>
      <c r="BB239" s="1172"/>
      <c r="BC239" s="1172"/>
      <c r="BD239" s="1172"/>
      <c r="BE239" s="1346"/>
      <c r="BF239" s="1346">
        <f t="shared" si="70"/>
        <v>768</v>
      </c>
      <c r="BG239" s="1344"/>
      <c r="BH239" s="1347"/>
      <c r="BI239" s="1435"/>
      <c r="BJ239" s="1435"/>
      <c r="BK239" s="1435"/>
    </row>
    <row r="240" s="1053" customFormat="1" ht="31" customHeight="1" spans="1:63">
      <c r="A240" s="1265">
        <v>45896</v>
      </c>
      <c r="B240" s="1266" t="s">
        <v>1701</v>
      </c>
      <c r="C240" s="1267" t="s">
        <v>91</v>
      </c>
      <c r="D240" s="1266">
        <v>4500178020</v>
      </c>
      <c r="E240" s="1269" t="s">
        <v>2819</v>
      </c>
      <c r="F240" s="1266" t="s">
        <v>2820</v>
      </c>
      <c r="G240" s="1101" t="s">
        <v>2109</v>
      </c>
      <c r="H240" s="1101" t="s">
        <v>2109</v>
      </c>
      <c r="I240" s="1098" t="s">
        <v>2042</v>
      </c>
      <c r="J240" s="1120">
        <v>888</v>
      </c>
      <c r="K240" s="1097">
        <v>0</v>
      </c>
      <c r="L240" s="1097">
        <v>24</v>
      </c>
      <c r="M240" s="1114">
        <f t="shared" si="67"/>
        <v>37</v>
      </c>
      <c r="N240" s="1117">
        <v>45939</v>
      </c>
      <c r="O240" s="1117">
        <v>45936</v>
      </c>
      <c r="P240" s="1272"/>
      <c r="Q240" s="1285" t="s">
        <v>1480</v>
      </c>
      <c r="R240" s="1408" t="s">
        <v>2803</v>
      </c>
      <c r="S240" s="1147" t="s">
        <v>1785</v>
      </c>
      <c r="T240" s="1364"/>
      <c r="U240" s="1405" t="s">
        <v>2809</v>
      </c>
      <c r="V240" s="1402" t="s">
        <v>2805</v>
      </c>
      <c r="W240" s="1148" t="s">
        <v>2818</v>
      </c>
      <c r="X240" s="1150" t="s">
        <v>1592</v>
      </c>
      <c r="Y240" s="1292">
        <v>1.6694</v>
      </c>
      <c r="Z240" s="1166">
        <f t="shared" si="65"/>
        <v>1482.4272</v>
      </c>
      <c r="AA240" s="1289" t="s">
        <v>1795</v>
      </c>
      <c r="AB240" s="1137" t="s">
        <v>63</v>
      </c>
      <c r="AC240" s="1137" t="s">
        <v>2040</v>
      </c>
      <c r="AD240" s="1290">
        <v>888</v>
      </c>
      <c r="AE240" s="1289">
        <f t="shared" si="68"/>
        <v>0</v>
      </c>
      <c r="AF240" s="1291" t="s">
        <v>327</v>
      </c>
      <c r="AG240" s="1291"/>
      <c r="AH240" s="1188"/>
      <c r="AI240" s="1188"/>
      <c r="AJ240" s="1188">
        <f>J240</f>
        <v>888</v>
      </c>
      <c r="AK240" s="1416"/>
      <c r="AL240" s="1417"/>
      <c r="AM240" s="1416"/>
      <c r="AN240" s="1416"/>
      <c r="AO240" s="1425"/>
      <c r="AP240" s="1417"/>
      <c r="AQ240" s="1426"/>
      <c r="AR240" s="1338">
        <f t="shared" si="69"/>
        <v>888</v>
      </c>
      <c r="AS240" s="1425"/>
      <c r="AT240" s="1427"/>
      <c r="AU240" s="1428"/>
      <c r="AV240" s="1428"/>
      <c r="AW240" s="1172"/>
      <c r="AX240" s="1428"/>
      <c r="AY240" s="1428"/>
      <c r="AZ240" s="1428"/>
      <c r="BA240" s="1172"/>
      <c r="BB240" s="1172"/>
      <c r="BC240" s="1172"/>
      <c r="BD240" s="1172"/>
      <c r="BE240" s="1346"/>
      <c r="BF240" s="1346">
        <f t="shared" si="70"/>
        <v>888</v>
      </c>
      <c r="BG240" s="1344"/>
      <c r="BH240" s="1347"/>
      <c r="BI240" s="1435"/>
      <c r="BJ240" s="1435"/>
      <c r="BK240" s="1435"/>
    </row>
    <row r="241" s="1053" customFormat="1" ht="31" customHeight="1" spans="1:63">
      <c r="A241" s="1265">
        <v>45896</v>
      </c>
      <c r="B241" s="1266" t="s">
        <v>1701</v>
      </c>
      <c r="C241" s="1267" t="s">
        <v>91</v>
      </c>
      <c r="D241" s="1266">
        <v>4500177996</v>
      </c>
      <c r="E241" s="1269" t="s">
        <v>2821</v>
      </c>
      <c r="F241" s="1266" t="s">
        <v>2822</v>
      </c>
      <c r="G241" s="1101" t="s">
        <v>2390</v>
      </c>
      <c r="H241" s="1101" t="s">
        <v>2390</v>
      </c>
      <c r="I241" s="1270" t="s">
        <v>2063</v>
      </c>
      <c r="J241" s="1120">
        <v>384</v>
      </c>
      <c r="K241" s="1097">
        <v>0</v>
      </c>
      <c r="L241" s="1097">
        <v>24</v>
      </c>
      <c r="M241" s="1114">
        <f t="shared" si="67"/>
        <v>16</v>
      </c>
      <c r="N241" s="1117">
        <v>45939</v>
      </c>
      <c r="O241" s="1117">
        <v>45936</v>
      </c>
      <c r="P241" s="1272"/>
      <c r="Q241" s="1285" t="s">
        <v>1480</v>
      </c>
      <c r="R241" s="1408" t="s">
        <v>2803</v>
      </c>
      <c r="S241" s="1147" t="s">
        <v>1785</v>
      </c>
      <c r="T241" s="1364"/>
      <c r="U241" s="1405" t="s">
        <v>2823</v>
      </c>
      <c r="V241" s="1402" t="s">
        <v>2805</v>
      </c>
      <c r="W241" s="1148" t="s">
        <v>2813</v>
      </c>
      <c r="X241" s="1150" t="s">
        <v>1592</v>
      </c>
      <c r="Y241" s="1292">
        <v>1.7253</v>
      </c>
      <c r="Z241" s="1166">
        <f t="shared" si="65"/>
        <v>662.5152</v>
      </c>
      <c r="AA241" s="1289" t="s">
        <v>1799</v>
      </c>
      <c r="AB241" s="1137" t="s">
        <v>63</v>
      </c>
      <c r="AC241" s="1137" t="s">
        <v>2040</v>
      </c>
      <c r="AD241" s="1290">
        <v>384</v>
      </c>
      <c r="AE241" s="1289">
        <f t="shared" si="68"/>
        <v>0</v>
      </c>
      <c r="AF241" s="1291" t="s">
        <v>327</v>
      </c>
      <c r="AG241" s="1291"/>
      <c r="AH241" s="1188"/>
      <c r="AI241" s="1188">
        <f>J241</f>
        <v>384</v>
      </c>
      <c r="AJ241" s="1188"/>
      <c r="AK241" s="1416"/>
      <c r="AL241" s="1417"/>
      <c r="AM241" s="1416"/>
      <c r="AN241" s="1416"/>
      <c r="AO241" s="1425"/>
      <c r="AP241" s="1417"/>
      <c r="AQ241" s="1426"/>
      <c r="AR241" s="1338">
        <f t="shared" si="69"/>
        <v>384</v>
      </c>
      <c r="AS241" s="1425"/>
      <c r="AT241" s="1427"/>
      <c r="AU241" s="1428"/>
      <c r="AV241" s="1428"/>
      <c r="AW241" s="1172"/>
      <c r="AX241" s="1428"/>
      <c r="AY241" s="1428"/>
      <c r="AZ241" s="1428"/>
      <c r="BA241" s="1172"/>
      <c r="BB241" s="1172"/>
      <c r="BC241" s="1172"/>
      <c r="BD241" s="1172"/>
      <c r="BE241" s="1346"/>
      <c r="BF241" s="1346">
        <f t="shared" si="70"/>
        <v>384</v>
      </c>
      <c r="BG241" s="1344"/>
      <c r="BH241" s="1347"/>
      <c r="BI241" s="1435"/>
      <c r="BJ241" s="1435"/>
      <c r="BK241" s="1435"/>
    </row>
    <row r="242" s="1053" customFormat="1" ht="31" customHeight="1" spans="1:63">
      <c r="A242" s="1265">
        <v>45896</v>
      </c>
      <c r="B242" s="1266" t="s">
        <v>1701</v>
      </c>
      <c r="C242" s="1267" t="s">
        <v>91</v>
      </c>
      <c r="D242" s="1266">
        <v>4500177996</v>
      </c>
      <c r="E242" s="1269" t="s">
        <v>2824</v>
      </c>
      <c r="F242" s="1266" t="s">
        <v>2825</v>
      </c>
      <c r="G242" s="1101" t="s">
        <v>2109</v>
      </c>
      <c r="H242" s="1101" t="s">
        <v>2109</v>
      </c>
      <c r="I242" s="1098" t="s">
        <v>2042</v>
      </c>
      <c r="J242" s="1120">
        <v>408</v>
      </c>
      <c r="K242" s="1097">
        <v>0</v>
      </c>
      <c r="L242" s="1097">
        <v>24</v>
      </c>
      <c r="M242" s="1114">
        <f t="shared" si="67"/>
        <v>17</v>
      </c>
      <c r="N242" s="1117">
        <v>45939</v>
      </c>
      <c r="O242" s="1117">
        <v>45936</v>
      </c>
      <c r="P242" s="1272"/>
      <c r="Q242" s="1285" t="s">
        <v>1480</v>
      </c>
      <c r="R242" s="1408" t="s">
        <v>2803</v>
      </c>
      <c r="S242" s="1147" t="s">
        <v>1785</v>
      </c>
      <c r="T242" s="1364"/>
      <c r="U242" s="1405" t="s">
        <v>2809</v>
      </c>
      <c r="V242" s="1402" t="s">
        <v>2805</v>
      </c>
      <c r="W242" s="1148" t="s">
        <v>2826</v>
      </c>
      <c r="X242" s="1150" t="s">
        <v>1592</v>
      </c>
      <c r="Y242" s="1292">
        <v>1.6922</v>
      </c>
      <c r="Z242" s="1166">
        <f t="shared" si="65"/>
        <v>690.4176</v>
      </c>
      <c r="AA242" s="1289" t="s">
        <v>1799</v>
      </c>
      <c r="AB242" s="1137" t="s">
        <v>63</v>
      </c>
      <c r="AC242" s="1137" t="s">
        <v>2040</v>
      </c>
      <c r="AD242" s="1290">
        <v>408</v>
      </c>
      <c r="AE242" s="1289">
        <f t="shared" si="68"/>
        <v>0</v>
      </c>
      <c r="AF242" s="1291" t="s">
        <v>327</v>
      </c>
      <c r="AG242" s="1291"/>
      <c r="AH242" s="1188"/>
      <c r="AI242" s="1188"/>
      <c r="AJ242" s="1188">
        <f>J242</f>
        <v>408</v>
      </c>
      <c r="AK242" s="1416"/>
      <c r="AL242" s="1417"/>
      <c r="AM242" s="1416"/>
      <c r="AN242" s="1416"/>
      <c r="AO242" s="1425"/>
      <c r="AP242" s="1417"/>
      <c r="AQ242" s="1426"/>
      <c r="AR242" s="1338">
        <f t="shared" si="69"/>
        <v>408</v>
      </c>
      <c r="AS242" s="1425"/>
      <c r="AT242" s="1427"/>
      <c r="AU242" s="1428"/>
      <c r="AV242" s="1428"/>
      <c r="AW242" s="1172"/>
      <c r="AX242" s="1428"/>
      <c r="AY242" s="1428"/>
      <c r="AZ242" s="1428"/>
      <c r="BA242" s="1172"/>
      <c r="BB242" s="1172"/>
      <c r="BC242" s="1172"/>
      <c r="BD242" s="1172"/>
      <c r="BE242" s="1346"/>
      <c r="BF242" s="1346">
        <f t="shared" si="70"/>
        <v>408</v>
      </c>
      <c r="BG242" s="1344"/>
      <c r="BH242" s="1347"/>
      <c r="BI242" s="1435"/>
      <c r="BJ242" s="1435"/>
      <c r="BK242" s="1435"/>
    </row>
    <row r="243" s="1053" customFormat="1" ht="31" customHeight="1" spans="1:63">
      <c r="A243" s="1265">
        <v>45896</v>
      </c>
      <c r="B243" s="1266" t="s">
        <v>1701</v>
      </c>
      <c r="C243" s="1267" t="s">
        <v>91</v>
      </c>
      <c r="D243" s="1266">
        <v>4500177996</v>
      </c>
      <c r="E243" s="1269" t="s">
        <v>2827</v>
      </c>
      <c r="F243" s="1266" t="s">
        <v>2828</v>
      </c>
      <c r="G243" s="1101" t="s">
        <v>2109</v>
      </c>
      <c r="H243" s="1101" t="s">
        <v>2109</v>
      </c>
      <c r="I243" s="1098" t="s">
        <v>2042</v>
      </c>
      <c r="J243" s="1120">
        <v>24</v>
      </c>
      <c r="K243" s="1097">
        <v>0</v>
      </c>
      <c r="L243" s="1097">
        <v>24</v>
      </c>
      <c r="M243" s="1114">
        <f t="shared" si="67"/>
        <v>1</v>
      </c>
      <c r="N243" s="1117">
        <v>45939</v>
      </c>
      <c r="O243" s="1117">
        <v>45936</v>
      </c>
      <c r="P243" s="1272"/>
      <c r="Q243" s="1285" t="s">
        <v>1480</v>
      </c>
      <c r="R243" s="1408" t="s">
        <v>2803</v>
      </c>
      <c r="S243" s="1147" t="s">
        <v>1785</v>
      </c>
      <c r="T243" s="1364"/>
      <c r="U243" s="1405" t="s">
        <v>2809</v>
      </c>
      <c r="V243" s="1402" t="s">
        <v>2805</v>
      </c>
      <c r="W243" s="1148" t="s">
        <v>2826</v>
      </c>
      <c r="X243" s="1150" t="s">
        <v>1592</v>
      </c>
      <c r="Y243" s="1292">
        <v>1.6921</v>
      </c>
      <c r="Z243" s="1166">
        <f t="shared" si="65"/>
        <v>40.6104</v>
      </c>
      <c r="AA243" s="1289" t="s">
        <v>1799</v>
      </c>
      <c r="AB243" s="1137" t="s">
        <v>63</v>
      </c>
      <c r="AC243" s="1137" t="s">
        <v>2040</v>
      </c>
      <c r="AD243" s="1290">
        <v>24</v>
      </c>
      <c r="AE243" s="1289">
        <f t="shared" si="68"/>
        <v>0</v>
      </c>
      <c r="AF243" s="1291" t="s">
        <v>327</v>
      </c>
      <c r="AG243" s="1291"/>
      <c r="AH243" s="1188"/>
      <c r="AI243" s="1188"/>
      <c r="AJ243" s="1188">
        <f>J243</f>
        <v>24</v>
      </c>
      <c r="AK243" s="1416"/>
      <c r="AL243" s="1417"/>
      <c r="AM243" s="1416"/>
      <c r="AN243" s="1416"/>
      <c r="AO243" s="1425"/>
      <c r="AP243" s="1417"/>
      <c r="AQ243" s="1426"/>
      <c r="AR243" s="1338">
        <f t="shared" si="69"/>
        <v>24</v>
      </c>
      <c r="AS243" s="1425"/>
      <c r="AT243" s="1427"/>
      <c r="AU243" s="1428"/>
      <c r="AV243" s="1428"/>
      <c r="AW243" s="1172"/>
      <c r="AX243" s="1428"/>
      <c r="AY243" s="1428"/>
      <c r="AZ243" s="1428"/>
      <c r="BA243" s="1172"/>
      <c r="BB243" s="1172"/>
      <c r="BC243" s="1172"/>
      <c r="BD243" s="1172"/>
      <c r="BE243" s="1346"/>
      <c r="BF243" s="1346">
        <f t="shared" si="70"/>
        <v>24</v>
      </c>
      <c r="BG243" s="1344"/>
      <c r="BH243" s="1347"/>
      <c r="BI243" s="1435"/>
      <c r="BJ243" s="1435"/>
      <c r="BK243" s="1435"/>
    </row>
    <row r="244" s="1053" customFormat="1" ht="31" customHeight="1" spans="1:63">
      <c r="A244" s="1265">
        <v>45896</v>
      </c>
      <c r="B244" s="1266" t="s">
        <v>1701</v>
      </c>
      <c r="C244" s="1267" t="s">
        <v>91</v>
      </c>
      <c r="D244" s="1266">
        <v>4500177996</v>
      </c>
      <c r="E244" s="1269" t="s">
        <v>2829</v>
      </c>
      <c r="F244" s="1266" t="s">
        <v>2830</v>
      </c>
      <c r="G244" s="1101" t="s">
        <v>2109</v>
      </c>
      <c r="H244" s="1101" t="s">
        <v>2109</v>
      </c>
      <c r="I244" s="1098" t="s">
        <v>2042</v>
      </c>
      <c r="J244" s="1120">
        <v>552</v>
      </c>
      <c r="K244" s="1097">
        <v>0</v>
      </c>
      <c r="L244" s="1097">
        <v>24</v>
      </c>
      <c r="M244" s="1114">
        <f t="shared" si="67"/>
        <v>23</v>
      </c>
      <c r="N244" s="1117">
        <v>45939</v>
      </c>
      <c r="O244" s="1117">
        <v>45936</v>
      </c>
      <c r="P244" s="1272"/>
      <c r="Q244" s="1285" t="s">
        <v>1480</v>
      </c>
      <c r="R244" s="1408" t="s">
        <v>2803</v>
      </c>
      <c r="S244" s="1147" t="s">
        <v>1785</v>
      </c>
      <c r="T244" s="1364"/>
      <c r="U244" s="1405" t="s">
        <v>2809</v>
      </c>
      <c r="V244" s="1402" t="s">
        <v>2805</v>
      </c>
      <c r="W244" s="1148" t="s">
        <v>2826</v>
      </c>
      <c r="X244" s="1150" t="s">
        <v>1592</v>
      </c>
      <c r="Y244" s="1292">
        <v>1.6922</v>
      </c>
      <c r="Z244" s="1166">
        <f t="shared" si="65"/>
        <v>934.0944</v>
      </c>
      <c r="AA244" s="1289" t="s">
        <v>1799</v>
      </c>
      <c r="AB244" s="1137" t="s">
        <v>63</v>
      </c>
      <c r="AC244" s="1137" t="s">
        <v>2040</v>
      </c>
      <c r="AD244" s="1290">
        <v>552</v>
      </c>
      <c r="AE244" s="1289">
        <f t="shared" si="68"/>
        <v>0</v>
      </c>
      <c r="AF244" s="1291" t="s">
        <v>327</v>
      </c>
      <c r="AG244" s="1291"/>
      <c r="AH244" s="1188"/>
      <c r="AI244" s="1188"/>
      <c r="AJ244" s="1188">
        <f>J244</f>
        <v>552</v>
      </c>
      <c r="AK244" s="1416"/>
      <c r="AL244" s="1417"/>
      <c r="AM244" s="1416"/>
      <c r="AN244" s="1416"/>
      <c r="AO244" s="1425"/>
      <c r="AP244" s="1417"/>
      <c r="AQ244" s="1426"/>
      <c r="AR244" s="1338">
        <f t="shared" si="69"/>
        <v>552</v>
      </c>
      <c r="AS244" s="1425"/>
      <c r="AT244" s="1427"/>
      <c r="AU244" s="1428"/>
      <c r="AV244" s="1428"/>
      <c r="AW244" s="1172"/>
      <c r="AX244" s="1428"/>
      <c r="AY244" s="1428"/>
      <c r="AZ244" s="1428"/>
      <c r="BA244" s="1172"/>
      <c r="BB244" s="1172"/>
      <c r="BC244" s="1172"/>
      <c r="BD244" s="1172"/>
      <c r="BE244" s="1346"/>
      <c r="BF244" s="1346">
        <f t="shared" si="70"/>
        <v>552</v>
      </c>
      <c r="BG244" s="1344"/>
      <c r="BH244" s="1347"/>
      <c r="BI244" s="1435"/>
      <c r="BJ244" s="1435"/>
      <c r="BK244" s="1435"/>
    </row>
    <row r="245" s="1053" customFormat="1" ht="31" customHeight="1" spans="1:63">
      <c r="A245" s="1265">
        <v>45896</v>
      </c>
      <c r="B245" s="1266" t="s">
        <v>1701</v>
      </c>
      <c r="C245" s="1267" t="s">
        <v>91</v>
      </c>
      <c r="D245" s="1266">
        <v>4500177996</v>
      </c>
      <c r="E245" s="1269" t="s">
        <v>2831</v>
      </c>
      <c r="F245" s="1266" t="s">
        <v>2832</v>
      </c>
      <c r="G245" s="1101" t="s">
        <v>2390</v>
      </c>
      <c r="H245" s="1101" t="s">
        <v>2390</v>
      </c>
      <c r="I245" s="1270" t="s">
        <v>2063</v>
      </c>
      <c r="J245" s="1120">
        <v>432</v>
      </c>
      <c r="K245" s="1097">
        <v>0</v>
      </c>
      <c r="L245" s="1097">
        <v>24</v>
      </c>
      <c r="M245" s="1114">
        <f t="shared" si="67"/>
        <v>18</v>
      </c>
      <c r="N245" s="1117">
        <v>45939</v>
      </c>
      <c r="O245" s="1117">
        <v>45936</v>
      </c>
      <c r="P245" s="1272"/>
      <c r="Q245" s="1285" t="s">
        <v>1480</v>
      </c>
      <c r="R245" s="1408" t="s">
        <v>2803</v>
      </c>
      <c r="S245" s="1147" t="s">
        <v>1785</v>
      </c>
      <c r="T245" s="1364"/>
      <c r="U245" s="1405" t="s">
        <v>2823</v>
      </c>
      <c r="V245" s="1402" t="s">
        <v>2805</v>
      </c>
      <c r="W245" s="1148" t="s">
        <v>2813</v>
      </c>
      <c r="X245" s="1150" t="s">
        <v>1592</v>
      </c>
      <c r="Y245" s="1292">
        <v>1.7253</v>
      </c>
      <c r="Z245" s="1166">
        <f t="shared" si="65"/>
        <v>745.3296</v>
      </c>
      <c r="AA245" s="1289" t="s">
        <v>1799</v>
      </c>
      <c r="AB245" s="1137" t="s">
        <v>63</v>
      </c>
      <c r="AC245" s="1137" t="s">
        <v>2040</v>
      </c>
      <c r="AD245" s="1290">
        <v>432</v>
      </c>
      <c r="AE245" s="1289">
        <f t="shared" si="68"/>
        <v>0</v>
      </c>
      <c r="AF245" s="1291" t="s">
        <v>327</v>
      </c>
      <c r="AG245" s="1291"/>
      <c r="AH245" s="1188"/>
      <c r="AI245" s="1188">
        <f>J245</f>
        <v>432</v>
      </c>
      <c r="AJ245" s="1188"/>
      <c r="AK245" s="1416"/>
      <c r="AL245" s="1417"/>
      <c r="AM245" s="1416"/>
      <c r="AN245" s="1416"/>
      <c r="AO245" s="1425"/>
      <c r="AP245" s="1417"/>
      <c r="AQ245" s="1426"/>
      <c r="AR245" s="1338">
        <f t="shared" si="69"/>
        <v>432</v>
      </c>
      <c r="AS245" s="1425"/>
      <c r="AT245" s="1427"/>
      <c r="AU245" s="1428"/>
      <c r="AV245" s="1428"/>
      <c r="AW245" s="1172"/>
      <c r="AX245" s="1428"/>
      <c r="AY245" s="1428"/>
      <c r="AZ245" s="1428"/>
      <c r="BA245" s="1172"/>
      <c r="BB245" s="1172"/>
      <c r="BC245" s="1172"/>
      <c r="BD245" s="1172"/>
      <c r="BE245" s="1346"/>
      <c r="BF245" s="1346">
        <f t="shared" si="70"/>
        <v>432</v>
      </c>
      <c r="BG245" s="1344"/>
      <c r="BH245" s="1347"/>
      <c r="BI245" s="1435"/>
      <c r="BJ245" s="1435"/>
      <c r="BK245" s="1435"/>
    </row>
    <row r="246" s="1053" customFormat="1" ht="31" customHeight="1" spans="1:63">
      <c r="A246" s="1265">
        <v>45891</v>
      </c>
      <c r="B246" s="1266" t="s">
        <v>2833</v>
      </c>
      <c r="C246" s="1267" t="s">
        <v>2370</v>
      </c>
      <c r="D246" s="1266">
        <v>4500177534</v>
      </c>
      <c r="E246" s="1269"/>
      <c r="F246" s="1266" t="s">
        <v>2834</v>
      </c>
      <c r="G246" s="1097" t="s">
        <v>2118</v>
      </c>
      <c r="H246" s="1101" t="s">
        <v>2118</v>
      </c>
      <c r="I246" s="1098" t="s">
        <v>2119</v>
      </c>
      <c r="J246" s="1120">
        <v>120</v>
      </c>
      <c r="K246" s="1097">
        <v>0</v>
      </c>
      <c r="L246" s="1097">
        <v>12</v>
      </c>
      <c r="M246" s="1114">
        <f t="shared" si="67"/>
        <v>10</v>
      </c>
      <c r="N246" s="1117">
        <v>45940</v>
      </c>
      <c r="O246" s="1117">
        <v>45936</v>
      </c>
      <c r="P246" s="1272"/>
      <c r="Q246" s="1285" t="s">
        <v>1480</v>
      </c>
      <c r="R246" s="1280" t="s">
        <v>2835</v>
      </c>
      <c r="S246" s="1147" t="s">
        <v>2836</v>
      </c>
      <c r="T246" s="1364"/>
      <c r="U246" s="1406" t="s">
        <v>2837</v>
      </c>
      <c r="V246" s="1402" t="s">
        <v>2838</v>
      </c>
      <c r="W246" s="1148" t="s">
        <v>2839</v>
      </c>
      <c r="X246" s="1150" t="s">
        <v>508</v>
      </c>
      <c r="Y246" s="1292">
        <v>3.0033</v>
      </c>
      <c r="Z246" s="1166">
        <f t="shared" si="65"/>
        <v>360.396</v>
      </c>
      <c r="AA246" s="1289"/>
      <c r="AB246" s="1137" t="s">
        <v>63</v>
      </c>
      <c r="AC246" s="1137" t="s">
        <v>2040</v>
      </c>
      <c r="AD246" s="1290">
        <v>120</v>
      </c>
      <c r="AE246" s="1289">
        <f t="shared" si="68"/>
        <v>0</v>
      </c>
      <c r="AF246" s="1291" t="s">
        <v>327</v>
      </c>
      <c r="AG246" s="1291"/>
      <c r="AH246" s="1188">
        <f>J246/3</f>
        <v>40</v>
      </c>
      <c r="AI246" s="1188">
        <f>J246/3</f>
        <v>40</v>
      </c>
      <c r="AJ246" s="1188">
        <f>J246/3</f>
        <v>40</v>
      </c>
      <c r="AK246" s="1418"/>
      <c r="AL246" s="1337"/>
      <c r="AM246" s="1418"/>
      <c r="AN246" s="1418"/>
      <c r="AO246" s="1430"/>
      <c r="AP246" s="1337"/>
      <c r="AQ246" s="1431"/>
      <c r="AR246" s="1338">
        <f t="shared" si="69"/>
        <v>120</v>
      </c>
      <c r="AS246" s="1430"/>
      <c r="AT246" s="1432"/>
      <c r="AU246" s="1433"/>
      <c r="AV246" s="1433"/>
      <c r="AW246" s="1172">
        <f>J246</f>
        <v>120</v>
      </c>
      <c r="AX246" s="1433"/>
      <c r="AY246" s="1433"/>
      <c r="AZ246" s="1433"/>
      <c r="BA246" s="1172"/>
      <c r="BB246" s="1172"/>
      <c r="BC246" s="1172"/>
      <c r="BD246" s="1172"/>
      <c r="BE246" s="1346"/>
      <c r="BF246" s="1346"/>
      <c r="BG246" s="1344"/>
      <c r="BH246" s="1347"/>
      <c r="BI246" s="1055"/>
      <c r="BJ246" s="1055"/>
      <c r="BK246" s="1055"/>
    </row>
    <row r="247" s="1053" customFormat="1" ht="31" customHeight="1" spans="1:63">
      <c r="A247" s="1265">
        <v>45876</v>
      </c>
      <c r="B247" s="1266" t="s">
        <v>811</v>
      </c>
      <c r="C247" s="1267" t="s">
        <v>91</v>
      </c>
      <c r="D247" s="1266">
        <v>4500176165</v>
      </c>
      <c r="E247" s="1269">
        <v>70072652</v>
      </c>
      <c r="F247" s="1266" t="s">
        <v>2840</v>
      </c>
      <c r="G247" s="1097" t="s">
        <v>2118</v>
      </c>
      <c r="H247" s="1101" t="s">
        <v>2118</v>
      </c>
      <c r="I247" s="1098" t="s">
        <v>2119</v>
      </c>
      <c r="J247" s="1120">
        <v>1200</v>
      </c>
      <c r="K247" s="1097">
        <v>0</v>
      </c>
      <c r="L247" s="1097">
        <v>12</v>
      </c>
      <c r="M247" s="1114">
        <f t="shared" si="67"/>
        <v>100</v>
      </c>
      <c r="N247" s="1117">
        <v>45943</v>
      </c>
      <c r="O247" s="1117">
        <v>45939</v>
      </c>
      <c r="P247" s="1272"/>
      <c r="Q247" s="1285" t="s">
        <v>1480</v>
      </c>
      <c r="R247" s="1280" t="s">
        <v>2841</v>
      </c>
      <c r="S247" s="1147" t="s">
        <v>2842</v>
      </c>
      <c r="T247" s="1364"/>
      <c r="U247" s="1406" t="s">
        <v>2843</v>
      </c>
      <c r="V247" s="1402" t="s">
        <v>235</v>
      </c>
      <c r="W247" s="1148" t="s">
        <v>816</v>
      </c>
      <c r="X247" s="1150" t="s">
        <v>681</v>
      </c>
      <c r="Y247" s="1292">
        <v>1.7072</v>
      </c>
      <c r="Z247" s="1166">
        <f t="shared" si="65"/>
        <v>2048.64</v>
      </c>
      <c r="AA247" s="1289" t="s">
        <v>2844</v>
      </c>
      <c r="AB247" s="1137" t="s">
        <v>63</v>
      </c>
      <c r="AC247" s="1137" t="s">
        <v>2040</v>
      </c>
      <c r="AD247" s="1290">
        <f>720+480</f>
        <v>1200</v>
      </c>
      <c r="AE247" s="1289">
        <f t="shared" si="68"/>
        <v>0</v>
      </c>
      <c r="AF247" s="1291" t="s">
        <v>327</v>
      </c>
      <c r="AG247" s="1291"/>
      <c r="AH247" s="1188">
        <f>J247/3</f>
        <v>400</v>
      </c>
      <c r="AI247" s="1188">
        <f>J247/3</f>
        <v>400</v>
      </c>
      <c r="AJ247" s="1188">
        <f>J247/3</f>
        <v>400</v>
      </c>
      <c r="AK247" s="1371"/>
      <c r="AL247" s="1372"/>
      <c r="AM247" s="1371"/>
      <c r="AN247" s="1371"/>
      <c r="AO247" s="1384"/>
      <c r="AP247" s="1372"/>
      <c r="AQ247" s="1375"/>
      <c r="AR247" s="1338">
        <f t="shared" si="69"/>
        <v>1200</v>
      </c>
      <c r="AS247" s="1384"/>
      <c r="AT247" s="1386"/>
      <c r="AU247" s="1387"/>
      <c r="AV247" s="1387"/>
      <c r="AW247" s="1172">
        <f>J247</f>
        <v>1200</v>
      </c>
      <c r="AX247" s="1387"/>
      <c r="AY247" s="1387"/>
      <c r="AZ247" s="1387"/>
      <c r="BA247" s="1172"/>
      <c r="BB247" s="1172"/>
      <c r="BC247" s="1172"/>
      <c r="BD247" s="1172"/>
      <c r="BE247" s="1346"/>
      <c r="BF247" s="1346"/>
      <c r="BG247" s="1344"/>
      <c r="BH247" s="1347"/>
      <c r="BI247" s="1399"/>
      <c r="BJ247" s="1399"/>
      <c r="BK247" s="1399"/>
    </row>
    <row r="248" s="1053" customFormat="1" ht="31" customHeight="1" spans="1:63">
      <c r="A248" s="1265">
        <v>45882</v>
      </c>
      <c r="B248" s="1266" t="s">
        <v>918</v>
      </c>
      <c r="C248" s="1267" t="s">
        <v>123</v>
      </c>
      <c r="D248" s="1266">
        <v>4500176570</v>
      </c>
      <c r="E248" s="1269">
        <v>4400501781</v>
      </c>
      <c r="F248" s="1266" t="s">
        <v>2845</v>
      </c>
      <c r="G248" s="1101" t="s">
        <v>2316</v>
      </c>
      <c r="H248" s="1101" t="s">
        <v>2317</v>
      </c>
      <c r="I248" s="1098" t="s">
        <v>2063</v>
      </c>
      <c r="J248" s="1120">
        <v>1200</v>
      </c>
      <c r="K248" s="1097">
        <v>0</v>
      </c>
      <c r="L248" s="1097">
        <v>12</v>
      </c>
      <c r="M248" s="1114">
        <f t="shared" si="67"/>
        <v>100</v>
      </c>
      <c r="N248" s="1117">
        <v>45943</v>
      </c>
      <c r="O248" s="1117">
        <v>45939</v>
      </c>
      <c r="P248" s="1272"/>
      <c r="Q248" s="1285" t="s">
        <v>1480</v>
      </c>
      <c r="R248" s="1280" t="s">
        <v>2846</v>
      </c>
      <c r="S248" s="1147" t="s">
        <v>2847</v>
      </c>
      <c r="T248" s="1364"/>
      <c r="U248" s="1405" t="s">
        <v>2783</v>
      </c>
      <c r="V248" s="1402" t="s">
        <v>2784</v>
      </c>
      <c r="W248" s="1148" t="s">
        <v>2848</v>
      </c>
      <c r="X248" s="1150" t="s">
        <v>953</v>
      </c>
      <c r="Y248" s="1292">
        <v>1.7072</v>
      </c>
      <c r="Z248" s="1166">
        <f t="shared" si="65"/>
        <v>2048.64</v>
      </c>
      <c r="AA248" s="1289" t="s">
        <v>2849</v>
      </c>
      <c r="AB248" s="1137" t="s">
        <v>63</v>
      </c>
      <c r="AC248" s="1137" t="s">
        <v>2040</v>
      </c>
      <c r="AD248" s="1290">
        <v>1200</v>
      </c>
      <c r="AE248" s="1289">
        <f t="shared" si="68"/>
        <v>0</v>
      </c>
      <c r="AF248" s="1291" t="s">
        <v>327</v>
      </c>
      <c r="AG248" s="1291"/>
      <c r="AH248" s="1188"/>
      <c r="AI248" s="1188">
        <f>J248</f>
        <v>1200</v>
      </c>
      <c r="AJ248" s="1188"/>
      <c r="AK248" s="1371"/>
      <c r="AL248" s="1372"/>
      <c r="AM248" s="1371"/>
      <c r="AN248" s="1371"/>
      <c r="AO248" s="1384"/>
      <c r="AP248" s="1372"/>
      <c r="AQ248" s="1375"/>
      <c r="AR248" s="1338">
        <f t="shared" si="69"/>
        <v>1200</v>
      </c>
      <c r="AS248" s="1384"/>
      <c r="AT248" s="1386"/>
      <c r="AU248" s="1387"/>
      <c r="AV248" s="1387"/>
      <c r="AW248" s="1172"/>
      <c r="AX248" s="1387"/>
      <c r="AY248" s="1387"/>
      <c r="AZ248" s="1387"/>
      <c r="BA248" s="1172">
        <f>J248</f>
        <v>1200</v>
      </c>
      <c r="BB248" s="1172"/>
      <c r="BC248" s="1172"/>
      <c r="BD248" s="1172"/>
      <c r="BE248" s="1346"/>
      <c r="BF248" s="1346"/>
      <c r="BG248" s="1344"/>
      <c r="BH248" s="1347"/>
      <c r="BI248" s="1399"/>
      <c r="BJ248" s="1399"/>
      <c r="BK248" s="1399"/>
    </row>
    <row r="249" s="1053" customFormat="1" ht="31" customHeight="1" spans="1:63">
      <c r="A249" s="1265">
        <v>45882</v>
      </c>
      <c r="B249" s="1266" t="s">
        <v>918</v>
      </c>
      <c r="C249" s="1267" t="s">
        <v>123</v>
      </c>
      <c r="D249" s="1266">
        <v>4500176570</v>
      </c>
      <c r="E249" s="1269">
        <v>4400501781</v>
      </c>
      <c r="F249" s="1266" t="s">
        <v>2850</v>
      </c>
      <c r="G249" s="1101" t="s">
        <v>2309</v>
      </c>
      <c r="H249" s="1101" t="s">
        <v>2310</v>
      </c>
      <c r="I249" s="1098" t="s">
        <v>2663</v>
      </c>
      <c r="J249" s="1120">
        <v>1200</v>
      </c>
      <c r="K249" s="1097">
        <v>0</v>
      </c>
      <c r="L249" s="1097">
        <v>12</v>
      </c>
      <c r="M249" s="1114">
        <f t="shared" si="67"/>
        <v>100</v>
      </c>
      <c r="N249" s="1117">
        <v>45943</v>
      </c>
      <c r="O249" s="1117">
        <v>45939</v>
      </c>
      <c r="P249" s="1272"/>
      <c r="Q249" s="1285" t="s">
        <v>1480</v>
      </c>
      <c r="R249" s="1280" t="s">
        <v>2846</v>
      </c>
      <c r="S249" s="1147" t="s">
        <v>2847</v>
      </c>
      <c r="T249" s="1364"/>
      <c r="U249" s="1405" t="s">
        <v>2783</v>
      </c>
      <c r="V249" s="1402" t="s">
        <v>2788</v>
      </c>
      <c r="W249" s="1148" t="s">
        <v>2851</v>
      </c>
      <c r="X249" s="1150" t="s">
        <v>953</v>
      </c>
      <c r="Y249" s="1292">
        <v>1.7072</v>
      </c>
      <c r="Z249" s="1166">
        <f t="shared" si="65"/>
        <v>2048.64</v>
      </c>
      <c r="AA249" s="1289" t="s">
        <v>2849</v>
      </c>
      <c r="AB249" s="1137" t="s">
        <v>63</v>
      </c>
      <c r="AC249" s="1137" t="s">
        <v>2040</v>
      </c>
      <c r="AD249" s="1290">
        <v>1200</v>
      </c>
      <c r="AE249" s="1289">
        <f t="shared" si="68"/>
        <v>0</v>
      </c>
      <c r="AF249" s="1291" t="s">
        <v>327</v>
      </c>
      <c r="AG249" s="1291"/>
      <c r="AH249" s="1188"/>
      <c r="AI249" s="1188"/>
      <c r="AJ249" s="1188">
        <f>J249</f>
        <v>1200</v>
      </c>
      <c r="AK249" s="1371"/>
      <c r="AL249" s="1372"/>
      <c r="AM249" s="1371"/>
      <c r="AN249" s="1371"/>
      <c r="AO249" s="1384"/>
      <c r="AP249" s="1372"/>
      <c r="AQ249" s="1375"/>
      <c r="AR249" s="1338">
        <f t="shared" si="69"/>
        <v>1200</v>
      </c>
      <c r="AS249" s="1384"/>
      <c r="AT249" s="1386"/>
      <c r="AU249" s="1387"/>
      <c r="AV249" s="1387"/>
      <c r="AW249" s="1172"/>
      <c r="AX249" s="1387"/>
      <c r="AY249" s="1387"/>
      <c r="AZ249" s="1387"/>
      <c r="BA249" s="1172">
        <f>J249</f>
        <v>1200</v>
      </c>
      <c r="BB249" s="1172"/>
      <c r="BC249" s="1172"/>
      <c r="BD249" s="1172"/>
      <c r="BE249" s="1346"/>
      <c r="BF249" s="1346"/>
      <c r="BG249" s="1344"/>
      <c r="BH249" s="1347"/>
      <c r="BI249" s="1399"/>
      <c r="BJ249" s="1399"/>
      <c r="BK249" s="1399"/>
    </row>
    <row r="250" s="1053" customFormat="1" ht="31" customHeight="1" spans="1:63">
      <c r="A250" s="1265">
        <v>45882</v>
      </c>
      <c r="B250" s="1266" t="s">
        <v>918</v>
      </c>
      <c r="C250" s="1267" t="s">
        <v>123</v>
      </c>
      <c r="D250" s="1266">
        <v>4500176570</v>
      </c>
      <c r="E250" s="1269">
        <v>4400501781</v>
      </c>
      <c r="F250" s="1266" t="s">
        <v>2852</v>
      </c>
      <c r="G250" s="1101" t="s">
        <v>2444</v>
      </c>
      <c r="H250" s="1101" t="s">
        <v>2445</v>
      </c>
      <c r="I250" s="1098" t="s">
        <v>2446</v>
      </c>
      <c r="J250" s="1120">
        <v>1200</v>
      </c>
      <c r="K250" s="1097">
        <v>0</v>
      </c>
      <c r="L250" s="1097">
        <v>12</v>
      </c>
      <c r="M250" s="1114">
        <f t="shared" si="67"/>
        <v>100</v>
      </c>
      <c r="N250" s="1117">
        <v>45943</v>
      </c>
      <c r="O250" s="1117">
        <v>45939</v>
      </c>
      <c r="P250" s="1272"/>
      <c r="Q250" s="1285" t="s">
        <v>1480</v>
      </c>
      <c r="R250" s="1280" t="s">
        <v>2846</v>
      </c>
      <c r="S250" s="1147" t="s">
        <v>2847</v>
      </c>
      <c r="T250" s="1364"/>
      <c r="U250" s="1405" t="s">
        <v>2783</v>
      </c>
      <c r="V250" s="1402" t="s">
        <v>2791</v>
      </c>
      <c r="W250" s="1148" t="s">
        <v>2853</v>
      </c>
      <c r="X250" s="1150" t="s">
        <v>953</v>
      </c>
      <c r="Y250" s="1292">
        <v>1.7072</v>
      </c>
      <c r="Z250" s="1166">
        <f t="shared" si="65"/>
        <v>2048.64</v>
      </c>
      <c r="AA250" s="1289" t="s">
        <v>2849</v>
      </c>
      <c r="AB250" s="1137" t="s">
        <v>63</v>
      </c>
      <c r="AC250" s="1137" t="s">
        <v>2040</v>
      </c>
      <c r="AD250" s="1290">
        <v>1200</v>
      </c>
      <c r="AE250" s="1289">
        <f t="shared" si="68"/>
        <v>0</v>
      </c>
      <c r="AF250" s="1291" t="s">
        <v>327</v>
      </c>
      <c r="AG250" s="1291"/>
      <c r="AH250" s="1188">
        <f>J250</f>
        <v>1200</v>
      </c>
      <c r="AI250" s="1188"/>
      <c r="AJ250" s="1188"/>
      <c r="AK250" s="1371"/>
      <c r="AL250" s="1372"/>
      <c r="AM250" s="1371"/>
      <c r="AN250" s="1371"/>
      <c r="AO250" s="1384"/>
      <c r="AP250" s="1372"/>
      <c r="AQ250" s="1375"/>
      <c r="AR250" s="1338">
        <f t="shared" si="69"/>
        <v>1200</v>
      </c>
      <c r="AS250" s="1384"/>
      <c r="AT250" s="1386"/>
      <c r="AU250" s="1387"/>
      <c r="AV250" s="1387"/>
      <c r="AW250" s="1172"/>
      <c r="AX250" s="1387"/>
      <c r="AY250" s="1387"/>
      <c r="AZ250" s="1387"/>
      <c r="BA250" s="1172">
        <f>J250</f>
        <v>1200</v>
      </c>
      <c r="BB250" s="1172"/>
      <c r="BC250" s="1172"/>
      <c r="BD250" s="1172"/>
      <c r="BE250" s="1346"/>
      <c r="BF250" s="1346"/>
      <c r="BG250" s="1344"/>
      <c r="BH250" s="1347"/>
      <c r="BI250" s="1399"/>
      <c r="BJ250" s="1399"/>
      <c r="BK250" s="1399"/>
    </row>
    <row r="251" s="1053" customFormat="1" ht="31" customHeight="1" spans="1:63">
      <c r="A251" s="1265">
        <v>45896</v>
      </c>
      <c r="B251" s="1266" t="s">
        <v>2297</v>
      </c>
      <c r="C251" s="1267" t="s">
        <v>876</v>
      </c>
      <c r="D251" s="1266">
        <v>4500177972</v>
      </c>
      <c r="E251" s="1269">
        <v>21105425</v>
      </c>
      <c r="F251" s="1266" t="s">
        <v>2854</v>
      </c>
      <c r="G251" s="1097" t="s">
        <v>2118</v>
      </c>
      <c r="H251" s="1101" t="s">
        <v>2118</v>
      </c>
      <c r="I251" s="1098" t="s">
        <v>2119</v>
      </c>
      <c r="J251" s="1120">
        <v>528</v>
      </c>
      <c r="K251" s="1097">
        <v>0</v>
      </c>
      <c r="L251" s="1097">
        <v>12</v>
      </c>
      <c r="M251" s="1114">
        <f t="shared" si="67"/>
        <v>44</v>
      </c>
      <c r="N251" s="1117">
        <v>45943</v>
      </c>
      <c r="O251" s="1117">
        <v>45939</v>
      </c>
      <c r="P251" s="1272" t="s">
        <v>2416</v>
      </c>
      <c r="Q251" s="1285" t="s">
        <v>1480</v>
      </c>
      <c r="R251" s="1280" t="s">
        <v>2855</v>
      </c>
      <c r="S251" s="1147" t="s">
        <v>1785</v>
      </c>
      <c r="T251" s="1364"/>
      <c r="U251" s="1281" t="s">
        <v>2856</v>
      </c>
      <c r="V251" s="1402" t="s">
        <v>2501</v>
      </c>
      <c r="W251" s="1148" t="s">
        <v>2677</v>
      </c>
      <c r="X251" s="1150" t="s">
        <v>2302</v>
      </c>
      <c r="Y251" s="1292">
        <v>3.0761</v>
      </c>
      <c r="Z251" s="1166">
        <f t="shared" si="65"/>
        <v>1624.1808</v>
      </c>
      <c r="AA251" s="1289" t="s">
        <v>2857</v>
      </c>
      <c r="AB251" s="1137" t="s">
        <v>63</v>
      </c>
      <c r="AC251" s="1137" t="s">
        <v>2040</v>
      </c>
      <c r="AD251" s="1290">
        <v>528</v>
      </c>
      <c r="AE251" s="1289">
        <f t="shared" si="68"/>
        <v>0</v>
      </c>
      <c r="AF251" s="1291" t="s">
        <v>327</v>
      </c>
      <c r="AG251" s="1291"/>
      <c r="AH251" s="1188">
        <f t="shared" ref="AH251:AH260" si="71">J251/3</f>
        <v>176</v>
      </c>
      <c r="AI251" s="1188">
        <f t="shared" ref="AI251:AI260" si="72">J251/3</f>
        <v>176</v>
      </c>
      <c r="AJ251" s="1188">
        <f t="shared" ref="AJ251:AJ260" si="73">J251/3</f>
        <v>176</v>
      </c>
      <c r="AK251" s="1371"/>
      <c r="AL251" s="1372"/>
      <c r="AM251" s="1371"/>
      <c r="AN251" s="1371"/>
      <c r="AO251" s="1384"/>
      <c r="AP251" s="1372"/>
      <c r="AQ251" s="1375"/>
      <c r="AR251" s="1338">
        <f t="shared" si="69"/>
        <v>528</v>
      </c>
      <c r="AS251" s="1384"/>
      <c r="AT251" s="1386"/>
      <c r="AU251" s="1387"/>
      <c r="AV251" s="1387"/>
      <c r="AW251" s="1172">
        <f t="shared" ref="AW251:AW261" si="74">J251</f>
        <v>528</v>
      </c>
      <c r="AX251" s="1387"/>
      <c r="AY251" s="1387"/>
      <c r="AZ251" s="1387"/>
      <c r="BA251" s="1172"/>
      <c r="BB251" s="1172"/>
      <c r="BC251" s="1172"/>
      <c r="BD251" s="1172"/>
      <c r="BE251" s="1346"/>
      <c r="BF251" s="1346"/>
      <c r="BG251" s="1344"/>
      <c r="BH251" s="1347"/>
      <c r="BI251" s="1399"/>
      <c r="BJ251" s="1399"/>
      <c r="BK251" s="1399"/>
    </row>
    <row r="252" s="1053" customFormat="1" ht="31" customHeight="1" spans="1:63">
      <c r="A252" s="1265">
        <v>45896</v>
      </c>
      <c r="B252" s="1266" t="s">
        <v>2304</v>
      </c>
      <c r="C252" s="1267" t="s">
        <v>258</v>
      </c>
      <c r="D252" s="1266">
        <v>4500177974</v>
      </c>
      <c r="E252" s="1269">
        <v>21105427</v>
      </c>
      <c r="F252" s="1266" t="s">
        <v>2858</v>
      </c>
      <c r="G252" s="1097" t="s">
        <v>2118</v>
      </c>
      <c r="H252" s="1101" t="s">
        <v>2118</v>
      </c>
      <c r="I252" s="1098" t="s">
        <v>2119</v>
      </c>
      <c r="J252" s="1120">
        <v>972</v>
      </c>
      <c r="K252" s="1097">
        <v>0</v>
      </c>
      <c r="L252" s="1097">
        <v>12</v>
      </c>
      <c r="M252" s="1114">
        <f t="shared" si="67"/>
        <v>81</v>
      </c>
      <c r="N252" s="1117">
        <v>45943</v>
      </c>
      <c r="O252" s="1117">
        <v>45939</v>
      </c>
      <c r="P252" s="1272" t="s">
        <v>2416</v>
      </c>
      <c r="Q252" s="1285" t="s">
        <v>1480</v>
      </c>
      <c r="R252" s="1280" t="s">
        <v>2855</v>
      </c>
      <c r="S252" s="1147" t="s">
        <v>1785</v>
      </c>
      <c r="T252" s="1364"/>
      <c r="U252" s="1281" t="s">
        <v>2856</v>
      </c>
      <c r="V252" s="1402" t="s">
        <v>2501</v>
      </c>
      <c r="W252" s="1148" t="s">
        <v>2432</v>
      </c>
      <c r="X252" s="1150" t="s">
        <v>2302</v>
      </c>
      <c r="Y252" s="1292">
        <v>3.0761</v>
      </c>
      <c r="Z252" s="1166">
        <f t="shared" si="65"/>
        <v>2989.9692</v>
      </c>
      <c r="AA252" s="1289" t="s">
        <v>2859</v>
      </c>
      <c r="AB252" s="1137" t="s">
        <v>63</v>
      </c>
      <c r="AC252" s="1137" t="s">
        <v>2040</v>
      </c>
      <c r="AD252" s="1290">
        <v>972</v>
      </c>
      <c r="AE252" s="1289">
        <f t="shared" si="68"/>
        <v>0</v>
      </c>
      <c r="AF252" s="1291" t="s">
        <v>327</v>
      </c>
      <c r="AG252" s="1291"/>
      <c r="AH252" s="1188">
        <f t="shared" si="71"/>
        <v>324</v>
      </c>
      <c r="AI252" s="1188">
        <f t="shared" si="72"/>
        <v>324</v>
      </c>
      <c r="AJ252" s="1188">
        <f t="shared" si="73"/>
        <v>324</v>
      </c>
      <c r="AK252" s="1371"/>
      <c r="AL252" s="1372"/>
      <c r="AM252" s="1371"/>
      <c r="AN252" s="1371"/>
      <c r="AO252" s="1384"/>
      <c r="AP252" s="1372"/>
      <c r="AQ252" s="1375"/>
      <c r="AR252" s="1338">
        <f t="shared" si="69"/>
        <v>972</v>
      </c>
      <c r="AS252" s="1384"/>
      <c r="AT252" s="1386"/>
      <c r="AU252" s="1387"/>
      <c r="AV252" s="1387"/>
      <c r="AW252" s="1172">
        <f t="shared" si="74"/>
        <v>972</v>
      </c>
      <c r="AX252" s="1387"/>
      <c r="AY252" s="1387"/>
      <c r="AZ252" s="1387"/>
      <c r="BA252" s="1172"/>
      <c r="BB252" s="1172"/>
      <c r="BC252" s="1172"/>
      <c r="BD252" s="1172"/>
      <c r="BE252" s="1346"/>
      <c r="BF252" s="1346"/>
      <c r="BG252" s="1344"/>
      <c r="BH252" s="1347"/>
      <c r="BI252" s="1399"/>
      <c r="BJ252" s="1399"/>
      <c r="BK252" s="1399"/>
    </row>
    <row r="253" s="1053" customFormat="1" ht="31" customHeight="1" spans="1:63">
      <c r="A253" s="1265">
        <v>45862</v>
      </c>
      <c r="B253" s="1266" t="s">
        <v>230</v>
      </c>
      <c r="C253" s="1267" t="s">
        <v>91</v>
      </c>
      <c r="D253" s="1266">
        <v>4500173505</v>
      </c>
      <c r="E253" s="1269">
        <v>60235199</v>
      </c>
      <c r="F253" s="1266" t="s">
        <v>2860</v>
      </c>
      <c r="G253" s="1097" t="s">
        <v>2118</v>
      </c>
      <c r="H253" s="1101" t="s">
        <v>2118</v>
      </c>
      <c r="I253" s="1098" t="s">
        <v>2119</v>
      </c>
      <c r="J253" s="1120">
        <v>5472</v>
      </c>
      <c r="K253" s="1097">
        <v>0</v>
      </c>
      <c r="L253" s="1097">
        <v>12</v>
      </c>
      <c r="M253" s="1114">
        <f t="shared" si="67"/>
        <v>456</v>
      </c>
      <c r="N253" s="1117">
        <v>45946</v>
      </c>
      <c r="O253" s="1117">
        <v>45943</v>
      </c>
      <c r="P253" s="1272"/>
      <c r="Q253" s="1285" t="s">
        <v>1480</v>
      </c>
      <c r="R253" s="1363" t="s">
        <v>994</v>
      </c>
      <c r="S253" s="1147" t="s">
        <v>967</v>
      </c>
      <c r="T253" s="1364"/>
      <c r="U253" s="1405" t="s">
        <v>995</v>
      </c>
      <c r="V253" s="1365" t="s">
        <v>235</v>
      </c>
      <c r="W253" s="1148" t="s">
        <v>816</v>
      </c>
      <c r="X253" s="1150" t="s">
        <v>681</v>
      </c>
      <c r="Y253" s="1292">
        <v>1.5918</v>
      </c>
      <c r="Z253" s="1166">
        <f t="shared" si="65"/>
        <v>8710.3296</v>
      </c>
      <c r="AA253" s="1289" t="s">
        <v>996</v>
      </c>
      <c r="AB253" s="1137" t="s">
        <v>63</v>
      </c>
      <c r="AC253" s="1137" t="s">
        <v>2040</v>
      </c>
      <c r="AD253" s="1290">
        <v>5472</v>
      </c>
      <c r="AE253" s="1289">
        <f t="shared" si="68"/>
        <v>0</v>
      </c>
      <c r="AF253" s="1291" t="s">
        <v>327</v>
      </c>
      <c r="AG253" s="1291"/>
      <c r="AH253" s="1188">
        <f t="shared" si="71"/>
        <v>1824</v>
      </c>
      <c r="AI253" s="1188">
        <f t="shared" si="72"/>
        <v>1824</v>
      </c>
      <c r="AJ253" s="1188">
        <f t="shared" si="73"/>
        <v>1824</v>
      </c>
      <c r="AK253" s="1371"/>
      <c r="AL253" s="1372"/>
      <c r="AM253" s="1371"/>
      <c r="AN253" s="1371"/>
      <c r="AO253" s="1384"/>
      <c r="AP253" s="1372"/>
      <c r="AQ253" s="1375"/>
      <c r="AR253" s="1338">
        <f t="shared" si="69"/>
        <v>5472</v>
      </c>
      <c r="AS253" s="1384"/>
      <c r="AT253" s="1386"/>
      <c r="AU253" s="1387"/>
      <c r="AV253" s="1387"/>
      <c r="AW253" s="1172">
        <f t="shared" si="74"/>
        <v>5472</v>
      </c>
      <c r="AX253" s="1387"/>
      <c r="AY253" s="1387"/>
      <c r="AZ253" s="1387"/>
      <c r="BA253" s="1172"/>
      <c r="BB253" s="1172"/>
      <c r="BC253" s="1172"/>
      <c r="BD253" s="1172"/>
      <c r="BE253" s="1346"/>
      <c r="BF253" s="1346"/>
      <c r="BG253" s="1344"/>
      <c r="BH253" s="1347"/>
      <c r="BI253" s="1399"/>
      <c r="BJ253" s="1399"/>
      <c r="BK253" s="1399"/>
    </row>
    <row r="254" s="1053" customFormat="1" ht="31" customHeight="1" spans="1:63">
      <c r="A254" s="1265">
        <v>45898</v>
      </c>
      <c r="B254" s="1266" t="s">
        <v>2861</v>
      </c>
      <c r="C254" s="1267" t="s">
        <v>123</v>
      </c>
      <c r="D254" s="1266">
        <v>4500178200</v>
      </c>
      <c r="E254" s="1269">
        <v>13977816</v>
      </c>
      <c r="F254" s="1266" t="s">
        <v>2862</v>
      </c>
      <c r="G254" s="1101" t="s">
        <v>2079</v>
      </c>
      <c r="H254" s="1101" t="s">
        <v>2079</v>
      </c>
      <c r="I254" s="1098" t="s">
        <v>2080</v>
      </c>
      <c r="J254" s="1120">
        <v>1200</v>
      </c>
      <c r="K254" s="1097">
        <v>0</v>
      </c>
      <c r="L254" s="1097">
        <v>6</v>
      </c>
      <c r="M254" s="1114">
        <f t="shared" si="67"/>
        <v>200</v>
      </c>
      <c r="N254" s="1117">
        <v>45947</v>
      </c>
      <c r="O254" s="1117">
        <v>45943</v>
      </c>
      <c r="P254" s="1272"/>
      <c r="Q254" s="1285" t="s">
        <v>1480</v>
      </c>
      <c r="R254" s="1280" t="s">
        <v>2863</v>
      </c>
      <c r="S254" s="1147" t="s">
        <v>1806</v>
      </c>
      <c r="T254" s="1364"/>
      <c r="U254" s="1405" t="s">
        <v>2864</v>
      </c>
      <c r="V254" s="1402" t="s">
        <v>2865</v>
      </c>
      <c r="W254" s="1148" t="s">
        <v>2866</v>
      </c>
      <c r="X254" s="1150" t="s">
        <v>953</v>
      </c>
      <c r="Y254" s="1292">
        <v>2.8084</v>
      </c>
      <c r="Z254" s="1166">
        <f t="shared" si="65"/>
        <v>3370.08</v>
      </c>
      <c r="AA254" s="1289"/>
      <c r="AB254" s="1137" t="s">
        <v>63</v>
      </c>
      <c r="AC254" s="1137" t="s">
        <v>2040</v>
      </c>
      <c r="AD254" s="1290">
        <v>1200</v>
      </c>
      <c r="AE254" s="1289">
        <f t="shared" si="68"/>
        <v>0</v>
      </c>
      <c r="AF254" s="1291" t="s">
        <v>327</v>
      </c>
      <c r="AG254" s="1291"/>
      <c r="AH254" s="1188">
        <f t="shared" si="71"/>
        <v>400</v>
      </c>
      <c r="AI254" s="1188">
        <f t="shared" si="72"/>
        <v>400</v>
      </c>
      <c r="AJ254" s="1188">
        <f t="shared" si="73"/>
        <v>400</v>
      </c>
      <c r="AK254" s="1416"/>
      <c r="AL254" s="1417"/>
      <c r="AM254" s="1416"/>
      <c r="AN254" s="1416"/>
      <c r="AO254" s="1425"/>
      <c r="AP254" s="1417"/>
      <c r="AQ254" s="1426"/>
      <c r="AR254" s="1338">
        <f t="shared" si="69"/>
        <v>1200</v>
      </c>
      <c r="AS254" s="1425"/>
      <c r="AT254" s="1427"/>
      <c r="AU254" s="1428"/>
      <c r="AV254" s="1428"/>
      <c r="AW254" s="1172">
        <f t="shared" si="74"/>
        <v>1200</v>
      </c>
      <c r="AX254" s="1428"/>
      <c r="AY254" s="1428"/>
      <c r="AZ254" s="1428"/>
      <c r="BA254" s="1172"/>
      <c r="BB254" s="1172"/>
      <c r="BC254" s="1172"/>
      <c r="BD254" s="1172"/>
      <c r="BE254" s="1346"/>
      <c r="BF254" s="1346"/>
      <c r="BG254" s="1344"/>
      <c r="BH254" s="1347"/>
      <c r="BI254" s="1435"/>
      <c r="BJ254" s="1435"/>
      <c r="BK254" s="1435"/>
    </row>
    <row r="255" s="1053" customFormat="1" ht="31" customHeight="1" spans="1:63">
      <c r="A255" s="1265">
        <v>45905</v>
      </c>
      <c r="B255" s="1266" t="s">
        <v>2297</v>
      </c>
      <c r="C255" s="1267" t="s">
        <v>876</v>
      </c>
      <c r="D255" s="1266">
        <v>4500178925</v>
      </c>
      <c r="E255" s="1269" t="s">
        <v>2867</v>
      </c>
      <c r="F255" s="1266" t="s">
        <v>2868</v>
      </c>
      <c r="G255" s="1097" t="s">
        <v>2118</v>
      </c>
      <c r="H255" s="1101" t="s">
        <v>2118</v>
      </c>
      <c r="I255" s="1098" t="s">
        <v>2119</v>
      </c>
      <c r="J255" s="1120">
        <v>4380</v>
      </c>
      <c r="K255" s="1097">
        <v>0</v>
      </c>
      <c r="L255" s="1097">
        <v>12</v>
      </c>
      <c r="M255" s="1114">
        <f t="shared" si="67"/>
        <v>365</v>
      </c>
      <c r="N255" s="1117">
        <v>45950</v>
      </c>
      <c r="O255" s="1117">
        <v>45946</v>
      </c>
      <c r="P255" s="1272" t="s">
        <v>2416</v>
      </c>
      <c r="Q255" s="1285" t="s">
        <v>1480</v>
      </c>
      <c r="R255" s="1274" t="s">
        <v>2869</v>
      </c>
      <c r="S255" s="1147" t="s">
        <v>2870</v>
      </c>
      <c r="T255" s="1364"/>
      <c r="U255" s="1281" t="s">
        <v>2871</v>
      </c>
      <c r="V255" s="1402" t="s">
        <v>2501</v>
      </c>
      <c r="W255" s="1148" t="s">
        <v>2409</v>
      </c>
      <c r="X255" s="1150" t="s">
        <v>2302</v>
      </c>
      <c r="Y255" s="1292">
        <v>2.8606</v>
      </c>
      <c r="Z255" s="1166">
        <f t="shared" si="65"/>
        <v>12529.428</v>
      </c>
      <c r="AA255" s="1289" t="s">
        <v>2872</v>
      </c>
      <c r="AB255" s="1137" t="s">
        <v>63</v>
      </c>
      <c r="AC255" s="1137" t="s">
        <v>2040</v>
      </c>
      <c r="AD255" s="1290">
        <v>4380</v>
      </c>
      <c r="AE255" s="1289">
        <f t="shared" si="68"/>
        <v>0</v>
      </c>
      <c r="AF255" s="1291" t="s">
        <v>327</v>
      </c>
      <c r="AG255" s="1291"/>
      <c r="AH255" s="1188">
        <f t="shared" si="71"/>
        <v>1460</v>
      </c>
      <c r="AI255" s="1188">
        <f t="shared" si="72"/>
        <v>1460</v>
      </c>
      <c r="AJ255" s="1188">
        <f t="shared" si="73"/>
        <v>1460</v>
      </c>
      <c r="AK255" s="1418"/>
      <c r="AL255" s="1337"/>
      <c r="AM255" s="1418"/>
      <c r="AN255" s="1418"/>
      <c r="AO255" s="1430"/>
      <c r="AP255" s="1337"/>
      <c r="AQ255" s="1431"/>
      <c r="AR255" s="1338">
        <f t="shared" si="69"/>
        <v>4380</v>
      </c>
      <c r="AS255" s="1430"/>
      <c r="AT255" s="1432"/>
      <c r="AU255" s="1433"/>
      <c r="AV255" s="1433"/>
      <c r="AW255" s="1172">
        <f t="shared" si="74"/>
        <v>4380</v>
      </c>
      <c r="AX255" s="1433"/>
      <c r="AY255" s="1433"/>
      <c r="AZ255" s="1433"/>
      <c r="BA255" s="1172"/>
      <c r="BB255" s="1172"/>
      <c r="BC255" s="1172"/>
      <c r="BD255" s="1172"/>
      <c r="BE255" s="1346"/>
      <c r="BF255" s="1346"/>
      <c r="BG255" s="1344"/>
      <c r="BH255" s="1347"/>
      <c r="BI255" s="1055"/>
      <c r="BJ255" s="1055"/>
      <c r="BK255" s="1055"/>
    </row>
    <row r="256" s="1053" customFormat="1" ht="31" customHeight="1" spans="1:63">
      <c r="A256" s="1265">
        <v>45905</v>
      </c>
      <c r="B256" s="1266" t="s">
        <v>2304</v>
      </c>
      <c r="C256" s="1267" t="s">
        <v>258</v>
      </c>
      <c r="D256" s="1266">
        <v>4500178926</v>
      </c>
      <c r="E256" s="1269">
        <v>21138766</v>
      </c>
      <c r="F256" s="1266" t="s">
        <v>2873</v>
      </c>
      <c r="G256" s="1097" t="s">
        <v>2118</v>
      </c>
      <c r="H256" s="1101" t="s">
        <v>2118</v>
      </c>
      <c r="I256" s="1098" t="s">
        <v>2119</v>
      </c>
      <c r="J256" s="1120">
        <v>492</v>
      </c>
      <c r="K256" s="1097">
        <v>0</v>
      </c>
      <c r="L256" s="1097">
        <v>12</v>
      </c>
      <c r="M256" s="1114">
        <f t="shared" si="67"/>
        <v>41</v>
      </c>
      <c r="N256" s="1117">
        <v>45950</v>
      </c>
      <c r="O256" s="1117">
        <v>45946</v>
      </c>
      <c r="P256" s="1272" t="s">
        <v>2416</v>
      </c>
      <c r="Q256" s="1285" t="s">
        <v>1480</v>
      </c>
      <c r="R256" s="1274" t="s">
        <v>2869</v>
      </c>
      <c r="S256" s="1147" t="s">
        <v>2870</v>
      </c>
      <c r="T256" s="1364"/>
      <c r="U256" s="1281" t="s">
        <v>2871</v>
      </c>
      <c r="V256" s="1402" t="s">
        <v>2501</v>
      </c>
      <c r="W256" s="1148" t="s">
        <v>2411</v>
      </c>
      <c r="X256" s="1150" t="s">
        <v>2302</v>
      </c>
      <c r="Y256" s="1292">
        <v>3.0761</v>
      </c>
      <c r="Z256" s="1166">
        <f t="shared" si="65"/>
        <v>1513.4412</v>
      </c>
      <c r="AA256" s="1289" t="s">
        <v>2874</v>
      </c>
      <c r="AB256" s="1137" t="s">
        <v>63</v>
      </c>
      <c r="AC256" s="1137" t="s">
        <v>2040</v>
      </c>
      <c r="AD256" s="1290">
        <v>492</v>
      </c>
      <c r="AE256" s="1289">
        <f t="shared" si="68"/>
        <v>0</v>
      </c>
      <c r="AF256" s="1291" t="s">
        <v>327</v>
      </c>
      <c r="AG256" s="1291"/>
      <c r="AH256" s="1188">
        <f t="shared" si="71"/>
        <v>164</v>
      </c>
      <c r="AI256" s="1188">
        <f t="shared" si="72"/>
        <v>164</v>
      </c>
      <c r="AJ256" s="1188">
        <f t="shared" si="73"/>
        <v>164</v>
      </c>
      <c r="AK256" s="1418"/>
      <c r="AL256" s="1337"/>
      <c r="AM256" s="1418"/>
      <c r="AN256" s="1418"/>
      <c r="AO256" s="1430"/>
      <c r="AP256" s="1337"/>
      <c r="AQ256" s="1431"/>
      <c r="AR256" s="1338">
        <f t="shared" si="69"/>
        <v>492</v>
      </c>
      <c r="AS256" s="1430"/>
      <c r="AT256" s="1432"/>
      <c r="AU256" s="1433"/>
      <c r="AV256" s="1433"/>
      <c r="AW256" s="1172">
        <f t="shared" si="74"/>
        <v>492</v>
      </c>
      <c r="AX256" s="1433"/>
      <c r="AY256" s="1433"/>
      <c r="AZ256" s="1433"/>
      <c r="BA256" s="1172"/>
      <c r="BB256" s="1172"/>
      <c r="BC256" s="1172"/>
      <c r="BD256" s="1172"/>
      <c r="BE256" s="1346"/>
      <c r="BF256" s="1346"/>
      <c r="BG256" s="1344"/>
      <c r="BH256" s="1347"/>
      <c r="BI256" s="1055"/>
      <c r="BJ256" s="1055"/>
      <c r="BK256" s="1055"/>
    </row>
    <row r="257" s="1053" customFormat="1" ht="31" customHeight="1" spans="1:63">
      <c r="A257" s="1265">
        <v>45902</v>
      </c>
      <c r="B257" s="1266" t="s">
        <v>1006</v>
      </c>
      <c r="C257" s="1267" t="s">
        <v>91</v>
      </c>
      <c r="D257" s="1266">
        <v>4500178449</v>
      </c>
      <c r="E257" s="1269" t="s">
        <v>2875</v>
      </c>
      <c r="F257" s="1266" t="s">
        <v>2876</v>
      </c>
      <c r="G257" s="1101" t="s">
        <v>2877</v>
      </c>
      <c r="H257" s="1101" t="s">
        <v>2877</v>
      </c>
      <c r="I257" s="1098" t="s">
        <v>2322</v>
      </c>
      <c r="J257" s="1120">
        <v>8100</v>
      </c>
      <c r="K257" s="1097">
        <v>0</v>
      </c>
      <c r="L257" s="1097">
        <v>3</v>
      </c>
      <c r="M257" s="1114">
        <f t="shared" si="67"/>
        <v>2700</v>
      </c>
      <c r="N257" s="1117">
        <v>45957</v>
      </c>
      <c r="O257" s="1117">
        <v>45953</v>
      </c>
      <c r="P257" s="1272"/>
      <c r="Q257" s="1285" t="s">
        <v>1480</v>
      </c>
      <c r="R257" s="1280" t="s">
        <v>2878</v>
      </c>
      <c r="S257" s="1147" t="s">
        <v>1011</v>
      </c>
      <c r="T257" s="1364"/>
      <c r="U257" s="1405" t="s">
        <v>58</v>
      </c>
      <c r="V257" s="1402" t="s">
        <v>2879</v>
      </c>
      <c r="W257" s="1148" t="s">
        <v>2880</v>
      </c>
      <c r="X257" s="1150" t="s">
        <v>1014</v>
      </c>
      <c r="Y257" s="1165">
        <v>1.6999</v>
      </c>
      <c r="Z257" s="1166">
        <f>J257*Y257</f>
        <v>13769.19</v>
      </c>
      <c r="AA257" s="1289"/>
      <c r="AB257" s="1137" t="s">
        <v>63</v>
      </c>
      <c r="AC257" s="1137" t="s">
        <v>2040</v>
      </c>
      <c r="AD257" s="1290">
        <f>5100+3000</f>
        <v>8100</v>
      </c>
      <c r="AE257" s="1289">
        <f t="shared" si="68"/>
        <v>0</v>
      </c>
      <c r="AF257" s="1291"/>
      <c r="AG257" s="1291"/>
      <c r="AH257" s="1188">
        <f t="shared" si="71"/>
        <v>2700</v>
      </c>
      <c r="AI257" s="1188">
        <f t="shared" si="72"/>
        <v>2700</v>
      </c>
      <c r="AJ257" s="1188">
        <f t="shared" si="73"/>
        <v>2700</v>
      </c>
      <c r="AK257" s="1418"/>
      <c r="AL257" s="1337"/>
      <c r="AM257" s="1418"/>
      <c r="AN257" s="1418"/>
      <c r="AO257" s="1430"/>
      <c r="AP257" s="1337"/>
      <c r="AQ257" s="1431"/>
      <c r="AR257" s="1338">
        <f t="shared" si="69"/>
        <v>8100</v>
      </c>
      <c r="AS257" s="1430"/>
      <c r="AT257" s="1432"/>
      <c r="AU257" s="1433"/>
      <c r="AV257" s="1433"/>
      <c r="AW257" s="1172"/>
      <c r="AX257" s="1433"/>
      <c r="AY257" s="1433"/>
      <c r="AZ257" s="1433"/>
      <c r="BA257" s="1172"/>
      <c r="BB257" s="1172"/>
      <c r="BC257" s="1172"/>
      <c r="BD257" s="1172"/>
      <c r="BE257" s="1346"/>
      <c r="BF257" s="1346">
        <f>J257</f>
        <v>8100</v>
      </c>
      <c r="BG257" s="1344"/>
      <c r="BH257" s="1347"/>
      <c r="BI257" s="1055"/>
      <c r="BJ257" s="1055"/>
      <c r="BK257" s="1055"/>
    </row>
    <row r="258" s="1053" customFormat="1" ht="31" customHeight="1" spans="1:63">
      <c r="A258" s="1265">
        <v>45912</v>
      </c>
      <c r="B258" s="1266" t="s">
        <v>2304</v>
      </c>
      <c r="C258" s="1267" t="s">
        <v>258</v>
      </c>
      <c r="D258" s="1266">
        <v>4500179341</v>
      </c>
      <c r="E258" s="1269">
        <v>21105428</v>
      </c>
      <c r="F258" s="1266" t="s">
        <v>2881</v>
      </c>
      <c r="G258" s="1097" t="s">
        <v>2118</v>
      </c>
      <c r="H258" s="1101" t="s">
        <v>2118</v>
      </c>
      <c r="I258" s="1098" t="s">
        <v>2119</v>
      </c>
      <c r="J258" s="1120">
        <v>372</v>
      </c>
      <c r="K258" s="1097">
        <v>0</v>
      </c>
      <c r="L258" s="1097">
        <v>12</v>
      </c>
      <c r="M258" s="1114">
        <f t="shared" si="67"/>
        <v>31</v>
      </c>
      <c r="N258" s="1117">
        <v>45957</v>
      </c>
      <c r="O258" s="1117">
        <v>45953</v>
      </c>
      <c r="P258" s="1272" t="s">
        <v>2416</v>
      </c>
      <c r="Q258" s="1285" t="s">
        <v>1480</v>
      </c>
      <c r="R258" s="1280" t="s">
        <v>2882</v>
      </c>
      <c r="S258" s="1147" t="s">
        <v>2883</v>
      </c>
      <c r="T258" s="1364"/>
      <c r="U258" s="1281" t="s">
        <v>2884</v>
      </c>
      <c r="V258" s="1402" t="s">
        <v>2501</v>
      </c>
      <c r="W258" s="1148" t="s">
        <v>2432</v>
      </c>
      <c r="X258" s="1150" t="s">
        <v>2302</v>
      </c>
      <c r="Y258" s="1292">
        <v>2.9064</v>
      </c>
      <c r="Z258" s="1166">
        <f t="shared" ref="Z258:Z267" si="75">Y258*J258</f>
        <v>1081.1808</v>
      </c>
      <c r="AA258" s="1289" t="s">
        <v>2885</v>
      </c>
      <c r="AB258" s="1137" t="s">
        <v>63</v>
      </c>
      <c r="AC258" s="1137" t="s">
        <v>2040</v>
      </c>
      <c r="AD258" s="1290">
        <v>372</v>
      </c>
      <c r="AE258" s="1289">
        <f t="shared" si="68"/>
        <v>0</v>
      </c>
      <c r="AF258" s="1291" t="s">
        <v>327</v>
      </c>
      <c r="AG258" s="1291"/>
      <c r="AH258" s="1188">
        <f t="shared" si="71"/>
        <v>124</v>
      </c>
      <c r="AI258" s="1188">
        <f t="shared" si="72"/>
        <v>124</v>
      </c>
      <c r="AJ258" s="1188">
        <f t="shared" si="73"/>
        <v>124</v>
      </c>
      <c r="AK258" s="1418"/>
      <c r="AL258" s="1337"/>
      <c r="AM258" s="1418"/>
      <c r="AN258" s="1418"/>
      <c r="AO258" s="1430"/>
      <c r="AP258" s="1337"/>
      <c r="AQ258" s="1431"/>
      <c r="AR258" s="1338">
        <f t="shared" si="69"/>
        <v>372</v>
      </c>
      <c r="AS258" s="1430"/>
      <c r="AT258" s="1432"/>
      <c r="AU258" s="1433"/>
      <c r="AV258" s="1433"/>
      <c r="AW258" s="1172">
        <f t="shared" si="74"/>
        <v>372</v>
      </c>
      <c r="AX258" s="1433"/>
      <c r="AY258" s="1433"/>
      <c r="AZ258" s="1433"/>
      <c r="BA258" s="1172"/>
      <c r="BB258" s="1172"/>
      <c r="BC258" s="1172"/>
      <c r="BD258" s="1172"/>
      <c r="BE258" s="1346"/>
      <c r="BF258" s="1346"/>
      <c r="BG258" s="1344"/>
      <c r="BH258" s="1347"/>
      <c r="BI258" s="1055"/>
      <c r="BJ258" s="1055"/>
      <c r="BK258" s="1055"/>
    </row>
    <row r="259" s="1053" customFormat="1" ht="31" customHeight="1" spans="1:63">
      <c r="A259" s="1265">
        <v>45912</v>
      </c>
      <c r="B259" s="1266" t="s">
        <v>2297</v>
      </c>
      <c r="C259" s="1267" t="s">
        <v>876</v>
      </c>
      <c r="D259" s="1266">
        <v>4500179340</v>
      </c>
      <c r="E259" s="1269">
        <v>21105426</v>
      </c>
      <c r="F259" s="1266" t="s">
        <v>2886</v>
      </c>
      <c r="G259" s="1097" t="s">
        <v>2118</v>
      </c>
      <c r="H259" s="1101" t="s">
        <v>2118</v>
      </c>
      <c r="I259" s="1098" t="s">
        <v>2119</v>
      </c>
      <c r="J259" s="1120">
        <v>1128</v>
      </c>
      <c r="K259" s="1097">
        <v>0</v>
      </c>
      <c r="L259" s="1097">
        <v>12</v>
      </c>
      <c r="M259" s="1114">
        <f t="shared" si="67"/>
        <v>94</v>
      </c>
      <c r="N259" s="1117">
        <v>45957</v>
      </c>
      <c r="O259" s="1117">
        <v>45953</v>
      </c>
      <c r="P259" s="1272" t="s">
        <v>2416</v>
      </c>
      <c r="Q259" s="1285" t="s">
        <v>1480</v>
      </c>
      <c r="R259" s="1280" t="s">
        <v>2882</v>
      </c>
      <c r="S259" s="1147" t="s">
        <v>2883</v>
      </c>
      <c r="T259" s="1364"/>
      <c r="U259" s="1281" t="s">
        <v>2884</v>
      </c>
      <c r="V259" s="1402" t="s">
        <v>2501</v>
      </c>
      <c r="W259" s="1148" t="s">
        <v>2434</v>
      </c>
      <c r="X259" s="1150" t="s">
        <v>2302</v>
      </c>
      <c r="Y259" s="1292">
        <v>2.785</v>
      </c>
      <c r="Z259" s="1166">
        <f t="shared" si="75"/>
        <v>3141.48</v>
      </c>
      <c r="AA259" s="1289" t="s">
        <v>2887</v>
      </c>
      <c r="AB259" s="1137" t="s">
        <v>63</v>
      </c>
      <c r="AC259" s="1137" t="s">
        <v>2040</v>
      </c>
      <c r="AD259" s="1290">
        <v>1128</v>
      </c>
      <c r="AE259" s="1289">
        <f t="shared" si="68"/>
        <v>0</v>
      </c>
      <c r="AF259" s="1291" t="s">
        <v>327</v>
      </c>
      <c r="AG259" s="1291"/>
      <c r="AH259" s="1188">
        <f t="shared" si="71"/>
        <v>376</v>
      </c>
      <c r="AI259" s="1188">
        <f t="shared" si="72"/>
        <v>376</v>
      </c>
      <c r="AJ259" s="1188">
        <f t="shared" si="73"/>
        <v>376</v>
      </c>
      <c r="AK259" s="1418"/>
      <c r="AL259" s="1337"/>
      <c r="AM259" s="1418"/>
      <c r="AN259" s="1418"/>
      <c r="AO259" s="1430"/>
      <c r="AP259" s="1337"/>
      <c r="AQ259" s="1431"/>
      <c r="AR259" s="1338">
        <f t="shared" si="69"/>
        <v>1128</v>
      </c>
      <c r="AS259" s="1430"/>
      <c r="AT259" s="1432"/>
      <c r="AU259" s="1433"/>
      <c r="AV259" s="1433"/>
      <c r="AW259" s="1172">
        <f t="shared" si="74"/>
        <v>1128</v>
      </c>
      <c r="AX259" s="1433"/>
      <c r="AY259" s="1433"/>
      <c r="AZ259" s="1433"/>
      <c r="BA259" s="1172"/>
      <c r="BB259" s="1172"/>
      <c r="BC259" s="1172"/>
      <c r="BD259" s="1172"/>
      <c r="BE259" s="1346"/>
      <c r="BF259" s="1346"/>
      <c r="BG259" s="1344"/>
      <c r="BH259" s="1347"/>
      <c r="BI259" s="1055"/>
      <c r="BJ259" s="1055"/>
      <c r="BK259" s="1055"/>
    </row>
    <row r="260" s="1053" customFormat="1" ht="31" customHeight="1" spans="1:63">
      <c r="A260" s="1265">
        <v>45917</v>
      </c>
      <c r="B260" s="1266" t="s">
        <v>2762</v>
      </c>
      <c r="C260" s="1267" t="s">
        <v>123</v>
      </c>
      <c r="D260" s="1266">
        <v>4500179105</v>
      </c>
      <c r="E260" s="1269" t="s">
        <v>2888</v>
      </c>
      <c r="F260" s="1266" t="s">
        <v>2889</v>
      </c>
      <c r="G260" s="1097" t="s">
        <v>2118</v>
      </c>
      <c r="H260" s="1101" t="s">
        <v>2118</v>
      </c>
      <c r="I260" s="1098" t="s">
        <v>2119</v>
      </c>
      <c r="J260" s="1120">
        <v>504</v>
      </c>
      <c r="K260" s="1097">
        <v>0</v>
      </c>
      <c r="L260" s="1097">
        <v>12</v>
      </c>
      <c r="M260" s="1114">
        <f t="shared" si="67"/>
        <v>42</v>
      </c>
      <c r="N260" s="1117">
        <v>45967</v>
      </c>
      <c r="O260" s="1117">
        <v>45964</v>
      </c>
      <c r="P260" s="1272"/>
      <c r="Q260" s="1285" t="s">
        <v>1480</v>
      </c>
      <c r="R260" s="1280" t="s">
        <v>2890</v>
      </c>
      <c r="S260" s="1147" t="s">
        <v>2891</v>
      </c>
      <c r="T260" s="1364"/>
      <c r="U260" s="1281" t="s">
        <v>2892</v>
      </c>
      <c r="V260" s="1402" t="s">
        <v>2893</v>
      </c>
      <c r="W260" s="1148" t="s">
        <v>2894</v>
      </c>
      <c r="X260" s="1150" t="s">
        <v>2770</v>
      </c>
      <c r="Y260" s="1292">
        <v>2.9668</v>
      </c>
      <c r="Z260" s="1166">
        <f t="shared" si="75"/>
        <v>1495.2672</v>
      </c>
      <c r="AA260" s="1289" t="s">
        <v>2895</v>
      </c>
      <c r="AB260" s="1137" t="s">
        <v>63</v>
      </c>
      <c r="AC260" s="1137" t="s">
        <v>2040</v>
      </c>
      <c r="AD260" s="1290">
        <v>504</v>
      </c>
      <c r="AE260" s="1289">
        <f t="shared" si="68"/>
        <v>0</v>
      </c>
      <c r="AF260" s="1291" t="s">
        <v>327</v>
      </c>
      <c r="AG260" s="1291"/>
      <c r="AH260" s="1188">
        <f t="shared" si="71"/>
        <v>168</v>
      </c>
      <c r="AI260" s="1188">
        <f t="shared" si="72"/>
        <v>168</v>
      </c>
      <c r="AJ260" s="1188">
        <f t="shared" si="73"/>
        <v>168</v>
      </c>
      <c r="AK260" s="1320"/>
      <c r="AL260" s="1415"/>
      <c r="AM260" s="1320"/>
      <c r="AN260" s="1320"/>
      <c r="AO260" s="1423"/>
      <c r="AP260" s="1415"/>
      <c r="AQ260" s="1298"/>
      <c r="AR260" s="1338">
        <f t="shared" si="69"/>
        <v>504</v>
      </c>
      <c r="AS260" s="1423"/>
      <c r="AT260" s="1424"/>
      <c r="AU260" s="1199"/>
      <c r="AV260" s="1199"/>
      <c r="AW260" s="1172">
        <f t="shared" si="74"/>
        <v>504</v>
      </c>
      <c r="AX260" s="1199"/>
      <c r="AY260" s="1199"/>
      <c r="AZ260" s="1199"/>
      <c r="BA260" s="1172"/>
      <c r="BB260" s="1172"/>
      <c r="BC260" s="1172"/>
      <c r="BD260" s="1172"/>
      <c r="BE260" s="1346"/>
      <c r="BF260" s="1346"/>
      <c r="BG260" s="1344"/>
      <c r="BH260" s="1347"/>
      <c r="BI260" s="1262"/>
      <c r="BJ260" s="1262"/>
      <c r="BK260" s="1262"/>
    </row>
    <row r="261" s="1053" customFormat="1" ht="31" customHeight="1" spans="1:63">
      <c r="A261" s="1265">
        <v>45929</v>
      </c>
      <c r="B261" s="1266" t="s">
        <v>856</v>
      </c>
      <c r="C261" s="1267" t="s">
        <v>178</v>
      </c>
      <c r="D261" s="1266">
        <v>4500180852</v>
      </c>
      <c r="E261" s="1269" t="s">
        <v>2896</v>
      </c>
      <c r="F261" s="1266" t="s">
        <v>2897</v>
      </c>
      <c r="G261" s="1101" t="s">
        <v>2316</v>
      </c>
      <c r="H261" s="1101" t="s">
        <v>2317</v>
      </c>
      <c r="I261" s="1098" t="s">
        <v>2063</v>
      </c>
      <c r="J261" s="1120">
        <v>504</v>
      </c>
      <c r="K261" s="1097">
        <v>0</v>
      </c>
      <c r="L261" s="1097">
        <v>12</v>
      </c>
      <c r="M261" s="1114">
        <f t="shared" si="67"/>
        <v>42</v>
      </c>
      <c r="N261" s="1117">
        <v>45968</v>
      </c>
      <c r="O261" s="1117">
        <v>45964</v>
      </c>
      <c r="P261" s="1272"/>
      <c r="Q261" s="1285" t="s">
        <v>1480</v>
      </c>
      <c r="R261" s="1280"/>
      <c r="S261" s="1147" t="s">
        <v>1026</v>
      </c>
      <c r="T261" s="1364"/>
      <c r="U261" s="1281" t="s">
        <v>2898</v>
      </c>
      <c r="V261" s="1402" t="s">
        <v>2899</v>
      </c>
      <c r="W261" s="1148" t="s">
        <v>2900</v>
      </c>
      <c r="X261" s="1150" t="s">
        <v>953</v>
      </c>
      <c r="Y261" s="1292">
        <v>2.9064</v>
      </c>
      <c r="Z261" s="1166">
        <f t="shared" si="75"/>
        <v>1464.8256</v>
      </c>
      <c r="AA261" s="1289"/>
      <c r="AB261" s="1137" t="s">
        <v>63</v>
      </c>
      <c r="AC261" s="1137" t="s">
        <v>2040</v>
      </c>
      <c r="AD261" s="1290">
        <v>504</v>
      </c>
      <c r="AE261" s="1289">
        <f t="shared" ref="AE261:AE266" si="76">AD261-J261</f>
        <v>0</v>
      </c>
      <c r="AF261" s="1291" t="s">
        <v>327</v>
      </c>
      <c r="AG261" s="1291"/>
      <c r="AH261" s="1188"/>
      <c r="AI261" s="1188">
        <f>J261</f>
        <v>504</v>
      </c>
      <c r="AJ261" s="1188"/>
      <c r="AK261" s="1371"/>
      <c r="AL261" s="1372"/>
      <c r="AM261" s="1371"/>
      <c r="AN261" s="1371"/>
      <c r="AO261" s="1384"/>
      <c r="AP261" s="1372"/>
      <c r="AQ261" s="1375"/>
      <c r="AR261" s="1338">
        <f t="shared" si="69"/>
        <v>504</v>
      </c>
      <c r="AS261" s="1384"/>
      <c r="AT261" s="1386"/>
      <c r="AU261" s="1387"/>
      <c r="AV261" s="1387"/>
      <c r="AW261" s="1172"/>
      <c r="AX261" s="1387"/>
      <c r="AY261" s="1387"/>
      <c r="AZ261" s="1387"/>
      <c r="BA261" s="1172">
        <f t="shared" ref="BA261:BA266" si="77">J261</f>
        <v>504</v>
      </c>
      <c r="BB261" s="1172"/>
      <c r="BC261" s="1172"/>
      <c r="BD261" s="1172"/>
      <c r="BE261" s="1346"/>
      <c r="BF261" s="1346"/>
      <c r="BG261" s="1344"/>
      <c r="BH261" s="1347"/>
      <c r="BI261" s="1399"/>
      <c r="BJ261" s="1399"/>
      <c r="BK261" s="1399"/>
    </row>
    <row r="262" s="1053" customFormat="1" ht="31" customHeight="1" spans="1:63">
      <c r="A262" s="1265">
        <v>45929</v>
      </c>
      <c r="B262" s="1266" t="s">
        <v>856</v>
      </c>
      <c r="C262" s="1267" t="s">
        <v>178</v>
      </c>
      <c r="D262" s="1266">
        <v>4500180852</v>
      </c>
      <c r="E262" s="1269" t="s">
        <v>2896</v>
      </c>
      <c r="F262" s="1266" t="s">
        <v>2901</v>
      </c>
      <c r="G262" s="1101" t="s">
        <v>2309</v>
      </c>
      <c r="H262" s="1101" t="s">
        <v>2310</v>
      </c>
      <c r="I262" s="1098" t="s">
        <v>2663</v>
      </c>
      <c r="J262" s="1120">
        <v>504</v>
      </c>
      <c r="K262" s="1097">
        <v>0</v>
      </c>
      <c r="L262" s="1097">
        <v>12</v>
      </c>
      <c r="M262" s="1114">
        <f t="shared" si="67"/>
        <v>42</v>
      </c>
      <c r="N262" s="1117">
        <v>45968</v>
      </c>
      <c r="O262" s="1117">
        <v>45964</v>
      </c>
      <c r="P262" s="1272"/>
      <c r="Q262" s="1285" t="s">
        <v>1480</v>
      </c>
      <c r="R262" s="1280"/>
      <c r="S262" s="1147" t="s">
        <v>1026</v>
      </c>
      <c r="T262" s="1364"/>
      <c r="U262" s="1281" t="s">
        <v>2898</v>
      </c>
      <c r="V262" s="1402" t="s">
        <v>2902</v>
      </c>
      <c r="W262" s="1148" t="s">
        <v>2903</v>
      </c>
      <c r="X262" s="1150" t="s">
        <v>953</v>
      </c>
      <c r="Y262" s="1292">
        <v>2.9064</v>
      </c>
      <c r="Z262" s="1166">
        <f t="shared" si="75"/>
        <v>1464.8256</v>
      </c>
      <c r="AA262" s="1289"/>
      <c r="AB262" s="1137" t="s">
        <v>63</v>
      </c>
      <c r="AC262" s="1137" t="s">
        <v>2040</v>
      </c>
      <c r="AD262" s="1290">
        <v>504</v>
      </c>
      <c r="AE262" s="1289">
        <f t="shared" si="76"/>
        <v>0</v>
      </c>
      <c r="AF262" s="1291" t="s">
        <v>327</v>
      </c>
      <c r="AG262" s="1291"/>
      <c r="AH262" s="1188"/>
      <c r="AI262" s="1188"/>
      <c r="AJ262" s="1188">
        <f>J262</f>
        <v>504</v>
      </c>
      <c r="AK262" s="1371"/>
      <c r="AL262" s="1372"/>
      <c r="AM262" s="1371"/>
      <c r="AN262" s="1371"/>
      <c r="AO262" s="1384"/>
      <c r="AP262" s="1372"/>
      <c r="AQ262" s="1375"/>
      <c r="AR262" s="1338">
        <f t="shared" si="69"/>
        <v>504</v>
      </c>
      <c r="AS262" s="1384"/>
      <c r="AT262" s="1386"/>
      <c r="AU262" s="1387"/>
      <c r="AV262" s="1387"/>
      <c r="AW262" s="1172"/>
      <c r="AX262" s="1387"/>
      <c r="AY262" s="1387"/>
      <c r="AZ262" s="1387"/>
      <c r="BA262" s="1172">
        <f t="shared" si="77"/>
        <v>504</v>
      </c>
      <c r="BB262" s="1172"/>
      <c r="BC262" s="1172"/>
      <c r="BD262" s="1172"/>
      <c r="BE262" s="1346"/>
      <c r="BF262" s="1346"/>
      <c r="BG262" s="1344"/>
      <c r="BH262" s="1347"/>
      <c r="BI262" s="1399"/>
      <c r="BJ262" s="1399"/>
      <c r="BK262" s="1399"/>
    </row>
    <row r="263" s="1053" customFormat="1" ht="31" customHeight="1" spans="1:63">
      <c r="A263" s="1265">
        <v>45929</v>
      </c>
      <c r="B263" s="1266" t="s">
        <v>856</v>
      </c>
      <c r="C263" s="1267" t="s">
        <v>178</v>
      </c>
      <c r="D263" s="1266">
        <v>4500180852</v>
      </c>
      <c r="E263" s="1269" t="s">
        <v>2896</v>
      </c>
      <c r="F263" s="1266" t="s">
        <v>2904</v>
      </c>
      <c r="G263" s="1101" t="s">
        <v>2444</v>
      </c>
      <c r="H263" s="1101" t="s">
        <v>2445</v>
      </c>
      <c r="I263" s="1098" t="s">
        <v>2446</v>
      </c>
      <c r="J263" s="1120">
        <v>504</v>
      </c>
      <c r="K263" s="1097">
        <v>0</v>
      </c>
      <c r="L263" s="1097">
        <v>12</v>
      </c>
      <c r="M263" s="1114">
        <f t="shared" si="67"/>
        <v>42</v>
      </c>
      <c r="N263" s="1117">
        <v>45968</v>
      </c>
      <c r="O263" s="1117">
        <v>45964</v>
      </c>
      <c r="P263" s="1272"/>
      <c r="Q263" s="1285" t="s">
        <v>1480</v>
      </c>
      <c r="R263" s="1280"/>
      <c r="S263" s="1147" t="s">
        <v>1026</v>
      </c>
      <c r="T263" s="1364"/>
      <c r="U263" s="1281" t="s">
        <v>2905</v>
      </c>
      <c r="V263" s="1402" t="s">
        <v>2906</v>
      </c>
      <c r="W263" s="1148" t="s">
        <v>2907</v>
      </c>
      <c r="X263" s="1150" t="s">
        <v>953</v>
      </c>
      <c r="Y263" s="1292">
        <v>2.9688</v>
      </c>
      <c r="Z263" s="1166">
        <f t="shared" si="75"/>
        <v>1496.2752</v>
      </c>
      <c r="AA263" s="1289"/>
      <c r="AB263" s="1137" t="s">
        <v>63</v>
      </c>
      <c r="AC263" s="1137" t="s">
        <v>2040</v>
      </c>
      <c r="AD263" s="1290">
        <v>504</v>
      </c>
      <c r="AE263" s="1289">
        <f t="shared" si="76"/>
        <v>0</v>
      </c>
      <c r="AF263" s="1291" t="s">
        <v>327</v>
      </c>
      <c r="AG263" s="1291"/>
      <c r="AH263" s="1188">
        <f>J263</f>
        <v>504</v>
      </c>
      <c r="AI263" s="1188"/>
      <c r="AJ263" s="1188"/>
      <c r="AK263" s="1371"/>
      <c r="AL263" s="1372"/>
      <c r="AM263" s="1371"/>
      <c r="AN263" s="1371"/>
      <c r="AO263" s="1384"/>
      <c r="AP263" s="1372"/>
      <c r="AQ263" s="1375"/>
      <c r="AR263" s="1338">
        <f t="shared" si="69"/>
        <v>504</v>
      </c>
      <c r="AS263" s="1384"/>
      <c r="AT263" s="1386"/>
      <c r="AU263" s="1387"/>
      <c r="AV263" s="1387"/>
      <c r="AW263" s="1172"/>
      <c r="AX263" s="1387"/>
      <c r="AY263" s="1387"/>
      <c r="AZ263" s="1387"/>
      <c r="BA263" s="1172">
        <f t="shared" si="77"/>
        <v>504</v>
      </c>
      <c r="BB263" s="1172"/>
      <c r="BC263" s="1172"/>
      <c r="BD263" s="1172"/>
      <c r="BE263" s="1346"/>
      <c r="BF263" s="1346"/>
      <c r="BG263" s="1344"/>
      <c r="BH263" s="1347"/>
      <c r="BI263" s="1399"/>
      <c r="BJ263" s="1399"/>
      <c r="BK263" s="1399"/>
    </row>
    <row r="264" s="1053" customFormat="1" ht="31" customHeight="1" spans="1:63">
      <c r="A264" s="1265">
        <v>45929</v>
      </c>
      <c r="B264" s="1266" t="s">
        <v>918</v>
      </c>
      <c r="C264" s="1267" t="s">
        <v>123</v>
      </c>
      <c r="D264" s="1266">
        <v>4500180853</v>
      </c>
      <c r="E264" s="1269" t="s">
        <v>2908</v>
      </c>
      <c r="F264" s="1266" t="s">
        <v>2909</v>
      </c>
      <c r="G264" s="1101" t="s">
        <v>2316</v>
      </c>
      <c r="H264" s="1101" t="s">
        <v>2317</v>
      </c>
      <c r="I264" s="1098" t="s">
        <v>2063</v>
      </c>
      <c r="J264" s="1120">
        <v>1008</v>
      </c>
      <c r="K264" s="1097">
        <v>0</v>
      </c>
      <c r="L264" s="1097">
        <v>12</v>
      </c>
      <c r="M264" s="1114">
        <f t="shared" si="67"/>
        <v>84</v>
      </c>
      <c r="N264" s="1117">
        <v>45971</v>
      </c>
      <c r="O264" s="1117">
        <v>45967</v>
      </c>
      <c r="P264" s="1272"/>
      <c r="Q264" s="1285" t="s">
        <v>1480</v>
      </c>
      <c r="R264" s="1280" t="s">
        <v>2910</v>
      </c>
      <c r="S264" s="1147" t="s">
        <v>1026</v>
      </c>
      <c r="T264" s="1364"/>
      <c r="U264" s="1281" t="s">
        <v>2898</v>
      </c>
      <c r="V264" s="1402" t="s">
        <v>2899</v>
      </c>
      <c r="W264" s="1148" t="s">
        <v>2900</v>
      </c>
      <c r="X264" s="1150" t="s">
        <v>953</v>
      </c>
      <c r="Y264" s="1292">
        <v>2.8454</v>
      </c>
      <c r="Z264" s="1166">
        <f t="shared" si="75"/>
        <v>2868.1632</v>
      </c>
      <c r="AA264" s="1289"/>
      <c r="AB264" s="1137" t="s">
        <v>63</v>
      </c>
      <c r="AC264" s="1137" t="s">
        <v>2040</v>
      </c>
      <c r="AD264" s="1290">
        <v>1008</v>
      </c>
      <c r="AE264" s="1289">
        <f t="shared" si="76"/>
        <v>0</v>
      </c>
      <c r="AF264" s="1291" t="s">
        <v>327</v>
      </c>
      <c r="AG264" s="1291"/>
      <c r="AH264" s="1188"/>
      <c r="AI264" s="1188">
        <f>J264</f>
        <v>1008</v>
      </c>
      <c r="AJ264" s="1188"/>
      <c r="AK264" s="1332"/>
      <c r="AL264" s="1226"/>
      <c r="AM264" s="1332"/>
      <c r="AN264" s="1332"/>
      <c r="AO264" s="1395"/>
      <c r="AP264" s="1226"/>
      <c r="AQ264" s="1310"/>
      <c r="AR264" s="1338">
        <f t="shared" si="69"/>
        <v>1008</v>
      </c>
      <c r="AS264" s="1395"/>
      <c r="AT264" s="1396"/>
      <c r="AU264" s="1203"/>
      <c r="AV264" s="1203"/>
      <c r="AW264" s="1172"/>
      <c r="AX264" s="1203"/>
      <c r="AY264" s="1203"/>
      <c r="AZ264" s="1203"/>
      <c r="BA264" s="1172">
        <f t="shared" si="77"/>
        <v>1008</v>
      </c>
      <c r="BB264" s="1172"/>
      <c r="BC264" s="1172"/>
      <c r="BD264" s="1172"/>
      <c r="BE264" s="1346"/>
      <c r="BF264" s="1346"/>
      <c r="BG264" s="1344"/>
      <c r="BH264" s="1347"/>
      <c r="BI264" s="1263"/>
      <c r="BJ264" s="1263"/>
      <c r="BK264" s="1263"/>
    </row>
    <row r="265" s="1053" customFormat="1" ht="31" customHeight="1" spans="1:63">
      <c r="A265" s="1265">
        <v>45929</v>
      </c>
      <c r="B265" s="1266" t="s">
        <v>918</v>
      </c>
      <c r="C265" s="1267" t="s">
        <v>123</v>
      </c>
      <c r="D265" s="1266">
        <v>4500180853</v>
      </c>
      <c r="E265" s="1269" t="s">
        <v>2908</v>
      </c>
      <c r="F265" s="1266" t="s">
        <v>2911</v>
      </c>
      <c r="G265" s="1101" t="s">
        <v>2309</v>
      </c>
      <c r="H265" s="1101" t="s">
        <v>2310</v>
      </c>
      <c r="I265" s="1098" t="s">
        <v>2663</v>
      </c>
      <c r="J265" s="1120">
        <v>1008</v>
      </c>
      <c r="K265" s="1097">
        <v>0</v>
      </c>
      <c r="L265" s="1097">
        <v>12</v>
      </c>
      <c r="M265" s="1114">
        <f t="shared" si="67"/>
        <v>84</v>
      </c>
      <c r="N265" s="1117">
        <v>45971</v>
      </c>
      <c r="O265" s="1117">
        <v>45967</v>
      </c>
      <c r="P265" s="1272"/>
      <c r="Q265" s="1285" t="s">
        <v>1480</v>
      </c>
      <c r="R265" s="1280" t="s">
        <v>2910</v>
      </c>
      <c r="S265" s="1147" t="s">
        <v>1026</v>
      </c>
      <c r="T265" s="1364"/>
      <c r="U265" s="1281" t="s">
        <v>2898</v>
      </c>
      <c r="V265" s="1402" t="s">
        <v>2902</v>
      </c>
      <c r="W265" s="1148" t="s">
        <v>2903</v>
      </c>
      <c r="X265" s="1150" t="s">
        <v>953</v>
      </c>
      <c r="Y265" s="1292">
        <v>2.8454</v>
      </c>
      <c r="Z265" s="1166">
        <f t="shared" si="75"/>
        <v>2868.1632</v>
      </c>
      <c r="AA265" s="1289"/>
      <c r="AB265" s="1137" t="s">
        <v>63</v>
      </c>
      <c r="AC265" s="1137" t="s">
        <v>2040</v>
      </c>
      <c r="AD265" s="1290">
        <v>1008</v>
      </c>
      <c r="AE265" s="1289">
        <f t="shared" si="76"/>
        <v>0</v>
      </c>
      <c r="AF265" s="1291" t="s">
        <v>327</v>
      </c>
      <c r="AG265" s="1291"/>
      <c r="AH265" s="1188"/>
      <c r="AI265" s="1188"/>
      <c r="AJ265" s="1188">
        <f>J265</f>
        <v>1008</v>
      </c>
      <c r="AK265" s="1332"/>
      <c r="AL265" s="1226"/>
      <c r="AM265" s="1332"/>
      <c r="AN265" s="1332"/>
      <c r="AO265" s="1395"/>
      <c r="AP265" s="1226"/>
      <c r="AQ265" s="1310"/>
      <c r="AR265" s="1338">
        <f t="shared" si="69"/>
        <v>1008</v>
      </c>
      <c r="AS265" s="1395"/>
      <c r="AT265" s="1396"/>
      <c r="AU265" s="1203"/>
      <c r="AV265" s="1203"/>
      <c r="AW265" s="1172"/>
      <c r="AX265" s="1203"/>
      <c r="AY265" s="1203"/>
      <c r="AZ265" s="1203"/>
      <c r="BA265" s="1172">
        <f t="shared" si="77"/>
        <v>1008</v>
      </c>
      <c r="BB265" s="1172"/>
      <c r="BC265" s="1172"/>
      <c r="BD265" s="1172"/>
      <c r="BE265" s="1346"/>
      <c r="BF265" s="1346"/>
      <c r="BG265" s="1344"/>
      <c r="BH265" s="1347"/>
      <c r="BI265" s="1263"/>
      <c r="BJ265" s="1263"/>
      <c r="BK265" s="1263"/>
    </row>
    <row r="266" s="1053" customFormat="1" ht="31" customHeight="1" spans="1:63">
      <c r="A266" s="1265">
        <v>45929</v>
      </c>
      <c r="B266" s="1266" t="s">
        <v>918</v>
      </c>
      <c r="C266" s="1267" t="s">
        <v>123</v>
      </c>
      <c r="D266" s="1266">
        <v>4500180853</v>
      </c>
      <c r="E266" s="1269" t="s">
        <v>2908</v>
      </c>
      <c r="F266" s="1266" t="s">
        <v>2912</v>
      </c>
      <c r="G266" s="1101" t="s">
        <v>2444</v>
      </c>
      <c r="H266" s="1101" t="s">
        <v>2445</v>
      </c>
      <c r="I266" s="1098" t="s">
        <v>2446</v>
      </c>
      <c r="J266" s="1120">
        <v>1200</v>
      </c>
      <c r="K266" s="1097">
        <v>0</v>
      </c>
      <c r="L266" s="1097">
        <v>12</v>
      </c>
      <c r="M266" s="1114">
        <f t="shared" si="67"/>
        <v>100</v>
      </c>
      <c r="N266" s="1117">
        <v>45971</v>
      </c>
      <c r="O266" s="1117">
        <v>45967</v>
      </c>
      <c r="P266" s="1272"/>
      <c r="Q266" s="1285" t="s">
        <v>1480</v>
      </c>
      <c r="R266" s="1280" t="s">
        <v>2910</v>
      </c>
      <c r="S266" s="1147" t="s">
        <v>1026</v>
      </c>
      <c r="T266" s="1364"/>
      <c r="U266" s="1281" t="s">
        <v>2905</v>
      </c>
      <c r="V266" s="1402" t="s">
        <v>2906</v>
      </c>
      <c r="W266" s="1148" t="s">
        <v>2907</v>
      </c>
      <c r="X266" s="1150" t="s">
        <v>953</v>
      </c>
      <c r="Y266" s="1292">
        <v>2.8454</v>
      </c>
      <c r="Z266" s="1166">
        <f t="shared" si="75"/>
        <v>3414.48</v>
      </c>
      <c r="AA266" s="1289"/>
      <c r="AB266" s="1137" t="s">
        <v>63</v>
      </c>
      <c r="AC266" s="1137" t="s">
        <v>2040</v>
      </c>
      <c r="AD266" s="1290">
        <v>1200</v>
      </c>
      <c r="AE266" s="1289">
        <f t="shared" si="76"/>
        <v>0</v>
      </c>
      <c r="AF266" s="1291" t="s">
        <v>327</v>
      </c>
      <c r="AG266" s="1291"/>
      <c r="AH266" s="1188">
        <f>J266</f>
        <v>1200</v>
      </c>
      <c r="AI266" s="1188"/>
      <c r="AJ266" s="1188"/>
      <c r="AK266" s="1330"/>
      <c r="AL266" s="1223"/>
      <c r="AM266" s="1330"/>
      <c r="AN266" s="1330"/>
      <c r="AO266" s="1499"/>
      <c r="AP266" s="1223"/>
      <c r="AQ266" s="1304"/>
      <c r="AR266" s="1338">
        <f t="shared" si="69"/>
        <v>1200</v>
      </c>
      <c r="AS266" s="1499"/>
      <c r="AT266" s="1500"/>
      <c r="AU266" s="1201"/>
      <c r="AV266" s="1201"/>
      <c r="AW266" s="1172"/>
      <c r="AX266" s="1201"/>
      <c r="AY266" s="1201"/>
      <c r="AZ266" s="1201"/>
      <c r="BA266" s="1172">
        <f t="shared" si="77"/>
        <v>1200</v>
      </c>
      <c r="BB266" s="1172"/>
      <c r="BC266" s="1172"/>
      <c r="BD266" s="1172"/>
      <c r="BE266" s="1346"/>
      <c r="BF266" s="1346"/>
      <c r="BG266" s="1344"/>
      <c r="BH266" s="1347"/>
      <c r="BI266" s="1054"/>
      <c r="BJ266" s="1054"/>
      <c r="BK266" s="1054"/>
    </row>
    <row r="267" s="1053" customFormat="1" ht="31" customHeight="1" spans="1:60">
      <c r="A267" s="1265">
        <v>45944</v>
      </c>
      <c r="B267" s="1266" t="s">
        <v>2508</v>
      </c>
      <c r="C267" s="1267" t="s">
        <v>2509</v>
      </c>
      <c r="D267" s="1266">
        <v>4500181872</v>
      </c>
      <c r="E267" s="1269" t="s">
        <v>2913</v>
      </c>
      <c r="F267" s="1266" t="s">
        <v>2914</v>
      </c>
      <c r="G267" s="1097" t="s">
        <v>2118</v>
      </c>
      <c r="H267" s="1101" t="s">
        <v>2118</v>
      </c>
      <c r="I267" s="1270" t="s">
        <v>2119</v>
      </c>
      <c r="J267" s="1120">
        <v>252</v>
      </c>
      <c r="K267" s="1097">
        <v>0</v>
      </c>
      <c r="L267" s="1097">
        <v>12</v>
      </c>
      <c r="M267" s="1114">
        <v>21</v>
      </c>
      <c r="N267" s="1117">
        <v>45973</v>
      </c>
      <c r="O267" s="1117">
        <v>45969</v>
      </c>
      <c r="P267" s="1272"/>
      <c r="Q267" s="1285" t="s">
        <v>1480</v>
      </c>
      <c r="R267" s="1280" t="s">
        <v>2910</v>
      </c>
      <c r="S267" s="1147" t="s">
        <v>2915</v>
      </c>
      <c r="T267" s="1364"/>
      <c r="U267" s="1406" t="s">
        <v>2916</v>
      </c>
      <c r="V267" s="1402" t="s">
        <v>2917</v>
      </c>
      <c r="W267" s="1148" t="s">
        <v>2918</v>
      </c>
      <c r="X267" s="1150" t="s">
        <v>435</v>
      </c>
      <c r="Y267" s="1292">
        <v>2.9021</v>
      </c>
      <c r="Z267" s="1166">
        <v>731.3292</v>
      </c>
      <c r="AA267" s="1289"/>
      <c r="AB267" s="1137" t="s">
        <v>63</v>
      </c>
      <c r="AC267" s="1137" t="s">
        <v>2040</v>
      </c>
      <c r="AD267" s="1290">
        <v>252</v>
      </c>
      <c r="AE267" s="1289">
        <f t="shared" ref="AE267:AE282" si="78">AD267-J267</f>
        <v>0</v>
      </c>
      <c r="AF267" s="1291" t="s">
        <v>327</v>
      </c>
      <c r="AG267" s="1291"/>
      <c r="AH267" s="1189">
        <v>84</v>
      </c>
      <c r="AI267" s="1188">
        <v>84</v>
      </c>
      <c r="AJ267" s="1189">
        <v>84</v>
      </c>
      <c r="AK267" s="1319"/>
      <c r="AL267" s="1214"/>
      <c r="AM267" s="1319"/>
      <c r="AN267" s="1319"/>
      <c r="AO267" s="1338"/>
      <c r="AP267" s="1214"/>
      <c r="AQ267" s="1346"/>
      <c r="AR267" s="1338">
        <f t="shared" si="69"/>
        <v>252</v>
      </c>
      <c r="AS267" s="1338"/>
      <c r="AT267" s="1429"/>
      <c r="AU267" s="1397"/>
      <c r="AV267" s="1397"/>
      <c r="AW267" s="1172">
        <f>J267</f>
        <v>252</v>
      </c>
      <c r="AX267" s="1397"/>
      <c r="AY267" s="1397"/>
      <c r="AZ267" s="1397"/>
      <c r="BA267" s="1172"/>
      <c r="BB267" s="1172"/>
      <c r="BC267" s="1172"/>
      <c r="BD267" s="1172"/>
      <c r="BE267" s="1346"/>
      <c r="BF267" s="1346"/>
      <c r="BG267" s="1344"/>
      <c r="BH267" s="1347"/>
    </row>
    <row r="268" s="1053" customFormat="1" ht="31" customHeight="1" spans="1:60">
      <c r="A268" s="1265">
        <v>45930</v>
      </c>
      <c r="B268" s="1266" t="s">
        <v>2724</v>
      </c>
      <c r="C268" s="1267" t="s">
        <v>123</v>
      </c>
      <c r="D268" s="1266">
        <v>4500181035</v>
      </c>
      <c r="E268" s="1269" t="s">
        <v>2919</v>
      </c>
      <c r="F268" s="1266" t="s">
        <v>2920</v>
      </c>
      <c r="G268" s="1101" t="s">
        <v>2726</v>
      </c>
      <c r="H268" s="1101" t="s">
        <v>2726</v>
      </c>
      <c r="I268" s="1098" t="s">
        <v>2727</v>
      </c>
      <c r="J268" s="1120">
        <v>1280</v>
      </c>
      <c r="K268" s="1097">
        <v>0</v>
      </c>
      <c r="L268" s="1097">
        <v>320</v>
      </c>
      <c r="M268" s="1114">
        <f>J268/L268</f>
        <v>4</v>
      </c>
      <c r="N268" s="1117">
        <v>45978</v>
      </c>
      <c r="O268" s="1117">
        <v>45974</v>
      </c>
      <c r="P268" s="1272"/>
      <c r="Q268" s="1285" t="s">
        <v>1480</v>
      </c>
      <c r="R268" s="1280" t="s">
        <v>2921</v>
      </c>
      <c r="S268" s="1147" t="s">
        <v>1026</v>
      </c>
      <c r="T268" s="1364"/>
      <c r="U268" s="1281" t="s">
        <v>2922</v>
      </c>
      <c r="V268" s="1402" t="s">
        <v>2731</v>
      </c>
      <c r="W268" s="1148" t="s">
        <v>2923</v>
      </c>
      <c r="X268" s="1150" t="s">
        <v>2924</v>
      </c>
      <c r="Y268" s="1292">
        <v>875.6817</v>
      </c>
      <c r="Z268" s="1166">
        <f>Y268*M268</f>
        <v>3502.7268</v>
      </c>
      <c r="AA268" s="1289" t="s">
        <v>2925</v>
      </c>
      <c r="AB268" s="1137" t="s">
        <v>63</v>
      </c>
      <c r="AC268" s="1137" t="s">
        <v>2040</v>
      </c>
      <c r="AD268" s="1290">
        <v>1280</v>
      </c>
      <c r="AE268" s="1289">
        <f t="shared" si="78"/>
        <v>0</v>
      </c>
      <c r="AF268" s="1291"/>
      <c r="AG268" s="1291"/>
      <c r="AH268" s="1188">
        <f>J268/3</f>
        <v>426.666666666667</v>
      </c>
      <c r="AI268" s="1188">
        <f>J268/3</f>
        <v>426.666666666667</v>
      </c>
      <c r="AJ268" s="1189">
        <f>J268/3</f>
        <v>426.666666666667</v>
      </c>
      <c r="AK268" s="1319"/>
      <c r="AL268" s="1214"/>
      <c r="AM268" s="1319"/>
      <c r="AN268" s="1319"/>
      <c r="AO268" s="1338"/>
      <c r="AP268" s="1214"/>
      <c r="AQ268" s="1346"/>
      <c r="AR268" s="1338">
        <f t="shared" si="69"/>
        <v>1280</v>
      </c>
      <c r="AS268" s="1338"/>
      <c r="AT268" s="1429"/>
      <c r="AU268" s="1397"/>
      <c r="AV268" s="1397"/>
      <c r="AW268" s="1172">
        <f>J268</f>
        <v>1280</v>
      </c>
      <c r="AX268" s="1397"/>
      <c r="AY268" s="1397"/>
      <c r="AZ268" s="1397"/>
      <c r="BA268" s="1172"/>
      <c r="BB268" s="1172"/>
      <c r="BC268" s="1172"/>
      <c r="BD268" s="1172"/>
      <c r="BE268" s="1346"/>
      <c r="BF268" s="1346"/>
      <c r="BG268" s="1344"/>
      <c r="BH268" s="1347"/>
    </row>
    <row r="269" s="1053" customFormat="1" ht="31" customHeight="1" spans="1:60">
      <c r="A269" s="1265">
        <v>45880</v>
      </c>
      <c r="B269" s="1266" t="s">
        <v>811</v>
      </c>
      <c r="C269" s="1267" t="s">
        <v>91</v>
      </c>
      <c r="D269" s="1266">
        <v>4500176577</v>
      </c>
      <c r="E269" s="1269">
        <v>70072653</v>
      </c>
      <c r="F269" s="1266" t="s">
        <v>2926</v>
      </c>
      <c r="G269" s="1097" t="s">
        <v>2118</v>
      </c>
      <c r="H269" s="1101" t="s">
        <v>2118</v>
      </c>
      <c r="I269" s="1098" t="s">
        <v>2119</v>
      </c>
      <c r="J269" s="1120">
        <v>1200</v>
      </c>
      <c r="K269" s="1097">
        <v>0</v>
      </c>
      <c r="L269" s="1097">
        <v>12</v>
      </c>
      <c r="M269" s="1114">
        <f>J269/L269</f>
        <v>100</v>
      </c>
      <c r="N269" s="1117">
        <v>45981</v>
      </c>
      <c r="O269" s="1117">
        <v>45978</v>
      </c>
      <c r="P269" s="1272"/>
      <c r="Q269" s="1285" t="s">
        <v>1480</v>
      </c>
      <c r="R269" s="1280" t="s">
        <v>2927</v>
      </c>
      <c r="S269" s="1147" t="s">
        <v>2928</v>
      </c>
      <c r="T269" s="1364"/>
      <c r="U269" s="1406" t="s">
        <v>2929</v>
      </c>
      <c r="V269" s="1402" t="s">
        <v>424</v>
      </c>
      <c r="W269" s="1148" t="s">
        <v>816</v>
      </c>
      <c r="X269" s="1150" t="s">
        <v>681</v>
      </c>
      <c r="Y269" s="1292">
        <v>1.7072</v>
      </c>
      <c r="Z269" s="1166">
        <f>Y269*J269</f>
        <v>2048.64</v>
      </c>
      <c r="AA269" s="1289" t="s">
        <v>2930</v>
      </c>
      <c r="AB269" s="1137" t="s">
        <v>63</v>
      </c>
      <c r="AC269" s="1137" t="s">
        <v>2040</v>
      </c>
      <c r="AD269" s="1290">
        <v>1200</v>
      </c>
      <c r="AE269" s="1289">
        <f t="shared" si="78"/>
        <v>0</v>
      </c>
      <c r="AF269" s="1291" t="s">
        <v>327</v>
      </c>
      <c r="AG269" s="1291"/>
      <c r="AH269" s="1188">
        <f>J269/3</f>
        <v>400</v>
      </c>
      <c r="AI269" s="1188">
        <f>J269/3</f>
        <v>400</v>
      </c>
      <c r="AJ269" s="1188">
        <f>J269/3</f>
        <v>400</v>
      </c>
      <c r="AK269" s="1319"/>
      <c r="AL269" s="1214"/>
      <c r="AM269" s="1319"/>
      <c r="AN269" s="1319"/>
      <c r="AO269" s="1338"/>
      <c r="AP269" s="1214"/>
      <c r="AQ269" s="1346"/>
      <c r="AR269" s="1338">
        <f t="shared" si="69"/>
        <v>1200</v>
      </c>
      <c r="AS269" s="1338"/>
      <c r="AT269" s="1429"/>
      <c r="AU269" s="1397"/>
      <c r="AV269" s="1397"/>
      <c r="AW269" s="1172">
        <f>J269</f>
        <v>1200</v>
      </c>
      <c r="AX269" s="1397"/>
      <c r="AY269" s="1397"/>
      <c r="AZ269" s="1397"/>
      <c r="BA269" s="1172"/>
      <c r="BB269" s="1172"/>
      <c r="BC269" s="1172"/>
      <c r="BD269" s="1172"/>
      <c r="BE269" s="1346"/>
      <c r="BF269" s="1346"/>
      <c r="BG269" s="1344"/>
      <c r="BH269" s="1347"/>
    </row>
    <row r="270" s="1053" customFormat="1" ht="31" customHeight="1" spans="1:60">
      <c r="A270" s="1265">
        <v>45940</v>
      </c>
      <c r="B270" s="1266" t="s">
        <v>1915</v>
      </c>
      <c r="C270" s="1267" t="s">
        <v>91</v>
      </c>
      <c r="D270" s="1266">
        <v>4500181359</v>
      </c>
      <c r="E270" s="1269" t="s">
        <v>2931</v>
      </c>
      <c r="F270" s="1266" t="s">
        <v>2932</v>
      </c>
      <c r="G270" s="1097" t="s">
        <v>2118</v>
      </c>
      <c r="H270" s="1101" t="s">
        <v>2118</v>
      </c>
      <c r="I270" s="1098" t="s">
        <v>2119</v>
      </c>
      <c r="J270" s="1120">
        <v>12</v>
      </c>
      <c r="K270" s="1097">
        <v>0</v>
      </c>
      <c r="L270" s="1097">
        <v>12</v>
      </c>
      <c r="M270" s="1114">
        <f>J270/L270</f>
        <v>1</v>
      </c>
      <c r="N270" s="1117">
        <v>45981</v>
      </c>
      <c r="O270" s="1117">
        <v>45978</v>
      </c>
      <c r="P270" s="1272"/>
      <c r="Q270" s="1285" t="s">
        <v>1480</v>
      </c>
      <c r="R270" s="1408" t="s">
        <v>2933</v>
      </c>
      <c r="S270" s="1147" t="s">
        <v>2934</v>
      </c>
      <c r="T270" s="1364"/>
      <c r="U270" s="1406" t="s">
        <v>58</v>
      </c>
      <c r="V270" s="1402" t="s">
        <v>2935</v>
      </c>
      <c r="W270" s="1148" t="s">
        <v>2936</v>
      </c>
      <c r="X270" s="1150" t="s">
        <v>2937</v>
      </c>
      <c r="Y270" s="1292">
        <v>1.8433</v>
      </c>
      <c r="Z270" s="1166">
        <f>Y270*J270</f>
        <v>22.1196</v>
      </c>
      <c r="AA270" s="1289"/>
      <c r="AB270" s="1137" t="s">
        <v>63</v>
      </c>
      <c r="AC270" s="1137" t="s">
        <v>2040</v>
      </c>
      <c r="AD270" s="1290">
        <v>12</v>
      </c>
      <c r="AE270" s="1289">
        <f t="shared" si="78"/>
        <v>0</v>
      </c>
      <c r="AF270" s="1291"/>
      <c r="AG270" s="1291"/>
      <c r="AH270" s="1188">
        <f>J270/3</f>
        <v>4</v>
      </c>
      <c r="AI270" s="1188">
        <f>J270/3</f>
        <v>4</v>
      </c>
      <c r="AJ270" s="1188">
        <f>J270/3</f>
        <v>4</v>
      </c>
      <c r="AK270" s="1319"/>
      <c r="AL270" s="1214"/>
      <c r="AM270" s="1319"/>
      <c r="AN270" s="1319"/>
      <c r="AO270" s="1338"/>
      <c r="AP270" s="1214"/>
      <c r="AQ270" s="1346"/>
      <c r="AR270" s="1338">
        <f t="shared" si="69"/>
        <v>12</v>
      </c>
      <c r="AS270" s="1338"/>
      <c r="AT270" s="1429"/>
      <c r="AU270" s="1397"/>
      <c r="AV270" s="1397"/>
      <c r="AW270" s="1172">
        <f>J270</f>
        <v>12</v>
      </c>
      <c r="AX270" s="1397"/>
      <c r="AY270" s="1397"/>
      <c r="AZ270" s="1397"/>
      <c r="BA270" s="1172"/>
      <c r="BB270" s="1172"/>
      <c r="BC270" s="1172"/>
      <c r="BD270" s="1172"/>
      <c r="BE270" s="1346"/>
      <c r="BF270" s="1346"/>
      <c r="BG270" s="1344"/>
      <c r="BH270" s="1347"/>
    </row>
    <row r="271" s="1053" customFormat="1" ht="31" customHeight="1" spans="1:60">
      <c r="A271" s="1265">
        <v>45940</v>
      </c>
      <c r="B271" s="1266" t="s">
        <v>1915</v>
      </c>
      <c r="C271" s="1267" t="s">
        <v>91</v>
      </c>
      <c r="D271" s="1266">
        <v>4500181420</v>
      </c>
      <c r="E271" s="1269" t="s">
        <v>2938</v>
      </c>
      <c r="F271" s="1266" t="s">
        <v>2939</v>
      </c>
      <c r="G271" s="1097" t="s">
        <v>2118</v>
      </c>
      <c r="H271" s="1101" t="s">
        <v>2118</v>
      </c>
      <c r="I271" s="1098" t="s">
        <v>2119</v>
      </c>
      <c r="J271" s="1120">
        <v>336</v>
      </c>
      <c r="K271" s="1097">
        <v>0</v>
      </c>
      <c r="L271" s="1097">
        <v>12</v>
      </c>
      <c r="M271" s="1114">
        <f>J271/L271</f>
        <v>28</v>
      </c>
      <c r="N271" s="1117">
        <v>45981</v>
      </c>
      <c r="O271" s="1117">
        <v>45978</v>
      </c>
      <c r="P271" s="1272"/>
      <c r="Q271" s="1285" t="s">
        <v>1480</v>
      </c>
      <c r="R271" s="1280" t="s">
        <v>2940</v>
      </c>
      <c r="S271" s="1147" t="s">
        <v>2934</v>
      </c>
      <c r="T271" s="1364"/>
      <c r="U271" s="1406" t="s">
        <v>58</v>
      </c>
      <c r="V271" s="1402" t="s">
        <v>2935</v>
      </c>
      <c r="W271" s="1148" t="s">
        <v>2936</v>
      </c>
      <c r="X271" s="1150" t="s">
        <v>2937</v>
      </c>
      <c r="Y271" s="1292">
        <v>1.8433</v>
      </c>
      <c r="Z271" s="1166">
        <f>Y271*J271</f>
        <v>619.3488</v>
      </c>
      <c r="AA271" s="1289"/>
      <c r="AB271" s="1137" t="s">
        <v>63</v>
      </c>
      <c r="AC271" s="1137" t="s">
        <v>2040</v>
      </c>
      <c r="AD271" s="1290">
        <v>336</v>
      </c>
      <c r="AE271" s="1289">
        <f t="shared" si="78"/>
        <v>0</v>
      </c>
      <c r="AF271" s="1291"/>
      <c r="AG271" s="1291"/>
      <c r="AH271" s="1188">
        <f>J271/3</f>
        <v>112</v>
      </c>
      <c r="AI271" s="1188">
        <f>J271/3</f>
        <v>112</v>
      </c>
      <c r="AJ271" s="1188">
        <f>J271/3</f>
        <v>112</v>
      </c>
      <c r="AK271" s="1319"/>
      <c r="AL271" s="1214"/>
      <c r="AM271" s="1319"/>
      <c r="AN271" s="1319"/>
      <c r="AO271" s="1338"/>
      <c r="AP271" s="1214"/>
      <c r="AQ271" s="1346"/>
      <c r="AR271" s="1338">
        <f t="shared" si="69"/>
        <v>336</v>
      </c>
      <c r="AS271" s="1338"/>
      <c r="AT271" s="1429"/>
      <c r="AU271" s="1397"/>
      <c r="AV271" s="1397"/>
      <c r="AW271" s="1172">
        <f>J271</f>
        <v>336</v>
      </c>
      <c r="AX271" s="1397"/>
      <c r="AY271" s="1397"/>
      <c r="AZ271" s="1397"/>
      <c r="BA271" s="1172"/>
      <c r="BB271" s="1172"/>
      <c r="BC271" s="1172"/>
      <c r="BD271" s="1172"/>
      <c r="BE271" s="1346"/>
      <c r="BF271" s="1346"/>
      <c r="BG271" s="1344"/>
      <c r="BH271" s="1347"/>
    </row>
    <row r="272" s="1053" customFormat="1" ht="31" customHeight="1" spans="1:60">
      <c r="A272" s="1265">
        <v>45943</v>
      </c>
      <c r="B272" s="1266" t="s">
        <v>1671</v>
      </c>
      <c r="C272" s="1267" t="s">
        <v>398</v>
      </c>
      <c r="D272" s="1266">
        <v>4500181602</v>
      </c>
      <c r="E272" s="1269" t="s">
        <v>2941</v>
      </c>
      <c r="F272" s="1266" t="s">
        <v>2942</v>
      </c>
      <c r="G272" s="1359" t="s">
        <v>2452</v>
      </c>
      <c r="H272" s="1101" t="s">
        <v>2452</v>
      </c>
      <c r="I272" s="1270" t="s">
        <v>2052</v>
      </c>
      <c r="J272" s="1120">
        <v>24</v>
      </c>
      <c r="K272" s="1097">
        <v>0</v>
      </c>
      <c r="L272" s="1097">
        <v>24</v>
      </c>
      <c r="M272" s="1114">
        <v>1</v>
      </c>
      <c r="N272" s="1117">
        <v>45981</v>
      </c>
      <c r="O272" s="1117">
        <v>45978</v>
      </c>
      <c r="P272" s="1272" t="s">
        <v>2943</v>
      </c>
      <c r="Q272" s="1285" t="s">
        <v>1480</v>
      </c>
      <c r="R272" s="1280"/>
      <c r="S272" s="1147" t="s">
        <v>2915</v>
      </c>
      <c r="T272" s="1364"/>
      <c r="U272" s="1406" t="s">
        <v>2944</v>
      </c>
      <c r="V272" s="1402" t="s">
        <v>2945</v>
      </c>
      <c r="W272" s="1148" t="s">
        <v>2946</v>
      </c>
      <c r="X272" s="1150" t="s">
        <v>220</v>
      </c>
      <c r="Y272" s="1292">
        <v>2.9197</v>
      </c>
      <c r="Z272" s="1166">
        <v>70.0728</v>
      </c>
      <c r="AA272" s="1289"/>
      <c r="AB272" s="1137" t="s">
        <v>63</v>
      </c>
      <c r="AC272" s="1137" t="s">
        <v>2040</v>
      </c>
      <c r="AD272" s="1290">
        <v>24</v>
      </c>
      <c r="AE272" s="1289">
        <f t="shared" si="78"/>
        <v>0</v>
      </c>
      <c r="AF272" s="1291" t="s">
        <v>327</v>
      </c>
      <c r="AG272" s="1291"/>
      <c r="AH272" s="1189">
        <v>24</v>
      </c>
      <c r="AI272" s="1188"/>
      <c r="AJ272" s="1189"/>
      <c r="AK272" s="1319"/>
      <c r="AL272" s="1214"/>
      <c r="AM272" s="1319"/>
      <c r="AN272" s="1319"/>
      <c r="AO272" s="1338"/>
      <c r="AP272" s="1214"/>
      <c r="AQ272" s="1346"/>
      <c r="AR272" s="1338">
        <f t="shared" si="69"/>
        <v>24</v>
      </c>
      <c r="AS272" s="1338"/>
      <c r="AT272" s="1429"/>
      <c r="AU272" s="1397"/>
      <c r="AV272" s="1397"/>
      <c r="AW272" s="1172"/>
      <c r="AX272" s="1397"/>
      <c r="AY272" s="1397"/>
      <c r="AZ272" s="1397"/>
      <c r="BA272" s="1172"/>
      <c r="BB272" s="1172"/>
      <c r="BC272" s="1172"/>
      <c r="BD272" s="1172"/>
      <c r="BE272" s="1346"/>
      <c r="BF272" s="1346">
        <f>J272</f>
        <v>24</v>
      </c>
      <c r="BG272" s="1344"/>
      <c r="BH272" s="1347"/>
    </row>
    <row r="273" s="1053" customFormat="1" ht="31" customHeight="1" spans="1:63">
      <c r="A273" s="1265">
        <v>45943</v>
      </c>
      <c r="B273" s="1266" t="s">
        <v>1671</v>
      </c>
      <c r="C273" s="1267" t="s">
        <v>398</v>
      </c>
      <c r="D273" s="1266">
        <v>4500181602</v>
      </c>
      <c r="E273" s="1269" t="s">
        <v>2947</v>
      </c>
      <c r="F273" s="1266" t="s">
        <v>2948</v>
      </c>
      <c r="G273" s="1359" t="s">
        <v>2452</v>
      </c>
      <c r="H273" s="1101" t="s">
        <v>2452</v>
      </c>
      <c r="I273" s="1270" t="s">
        <v>2052</v>
      </c>
      <c r="J273" s="1120">
        <v>24</v>
      </c>
      <c r="K273" s="1097">
        <v>0</v>
      </c>
      <c r="L273" s="1097">
        <v>24</v>
      </c>
      <c r="M273" s="1114">
        <v>1</v>
      </c>
      <c r="N273" s="1117">
        <v>45981</v>
      </c>
      <c r="O273" s="1117">
        <v>45978</v>
      </c>
      <c r="P273" s="1272" t="s">
        <v>2943</v>
      </c>
      <c r="Q273" s="1285" t="s">
        <v>1480</v>
      </c>
      <c r="R273" s="1280"/>
      <c r="S273" s="1147" t="s">
        <v>2915</v>
      </c>
      <c r="T273" s="1364"/>
      <c r="U273" s="1406" t="s">
        <v>2944</v>
      </c>
      <c r="V273" s="1402" t="s">
        <v>2945</v>
      </c>
      <c r="W273" s="1148" t="s">
        <v>2946</v>
      </c>
      <c r="X273" s="1150" t="s">
        <v>220</v>
      </c>
      <c r="Y273" s="1292">
        <v>2.9197</v>
      </c>
      <c r="Z273" s="1166">
        <v>70.0728</v>
      </c>
      <c r="AA273" s="1289"/>
      <c r="AB273" s="1137" t="s">
        <v>63</v>
      </c>
      <c r="AC273" s="1137" t="s">
        <v>2040</v>
      </c>
      <c r="AD273" s="1290">
        <v>24</v>
      </c>
      <c r="AE273" s="1289">
        <f t="shared" si="78"/>
        <v>0</v>
      </c>
      <c r="AF273" s="1291" t="s">
        <v>327</v>
      </c>
      <c r="AG273" s="1291"/>
      <c r="AH273" s="1189">
        <v>24</v>
      </c>
      <c r="AI273" s="1188"/>
      <c r="AJ273" s="1189"/>
      <c r="AK273" s="1416"/>
      <c r="AL273" s="1417"/>
      <c r="AM273" s="1416"/>
      <c r="AN273" s="1416"/>
      <c r="AO273" s="1425"/>
      <c r="AP273" s="1417"/>
      <c r="AQ273" s="1426"/>
      <c r="AR273" s="1338">
        <f t="shared" si="69"/>
        <v>24</v>
      </c>
      <c r="AS273" s="1425"/>
      <c r="AT273" s="1427"/>
      <c r="AU273" s="1428"/>
      <c r="AV273" s="1428"/>
      <c r="AW273" s="1172"/>
      <c r="AX273" s="1428"/>
      <c r="AY273" s="1428"/>
      <c r="AZ273" s="1428"/>
      <c r="BA273" s="1172"/>
      <c r="BB273" s="1172"/>
      <c r="BC273" s="1172"/>
      <c r="BD273" s="1172"/>
      <c r="BE273" s="1346"/>
      <c r="BF273" s="1346">
        <f>J273</f>
        <v>24</v>
      </c>
      <c r="BG273" s="1344"/>
      <c r="BH273" s="1347"/>
      <c r="BI273" s="1435"/>
      <c r="BJ273" s="1435"/>
      <c r="BK273" s="1435"/>
    </row>
    <row r="274" s="1053" customFormat="1" ht="31" customHeight="1" spans="1:60">
      <c r="A274" s="1265">
        <v>45952</v>
      </c>
      <c r="B274" s="1266" t="s">
        <v>945</v>
      </c>
      <c r="C274" s="1267" t="s">
        <v>493</v>
      </c>
      <c r="D274" s="1266">
        <v>4500182612</v>
      </c>
      <c r="E274" s="1269" t="s">
        <v>2949</v>
      </c>
      <c r="F274" s="1266" t="s">
        <v>2950</v>
      </c>
      <c r="G274" s="1101" t="s">
        <v>2309</v>
      </c>
      <c r="H274" s="1101" t="s">
        <v>2310</v>
      </c>
      <c r="I274" s="1098" t="s">
        <v>2663</v>
      </c>
      <c r="J274" s="1120">
        <v>1200</v>
      </c>
      <c r="K274" s="1097">
        <v>0</v>
      </c>
      <c r="L274" s="1097">
        <v>12</v>
      </c>
      <c r="M274" s="1114">
        <f t="shared" ref="M274:M316" si="79">J274/L274</f>
        <v>100</v>
      </c>
      <c r="N274" s="1117">
        <v>45982</v>
      </c>
      <c r="O274" s="1117">
        <v>45978</v>
      </c>
      <c r="P274" s="1272"/>
      <c r="Q274" s="1285" t="s">
        <v>1480</v>
      </c>
      <c r="R274" s="1280"/>
      <c r="S274" s="1147" t="s">
        <v>1109</v>
      </c>
      <c r="T274" s="1364"/>
      <c r="U274" s="1406" t="s">
        <v>2658</v>
      </c>
      <c r="V274" s="1402" t="s">
        <v>2902</v>
      </c>
      <c r="W274" s="1148" t="s">
        <v>2951</v>
      </c>
      <c r="X274" s="1150" t="s">
        <v>953</v>
      </c>
      <c r="Y274" s="1292">
        <v>2.785</v>
      </c>
      <c r="Z274" s="1166">
        <f t="shared" ref="Z274:Z292" si="80">Y274*J274</f>
        <v>3342</v>
      </c>
      <c r="AA274" s="1289" t="s">
        <v>2952</v>
      </c>
      <c r="AB274" s="1137" t="s">
        <v>63</v>
      </c>
      <c r="AC274" s="1137" t="s">
        <v>2040</v>
      </c>
      <c r="AD274" s="1290">
        <v>1200</v>
      </c>
      <c r="AE274" s="1289">
        <f t="shared" si="78"/>
        <v>0</v>
      </c>
      <c r="AF274" s="1291" t="s">
        <v>327</v>
      </c>
      <c r="AG274" s="1291"/>
      <c r="AH274" s="1189"/>
      <c r="AI274" s="1188"/>
      <c r="AJ274" s="1188">
        <f>J274</f>
        <v>1200</v>
      </c>
      <c r="AK274" s="1319"/>
      <c r="AL274" s="1214"/>
      <c r="AM274" s="1319"/>
      <c r="AN274" s="1319"/>
      <c r="AO274" s="1338"/>
      <c r="AP274" s="1214"/>
      <c r="AQ274" s="1346"/>
      <c r="AR274" s="1338">
        <f t="shared" si="69"/>
        <v>1200</v>
      </c>
      <c r="AS274" s="1338"/>
      <c r="AT274" s="1429"/>
      <c r="AU274" s="1397"/>
      <c r="AV274" s="1397"/>
      <c r="AW274" s="1172"/>
      <c r="AX274" s="1397"/>
      <c r="AY274" s="1397"/>
      <c r="AZ274" s="1397"/>
      <c r="BA274" s="1172">
        <f>J274</f>
        <v>1200</v>
      </c>
      <c r="BB274" s="1172"/>
      <c r="BC274" s="1172"/>
      <c r="BD274" s="1172"/>
      <c r="BE274" s="1346"/>
      <c r="BF274" s="1346"/>
      <c r="BG274" s="1344"/>
      <c r="BH274" s="1347"/>
    </row>
    <row r="275" s="1053" customFormat="1" ht="31" customHeight="1" spans="1:60">
      <c r="A275" s="1265">
        <v>45952</v>
      </c>
      <c r="B275" s="1266" t="s">
        <v>945</v>
      </c>
      <c r="C275" s="1267" t="s">
        <v>493</v>
      </c>
      <c r="D275" s="1266">
        <v>4500182612</v>
      </c>
      <c r="E275" s="1269" t="s">
        <v>2949</v>
      </c>
      <c r="F275" s="1266" t="s">
        <v>2953</v>
      </c>
      <c r="G275" s="1101" t="s">
        <v>2316</v>
      </c>
      <c r="H275" s="1101" t="s">
        <v>2317</v>
      </c>
      <c r="I275" s="1098" t="s">
        <v>2063</v>
      </c>
      <c r="J275" s="1120">
        <v>2004</v>
      </c>
      <c r="K275" s="1097">
        <v>0</v>
      </c>
      <c r="L275" s="1097">
        <v>12</v>
      </c>
      <c r="M275" s="1114">
        <f t="shared" si="79"/>
        <v>167</v>
      </c>
      <c r="N275" s="1117">
        <v>45982</v>
      </c>
      <c r="O275" s="1117">
        <v>45978</v>
      </c>
      <c r="P275" s="1272"/>
      <c r="Q275" s="1285" t="s">
        <v>1480</v>
      </c>
      <c r="R275" s="1280"/>
      <c r="S275" s="1147" t="s">
        <v>1109</v>
      </c>
      <c r="T275" s="1364"/>
      <c r="U275" s="1406" t="s">
        <v>2658</v>
      </c>
      <c r="V275" s="1402" t="s">
        <v>2899</v>
      </c>
      <c r="W275" s="1148" t="s">
        <v>2951</v>
      </c>
      <c r="X275" s="1150" t="s">
        <v>953</v>
      </c>
      <c r="Y275" s="1292">
        <v>2.7167</v>
      </c>
      <c r="Z275" s="1166">
        <f t="shared" si="80"/>
        <v>5444.2668</v>
      </c>
      <c r="AA275" s="1289" t="s">
        <v>2952</v>
      </c>
      <c r="AB275" s="1137" t="s">
        <v>63</v>
      </c>
      <c r="AC275" s="1137" t="s">
        <v>2040</v>
      </c>
      <c r="AD275" s="1290">
        <v>2004</v>
      </c>
      <c r="AE275" s="1289">
        <f t="shared" si="78"/>
        <v>0</v>
      </c>
      <c r="AF275" s="1291" t="s">
        <v>327</v>
      </c>
      <c r="AG275" s="1291"/>
      <c r="AH275" s="1189"/>
      <c r="AI275" s="1188">
        <f>J275</f>
        <v>2004</v>
      </c>
      <c r="AJ275" s="1189"/>
      <c r="AK275" s="1319"/>
      <c r="AL275" s="1214"/>
      <c r="AM275" s="1319"/>
      <c r="AN275" s="1319"/>
      <c r="AO275" s="1338"/>
      <c r="AP275" s="1214"/>
      <c r="AQ275" s="1346"/>
      <c r="AR275" s="1338">
        <f t="shared" si="69"/>
        <v>2004</v>
      </c>
      <c r="AS275" s="1338"/>
      <c r="AT275" s="1429"/>
      <c r="AU275" s="1397"/>
      <c r="AV275" s="1397"/>
      <c r="AW275" s="1172"/>
      <c r="AX275" s="1397"/>
      <c r="AY275" s="1397"/>
      <c r="AZ275" s="1397"/>
      <c r="BA275" s="1172">
        <f>J275</f>
        <v>2004</v>
      </c>
      <c r="BB275" s="1172"/>
      <c r="BC275" s="1172"/>
      <c r="BD275" s="1172"/>
      <c r="BE275" s="1346"/>
      <c r="BF275" s="1346"/>
      <c r="BG275" s="1344"/>
      <c r="BH275" s="1347"/>
    </row>
    <row r="276" s="1053" customFormat="1" ht="31" customHeight="1" spans="1:60">
      <c r="A276" s="1265">
        <v>45952</v>
      </c>
      <c r="B276" s="1266" t="s">
        <v>945</v>
      </c>
      <c r="C276" s="1267" t="s">
        <v>493</v>
      </c>
      <c r="D276" s="1266">
        <v>4500182612</v>
      </c>
      <c r="E276" s="1269" t="s">
        <v>2949</v>
      </c>
      <c r="F276" s="1266" t="s">
        <v>2954</v>
      </c>
      <c r="G276" s="1101" t="s">
        <v>2444</v>
      </c>
      <c r="H276" s="1101" t="s">
        <v>2445</v>
      </c>
      <c r="I276" s="1098" t="s">
        <v>2446</v>
      </c>
      <c r="J276" s="1120">
        <v>1008</v>
      </c>
      <c r="K276" s="1097">
        <v>0</v>
      </c>
      <c r="L276" s="1097">
        <v>12</v>
      </c>
      <c r="M276" s="1114">
        <f t="shared" si="79"/>
        <v>84</v>
      </c>
      <c r="N276" s="1117">
        <v>45982</v>
      </c>
      <c r="O276" s="1117">
        <v>45978</v>
      </c>
      <c r="P276" s="1272"/>
      <c r="Q276" s="1285" t="s">
        <v>1480</v>
      </c>
      <c r="R276" s="1280"/>
      <c r="S276" s="1147" t="s">
        <v>1109</v>
      </c>
      <c r="T276" s="1364"/>
      <c r="U276" s="1406" t="s">
        <v>2658</v>
      </c>
      <c r="V276" s="1402" t="s">
        <v>2906</v>
      </c>
      <c r="W276" s="1148" t="s">
        <v>2951</v>
      </c>
      <c r="X276" s="1150" t="s">
        <v>953</v>
      </c>
      <c r="Y276" s="1292">
        <v>2.8454</v>
      </c>
      <c r="Z276" s="1166">
        <f t="shared" si="80"/>
        <v>2868.1632</v>
      </c>
      <c r="AA276" s="1289" t="s">
        <v>2952</v>
      </c>
      <c r="AB276" s="1137" t="s">
        <v>63</v>
      </c>
      <c r="AC276" s="1137" t="s">
        <v>2040</v>
      </c>
      <c r="AD276" s="1290">
        <v>1008</v>
      </c>
      <c r="AE276" s="1289">
        <f t="shared" si="78"/>
        <v>0</v>
      </c>
      <c r="AF276" s="1291" t="s">
        <v>327</v>
      </c>
      <c r="AG276" s="1291"/>
      <c r="AH276" s="1188">
        <f>J276</f>
        <v>1008</v>
      </c>
      <c r="AI276" s="1188"/>
      <c r="AJ276" s="1189"/>
      <c r="AK276" s="1319"/>
      <c r="AL276" s="1214"/>
      <c r="AM276" s="1319"/>
      <c r="AN276" s="1319"/>
      <c r="AO276" s="1338"/>
      <c r="AP276" s="1214"/>
      <c r="AQ276" s="1346"/>
      <c r="AR276" s="1338">
        <f t="shared" si="69"/>
        <v>1008</v>
      </c>
      <c r="AS276" s="1338"/>
      <c r="AT276" s="1429"/>
      <c r="AU276" s="1397"/>
      <c r="AV276" s="1397"/>
      <c r="AW276" s="1172"/>
      <c r="AX276" s="1397"/>
      <c r="AY276" s="1397"/>
      <c r="AZ276" s="1397"/>
      <c r="BA276" s="1172">
        <f>J276</f>
        <v>1008</v>
      </c>
      <c r="BB276" s="1172"/>
      <c r="BC276" s="1172"/>
      <c r="BD276" s="1172"/>
      <c r="BE276" s="1346"/>
      <c r="BF276" s="1346"/>
      <c r="BG276" s="1344"/>
      <c r="BH276" s="1347"/>
    </row>
    <row r="277" s="1053" customFormat="1" ht="31" customHeight="1" spans="1:60">
      <c r="A277" s="1265">
        <v>45928</v>
      </c>
      <c r="B277" s="1266" t="s">
        <v>2106</v>
      </c>
      <c r="C277" s="1267" t="s">
        <v>123</v>
      </c>
      <c r="D277" s="1266">
        <v>4500180750</v>
      </c>
      <c r="E277" s="1269" t="s">
        <v>2955</v>
      </c>
      <c r="F277" s="1266" t="s">
        <v>2956</v>
      </c>
      <c r="G277" s="1101" t="s">
        <v>2390</v>
      </c>
      <c r="H277" s="1101" t="s">
        <v>2390</v>
      </c>
      <c r="I277" s="1270" t="s">
        <v>2063</v>
      </c>
      <c r="J277" s="1120">
        <v>480</v>
      </c>
      <c r="K277" s="1097">
        <v>0</v>
      </c>
      <c r="L277" s="1097">
        <v>24</v>
      </c>
      <c r="M277" s="1114">
        <f t="shared" si="79"/>
        <v>20</v>
      </c>
      <c r="N277" s="1117">
        <v>45989</v>
      </c>
      <c r="O277" s="1117">
        <v>45985</v>
      </c>
      <c r="P277" s="1272" t="s">
        <v>2681</v>
      </c>
      <c r="Q277" s="1285" t="s">
        <v>1480</v>
      </c>
      <c r="R277" s="1280"/>
      <c r="S277" s="1147" t="s">
        <v>2392</v>
      </c>
      <c r="T277" s="1364"/>
      <c r="U277" s="1406" t="s">
        <v>2957</v>
      </c>
      <c r="V277" s="1402" t="s">
        <v>2113</v>
      </c>
      <c r="W277" s="1148" t="s">
        <v>2958</v>
      </c>
      <c r="X277" s="1150" t="s">
        <v>2115</v>
      </c>
      <c r="Y277" s="1292">
        <v>2.8755</v>
      </c>
      <c r="Z277" s="1166">
        <f t="shared" si="80"/>
        <v>1380.24</v>
      </c>
      <c r="AA277" s="1289"/>
      <c r="AB277" s="1137" t="s">
        <v>63</v>
      </c>
      <c r="AC277" s="1137" t="s">
        <v>2040</v>
      </c>
      <c r="AD277" s="1290">
        <v>480</v>
      </c>
      <c r="AE277" s="1289">
        <f t="shared" si="78"/>
        <v>0</v>
      </c>
      <c r="AF277" s="1291" t="s">
        <v>327</v>
      </c>
      <c r="AG277" s="1291"/>
      <c r="AH277" s="1189"/>
      <c r="AI277" s="1188">
        <f>J277</f>
        <v>480</v>
      </c>
      <c r="AJ277" s="1189"/>
      <c r="AK277" s="1319"/>
      <c r="AL277" s="1214"/>
      <c r="AM277" s="1319"/>
      <c r="AN277" s="1319"/>
      <c r="AO277" s="1338"/>
      <c r="AP277" s="1214"/>
      <c r="AQ277" s="1346"/>
      <c r="AR277" s="1338">
        <f t="shared" si="69"/>
        <v>480</v>
      </c>
      <c r="AS277" s="1338"/>
      <c r="AT277" s="1429"/>
      <c r="AU277" s="1397"/>
      <c r="AV277" s="1397"/>
      <c r="AW277" s="1172"/>
      <c r="AX277" s="1397"/>
      <c r="AY277" s="1397"/>
      <c r="AZ277" s="1397"/>
      <c r="BA277" s="1172"/>
      <c r="BB277" s="1172"/>
      <c r="BC277" s="1172"/>
      <c r="BD277" s="1172"/>
      <c r="BE277" s="1346"/>
      <c r="BF277" s="1346">
        <f>J277</f>
        <v>480</v>
      </c>
      <c r="BG277" s="1344"/>
      <c r="BH277" s="1347"/>
    </row>
    <row r="278" s="1054" customFormat="1" ht="31" customHeight="1" spans="1:63">
      <c r="A278" s="1436">
        <v>45964</v>
      </c>
      <c r="B278" s="1437" t="s">
        <v>230</v>
      </c>
      <c r="C278" s="1438" t="s">
        <v>91</v>
      </c>
      <c r="D278" s="1437">
        <v>4500184172</v>
      </c>
      <c r="E278" s="1439">
        <v>60262503</v>
      </c>
      <c r="F278" s="1437" t="s">
        <v>2959</v>
      </c>
      <c r="G278" s="1440" t="s">
        <v>2118</v>
      </c>
      <c r="H278" s="1441" t="s">
        <v>2118</v>
      </c>
      <c r="I278" s="1449" t="s">
        <v>2119</v>
      </c>
      <c r="J278" s="1450">
        <v>3408</v>
      </c>
      <c r="K278" s="1440">
        <v>0</v>
      </c>
      <c r="L278" s="1440">
        <v>12</v>
      </c>
      <c r="M278" s="1451">
        <f t="shared" si="79"/>
        <v>284</v>
      </c>
      <c r="N278" s="1452">
        <v>45995</v>
      </c>
      <c r="O278" s="1452">
        <v>45990</v>
      </c>
      <c r="P278" s="1453"/>
      <c r="Q278" s="1464" t="s">
        <v>1480</v>
      </c>
      <c r="R278" s="1465" t="s">
        <v>2960</v>
      </c>
      <c r="S278" s="1466" t="s">
        <v>1129</v>
      </c>
      <c r="T278" s="1467"/>
      <c r="U278" s="1467" t="s">
        <v>1150</v>
      </c>
      <c r="V278" s="1468" t="s">
        <v>235</v>
      </c>
      <c r="W278" s="1469" t="s">
        <v>816</v>
      </c>
      <c r="X278" s="1470" t="s">
        <v>1151</v>
      </c>
      <c r="Y278" s="1481">
        <v>1.612</v>
      </c>
      <c r="Z278" s="1482">
        <f t="shared" si="80"/>
        <v>5493.696</v>
      </c>
      <c r="AA278" s="1483"/>
      <c r="AB278" s="1484" t="s">
        <v>63</v>
      </c>
      <c r="AC278" s="1484" t="s">
        <v>2040</v>
      </c>
      <c r="AD278" s="1485">
        <v>3408</v>
      </c>
      <c r="AE278" s="1289">
        <f t="shared" si="78"/>
        <v>0</v>
      </c>
      <c r="AF278" s="1486" t="s">
        <v>327</v>
      </c>
      <c r="AG278" s="1486"/>
      <c r="AH278" s="1495">
        <f>J278/3</f>
        <v>1136</v>
      </c>
      <c r="AI278" s="1495">
        <f>J278/3</f>
        <v>1136</v>
      </c>
      <c r="AJ278" s="1495">
        <f>J278/3</f>
        <v>1136</v>
      </c>
      <c r="AK278" s="1029"/>
      <c r="AL278" s="1496"/>
      <c r="AM278" s="1029"/>
      <c r="AN278" s="1029"/>
      <c r="AO278" s="1501"/>
      <c r="AP278" s="1496"/>
      <c r="AQ278" s="1008"/>
      <c r="AR278" s="1499">
        <f t="shared" si="69"/>
        <v>3408</v>
      </c>
      <c r="AS278" s="1501"/>
      <c r="AT278" s="1502"/>
      <c r="AU278" s="1193"/>
      <c r="AV278" s="1193"/>
      <c r="AW278" s="1506">
        <f>J278</f>
        <v>3408</v>
      </c>
      <c r="AX278" s="1193"/>
      <c r="AY278" s="1193"/>
      <c r="AZ278" s="1193"/>
      <c r="BA278" s="1506"/>
      <c r="BB278" s="1506"/>
      <c r="BC278" s="1506"/>
      <c r="BD278" s="1506"/>
      <c r="BE278" s="1304"/>
      <c r="BF278" s="1304"/>
      <c r="BG278" s="1511"/>
      <c r="BH278" s="1512"/>
      <c r="BI278" s="1048"/>
      <c r="BJ278" s="1048"/>
      <c r="BK278" s="1048"/>
    </row>
    <row r="279" s="1054" customFormat="1" ht="31" customHeight="1" spans="1:63">
      <c r="A279" s="1436">
        <v>45964</v>
      </c>
      <c r="B279" s="1437" t="s">
        <v>230</v>
      </c>
      <c r="C279" s="1438" t="s">
        <v>91</v>
      </c>
      <c r="D279" s="1437">
        <v>4500184172</v>
      </c>
      <c r="E279" s="1439">
        <v>60262578</v>
      </c>
      <c r="F279" s="1437" t="s">
        <v>2961</v>
      </c>
      <c r="G279" s="1440" t="s">
        <v>2118</v>
      </c>
      <c r="H279" s="1441" t="s">
        <v>2118</v>
      </c>
      <c r="I279" s="1449" t="s">
        <v>2119</v>
      </c>
      <c r="J279" s="1450">
        <v>4200</v>
      </c>
      <c r="K279" s="1440">
        <v>0</v>
      </c>
      <c r="L279" s="1440">
        <v>12</v>
      </c>
      <c r="M279" s="1451">
        <f t="shared" si="79"/>
        <v>350</v>
      </c>
      <c r="N279" s="1452">
        <v>45995</v>
      </c>
      <c r="O279" s="1452">
        <v>45990</v>
      </c>
      <c r="P279" s="1453"/>
      <c r="Q279" s="1464" t="s">
        <v>1480</v>
      </c>
      <c r="R279" s="1465" t="s">
        <v>2960</v>
      </c>
      <c r="S279" s="1466" t="s">
        <v>1129</v>
      </c>
      <c r="T279" s="1467"/>
      <c r="U279" s="1467" t="s">
        <v>1150</v>
      </c>
      <c r="V279" s="1468" t="s">
        <v>235</v>
      </c>
      <c r="W279" s="1469" t="s">
        <v>816</v>
      </c>
      <c r="X279" s="1470" t="s">
        <v>1151</v>
      </c>
      <c r="Y279" s="1481">
        <v>1.612</v>
      </c>
      <c r="Z279" s="1482">
        <f t="shared" si="80"/>
        <v>6770.4</v>
      </c>
      <c r="AA279" s="1483"/>
      <c r="AB279" s="1484" t="s">
        <v>63</v>
      </c>
      <c r="AC279" s="1484" t="s">
        <v>2040</v>
      </c>
      <c r="AD279" s="1485">
        <v>4200</v>
      </c>
      <c r="AE279" s="1289">
        <f t="shared" si="78"/>
        <v>0</v>
      </c>
      <c r="AF279" s="1486" t="s">
        <v>327</v>
      </c>
      <c r="AG279" s="1486"/>
      <c r="AH279" s="1495">
        <f>J279/3</f>
        <v>1400</v>
      </c>
      <c r="AI279" s="1495">
        <f>J279/3</f>
        <v>1400</v>
      </c>
      <c r="AJ279" s="1495">
        <f>J279/3</f>
        <v>1400</v>
      </c>
      <c r="AK279" s="1029"/>
      <c r="AL279" s="1496"/>
      <c r="AM279" s="1029"/>
      <c r="AN279" s="1029"/>
      <c r="AO279" s="1501"/>
      <c r="AP279" s="1496"/>
      <c r="AQ279" s="1008"/>
      <c r="AR279" s="1499">
        <f t="shared" si="69"/>
        <v>4200</v>
      </c>
      <c r="AS279" s="1501"/>
      <c r="AT279" s="1502"/>
      <c r="AU279" s="1193"/>
      <c r="AV279" s="1193"/>
      <c r="AW279" s="1506">
        <f>J279</f>
        <v>4200</v>
      </c>
      <c r="AX279" s="1193"/>
      <c r="AY279" s="1193"/>
      <c r="AZ279" s="1193"/>
      <c r="BA279" s="1506"/>
      <c r="BB279" s="1506"/>
      <c r="BC279" s="1506"/>
      <c r="BD279" s="1506"/>
      <c r="BE279" s="1304"/>
      <c r="BF279" s="1304"/>
      <c r="BG279" s="1511"/>
      <c r="BH279" s="1512"/>
      <c r="BI279" s="1048"/>
      <c r="BJ279" s="1048"/>
      <c r="BK279" s="1048"/>
    </row>
    <row r="280" s="1054" customFormat="1" ht="31" customHeight="1" spans="1:63">
      <c r="A280" s="1436">
        <v>45964</v>
      </c>
      <c r="B280" s="1437" t="s">
        <v>230</v>
      </c>
      <c r="C280" s="1438" t="s">
        <v>91</v>
      </c>
      <c r="D280" s="1437">
        <v>4500184172</v>
      </c>
      <c r="E280" s="1439">
        <v>60262581</v>
      </c>
      <c r="F280" s="1437" t="s">
        <v>2962</v>
      </c>
      <c r="G280" s="1440" t="s">
        <v>2118</v>
      </c>
      <c r="H280" s="1441" t="s">
        <v>2118</v>
      </c>
      <c r="I280" s="1449" t="s">
        <v>2119</v>
      </c>
      <c r="J280" s="1450">
        <v>3408</v>
      </c>
      <c r="K280" s="1440">
        <v>0</v>
      </c>
      <c r="L280" s="1440">
        <v>12</v>
      </c>
      <c r="M280" s="1451">
        <f t="shared" si="79"/>
        <v>284</v>
      </c>
      <c r="N280" s="1452">
        <v>45995</v>
      </c>
      <c r="O280" s="1452">
        <v>45990</v>
      </c>
      <c r="P280" s="1453"/>
      <c r="Q280" s="1464" t="s">
        <v>1480</v>
      </c>
      <c r="R280" s="1465" t="s">
        <v>2960</v>
      </c>
      <c r="S280" s="1466" t="s">
        <v>1129</v>
      </c>
      <c r="T280" s="1467"/>
      <c r="U280" s="1467" t="s">
        <v>1150</v>
      </c>
      <c r="V280" s="1468" t="s">
        <v>235</v>
      </c>
      <c r="W280" s="1469" t="s">
        <v>816</v>
      </c>
      <c r="X280" s="1470" t="s">
        <v>1151</v>
      </c>
      <c r="Y280" s="1481">
        <v>1.612</v>
      </c>
      <c r="Z280" s="1482">
        <f t="shared" si="80"/>
        <v>5493.696</v>
      </c>
      <c r="AA280" s="1483"/>
      <c r="AB280" s="1484" t="s">
        <v>63</v>
      </c>
      <c r="AC280" s="1484" t="s">
        <v>2040</v>
      </c>
      <c r="AD280" s="1485">
        <v>3408</v>
      </c>
      <c r="AE280" s="1289">
        <f t="shared" si="78"/>
        <v>0</v>
      </c>
      <c r="AF280" s="1486" t="s">
        <v>327</v>
      </c>
      <c r="AG280" s="1486"/>
      <c r="AH280" s="1495">
        <f>J280/3</f>
        <v>1136</v>
      </c>
      <c r="AI280" s="1495">
        <f>J280/3</f>
        <v>1136</v>
      </c>
      <c r="AJ280" s="1495">
        <f>J280/3</f>
        <v>1136</v>
      </c>
      <c r="AK280" s="1029"/>
      <c r="AL280" s="1496"/>
      <c r="AM280" s="1029"/>
      <c r="AN280" s="1029"/>
      <c r="AO280" s="1501"/>
      <c r="AP280" s="1496"/>
      <c r="AQ280" s="1008"/>
      <c r="AR280" s="1499">
        <f t="shared" si="69"/>
        <v>3408</v>
      </c>
      <c r="AS280" s="1501"/>
      <c r="AT280" s="1502"/>
      <c r="AU280" s="1193"/>
      <c r="AV280" s="1193"/>
      <c r="AW280" s="1506">
        <f>J280</f>
        <v>3408</v>
      </c>
      <c r="AX280" s="1193"/>
      <c r="AY280" s="1193"/>
      <c r="AZ280" s="1193"/>
      <c r="BA280" s="1506"/>
      <c r="BB280" s="1506"/>
      <c r="BC280" s="1506"/>
      <c r="BD280" s="1506"/>
      <c r="BE280" s="1304"/>
      <c r="BF280" s="1304"/>
      <c r="BG280" s="1511"/>
      <c r="BH280" s="1512"/>
      <c r="BI280" s="1048"/>
      <c r="BJ280" s="1048"/>
      <c r="BK280" s="1048"/>
    </row>
    <row r="281" s="1054" customFormat="1" ht="31" customHeight="1" spans="1:63">
      <c r="A281" s="1436">
        <v>45964</v>
      </c>
      <c r="B281" s="1437" t="s">
        <v>230</v>
      </c>
      <c r="C281" s="1438" t="s">
        <v>91</v>
      </c>
      <c r="D281" s="1437">
        <v>4500184172</v>
      </c>
      <c r="E281" s="1439">
        <v>60262583</v>
      </c>
      <c r="F281" s="1437" t="s">
        <v>2963</v>
      </c>
      <c r="G281" s="1440" t="s">
        <v>2118</v>
      </c>
      <c r="H281" s="1441" t="s">
        <v>2118</v>
      </c>
      <c r="I281" s="1449" t="s">
        <v>2119</v>
      </c>
      <c r="J281" s="1450">
        <v>3000</v>
      </c>
      <c r="K281" s="1440">
        <v>0</v>
      </c>
      <c r="L281" s="1440">
        <v>12</v>
      </c>
      <c r="M281" s="1451">
        <f t="shared" si="79"/>
        <v>250</v>
      </c>
      <c r="N281" s="1452">
        <v>45995</v>
      </c>
      <c r="O281" s="1452">
        <v>45990</v>
      </c>
      <c r="P281" s="1453"/>
      <c r="Q281" s="1464" t="s">
        <v>1480</v>
      </c>
      <c r="R281" s="1465" t="s">
        <v>2960</v>
      </c>
      <c r="S281" s="1466" t="s">
        <v>1129</v>
      </c>
      <c r="T281" s="1467"/>
      <c r="U281" s="1467" t="s">
        <v>1150</v>
      </c>
      <c r="V281" s="1468" t="s">
        <v>235</v>
      </c>
      <c r="W281" s="1469" t="s">
        <v>816</v>
      </c>
      <c r="X281" s="1470" t="s">
        <v>1151</v>
      </c>
      <c r="Y281" s="1481">
        <v>1.6274</v>
      </c>
      <c r="Z281" s="1482">
        <f t="shared" si="80"/>
        <v>4882.2</v>
      </c>
      <c r="AA281" s="1483"/>
      <c r="AB281" s="1484" t="s">
        <v>63</v>
      </c>
      <c r="AC281" s="1484" t="s">
        <v>2040</v>
      </c>
      <c r="AD281" s="1485">
        <v>3000</v>
      </c>
      <c r="AE281" s="1289">
        <f t="shared" si="78"/>
        <v>0</v>
      </c>
      <c r="AF281" s="1486" t="s">
        <v>327</v>
      </c>
      <c r="AG281" s="1486"/>
      <c r="AH281" s="1495">
        <f>J281/3</f>
        <v>1000</v>
      </c>
      <c r="AI281" s="1495">
        <f>J281/3</f>
        <v>1000</v>
      </c>
      <c r="AJ281" s="1495">
        <f>J281/3</f>
        <v>1000</v>
      </c>
      <c r="AK281" s="1029"/>
      <c r="AL281" s="1496"/>
      <c r="AM281" s="1029"/>
      <c r="AN281" s="1029"/>
      <c r="AO281" s="1501"/>
      <c r="AP281" s="1496"/>
      <c r="AQ281" s="1008"/>
      <c r="AR281" s="1499">
        <f t="shared" si="69"/>
        <v>3000</v>
      </c>
      <c r="AS281" s="1501"/>
      <c r="AT281" s="1502"/>
      <c r="AU281" s="1193"/>
      <c r="AV281" s="1193"/>
      <c r="AW281" s="1506">
        <f>J281</f>
        <v>3000</v>
      </c>
      <c r="AX281" s="1193"/>
      <c r="AY281" s="1193"/>
      <c r="AZ281" s="1193"/>
      <c r="BA281" s="1506"/>
      <c r="BB281" s="1506"/>
      <c r="BC281" s="1506"/>
      <c r="BD281" s="1506"/>
      <c r="BE281" s="1304"/>
      <c r="BF281" s="1304"/>
      <c r="BG281" s="1511"/>
      <c r="BH281" s="1512"/>
      <c r="BI281" s="1048"/>
      <c r="BJ281" s="1048"/>
      <c r="BK281" s="1048"/>
    </row>
    <row r="282" s="1054" customFormat="1" ht="31" customHeight="1" spans="1:63">
      <c r="A282" s="1436">
        <v>45966</v>
      </c>
      <c r="B282" s="1437" t="s">
        <v>2861</v>
      </c>
      <c r="C282" s="1438" t="s">
        <v>123</v>
      </c>
      <c r="D282" s="1437">
        <v>4500184536</v>
      </c>
      <c r="E282" s="1439">
        <v>14612160</v>
      </c>
      <c r="F282" s="1437" t="s">
        <v>2964</v>
      </c>
      <c r="G282" s="1441" t="s">
        <v>2079</v>
      </c>
      <c r="H282" s="1441" t="s">
        <v>2079</v>
      </c>
      <c r="I282" s="1449" t="s">
        <v>2080</v>
      </c>
      <c r="J282" s="1450">
        <v>576</v>
      </c>
      <c r="K282" s="1440">
        <v>0</v>
      </c>
      <c r="L282" s="1440">
        <v>6</v>
      </c>
      <c r="M282" s="1451">
        <f t="shared" si="79"/>
        <v>96</v>
      </c>
      <c r="N282" s="1452">
        <v>46001</v>
      </c>
      <c r="O282" s="1452">
        <v>45999</v>
      </c>
      <c r="P282" s="1453"/>
      <c r="Q282" s="1464" t="s">
        <v>1480</v>
      </c>
      <c r="R282" s="1471" t="s">
        <v>1171</v>
      </c>
      <c r="S282" s="1466" t="s">
        <v>116</v>
      </c>
      <c r="T282" s="1467"/>
      <c r="U282" s="1472" t="s">
        <v>2965</v>
      </c>
      <c r="V282" s="1468" t="s">
        <v>2966</v>
      </c>
      <c r="W282" s="1469" t="s">
        <v>2967</v>
      </c>
      <c r="X282" s="1470" t="s">
        <v>953</v>
      </c>
      <c r="Y282" s="1481">
        <v>2.9941</v>
      </c>
      <c r="Z282" s="1482">
        <f t="shared" si="80"/>
        <v>1724.6016</v>
      </c>
      <c r="AA282" s="1483"/>
      <c r="AB282" s="1484" t="s">
        <v>63</v>
      </c>
      <c r="AC282" s="1484" t="s">
        <v>2040</v>
      </c>
      <c r="AD282" s="1485">
        <v>576</v>
      </c>
      <c r="AE282" s="1483">
        <f t="shared" si="78"/>
        <v>0</v>
      </c>
      <c r="AF282" s="1486" t="s">
        <v>327</v>
      </c>
      <c r="AG282" s="1486"/>
      <c r="AH282" s="1495">
        <f>J282/3</f>
        <v>192</v>
      </c>
      <c r="AI282" s="1495">
        <f>J282/3</f>
        <v>192</v>
      </c>
      <c r="AJ282" s="1495">
        <f>J282/3</f>
        <v>192</v>
      </c>
      <c r="AK282" s="1332"/>
      <c r="AL282" s="1226"/>
      <c r="AM282" s="1332"/>
      <c r="AN282" s="1332"/>
      <c r="AO282" s="1395"/>
      <c r="AP282" s="1226"/>
      <c r="AQ282" s="1310"/>
      <c r="AR282" s="1499">
        <f t="shared" si="69"/>
        <v>576</v>
      </c>
      <c r="AS282" s="1395"/>
      <c r="AT282" s="1396"/>
      <c r="AU282" s="1203"/>
      <c r="AV282" s="1203"/>
      <c r="AW282" s="1506">
        <f>J282</f>
        <v>576</v>
      </c>
      <c r="AX282" s="1203"/>
      <c r="AY282" s="1203"/>
      <c r="AZ282" s="1203"/>
      <c r="BA282" s="1506"/>
      <c r="BB282" s="1506"/>
      <c r="BC282" s="1506"/>
      <c r="BD282" s="1506"/>
      <c r="BE282" s="1304"/>
      <c r="BF282" s="1304"/>
      <c r="BG282" s="1511"/>
      <c r="BH282" s="1512"/>
      <c r="BI282" s="1263"/>
      <c r="BJ282" s="1263"/>
      <c r="BK282" s="1263"/>
    </row>
    <row r="283" s="1054" customFormat="1" ht="31" customHeight="1" spans="1:63">
      <c r="A283" s="1436">
        <v>45965</v>
      </c>
      <c r="B283" s="1437" t="s">
        <v>918</v>
      </c>
      <c r="C283" s="1438" t="s">
        <v>123</v>
      </c>
      <c r="D283" s="1437">
        <v>4500184234</v>
      </c>
      <c r="E283" s="1439" t="s">
        <v>2968</v>
      </c>
      <c r="F283" s="1437" t="s">
        <v>2969</v>
      </c>
      <c r="G283" s="1441" t="s">
        <v>2316</v>
      </c>
      <c r="H283" s="1441" t="s">
        <v>2317</v>
      </c>
      <c r="I283" s="1449" t="s">
        <v>2063</v>
      </c>
      <c r="J283" s="1450">
        <v>1500</v>
      </c>
      <c r="K283" s="1440">
        <v>0</v>
      </c>
      <c r="L283" s="1440">
        <v>12</v>
      </c>
      <c r="M283" s="1451">
        <f t="shared" si="79"/>
        <v>125</v>
      </c>
      <c r="N283" s="1452">
        <v>46007</v>
      </c>
      <c r="O283" s="1452">
        <v>46003</v>
      </c>
      <c r="P283" s="1453"/>
      <c r="Q283" s="1464" t="s">
        <v>1480</v>
      </c>
      <c r="R283" s="1465" t="s">
        <v>2970</v>
      </c>
      <c r="S283" s="1466" t="s">
        <v>270</v>
      </c>
      <c r="T283" s="1467"/>
      <c r="U283" s="1472" t="s">
        <v>2971</v>
      </c>
      <c r="V283" s="1468" t="s">
        <v>2899</v>
      </c>
      <c r="W283" s="1469" t="s">
        <v>2900</v>
      </c>
      <c r="X283" s="1470" t="s">
        <v>953</v>
      </c>
      <c r="Y283" s="1481">
        <v>2.785</v>
      </c>
      <c r="Z283" s="1482">
        <f t="shared" si="80"/>
        <v>4177.5</v>
      </c>
      <c r="AA283" s="1483"/>
      <c r="AB283" s="1484" t="s">
        <v>63</v>
      </c>
      <c r="AC283" s="1484" t="s">
        <v>2040</v>
      </c>
      <c r="AD283" s="1485">
        <v>1500</v>
      </c>
      <c r="AE283" s="1483">
        <f t="shared" ref="AE283:AE291" si="81">AD283-J283</f>
        <v>0</v>
      </c>
      <c r="AF283" s="1486" t="s">
        <v>327</v>
      </c>
      <c r="AG283" s="1486"/>
      <c r="AH283" s="1495"/>
      <c r="AI283" s="1495">
        <f>J283</f>
        <v>1500</v>
      </c>
      <c r="AJ283" s="1495"/>
      <c r="AK283" s="1320"/>
      <c r="AL283" s="1415"/>
      <c r="AM283" s="1320"/>
      <c r="AN283" s="1320"/>
      <c r="AO283" s="1423"/>
      <c r="AP283" s="1415"/>
      <c r="AQ283" s="1298"/>
      <c r="AR283" s="1499">
        <f t="shared" si="69"/>
        <v>1500</v>
      </c>
      <c r="AS283" s="1423"/>
      <c r="AT283" s="1424"/>
      <c r="AU283" s="1199"/>
      <c r="AV283" s="1199"/>
      <c r="AW283" s="1506"/>
      <c r="AX283" s="1199"/>
      <c r="AY283" s="1199"/>
      <c r="AZ283" s="1199"/>
      <c r="BA283" s="1506">
        <f>J283</f>
        <v>1500</v>
      </c>
      <c r="BB283" s="1506"/>
      <c r="BC283" s="1506"/>
      <c r="BD283" s="1506"/>
      <c r="BE283" s="1304"/>
      <c r="BF283" s="1304"/>
      <c r="BG283" s="1511"/>
      <c r="BH283" s="1512"/>
      <c r="BI283" s="1262"/>
      <c r="BJ283" s="1262"/>
      <c r="BK283" s="1262"/>
    </row>
    <row r="284" s="1054" customFormat="1" ht="31" customHeight="1" spans="1:63">
      <c r="A284" s="1436">
        <v>45965</v>
      </c>
      <c r="B284" s="1437" t="s">
        <v>918</v>
      </c>
      <c r="C284" s="1438" t="s">
        <v>123</v>
      </c>
      <c r="D284" s="1437">
        <v>4500184234</v>
      </c>
      <c r="E284" s="1439" t="s">
        <v>2968</v>
      </c>
      <c r="F284" s="1437" t="s">
        <v>2972</v>
      </c>
      <c r="G284" s="1441" t="s">
        <v>2309</v>
      </c>
      <c r="H284" s="1441" t="s">
        <v>2310</v>
      </c>
      <c r="I284" s="1449" t="s">
        <v>2663</v>
      </c>
      <c r="J284" s="1450">
        <v>1200</v>
      </c>
      <c r="K284" s="1440">
        <v>0</v>
      </c>
      <c r="L284" s="1440">
        <v>12</v>
      </c>
      <c r="M284" s="1451">
        <f t="shared" si="79"/>
        <v>100</v>
      </c>
      <c r="N284" s="1452">
        <v>46007</v>
      </c>
      <c r="O284" s="1452">
        <v>46003</v>
      </c>
      <c r="P284" s="1453"/>
      <c r="Q284" s="1464" t="s">
        <v>1480</v>
      </c>
      <c r="R284" s="1465" t="s">
        <v>2970</v>
      </c>
      <c r="S284" s="1466" t="s">
        <v>270</v>
      </c>
      <c r="T284" s="1467"/>
      <c r="U284" s="1472" t="s">
        <v>2971</v>
      </c>
      <c r="V284" s="1468" t="s">
        <v>2902</v>
      </c>
      <c r="W284" s="1469" t="s">
        <v>2903</v>
      </c>
      <c r="X284" s="1470" t="s">
        <v>953</v>
      </c>
      <c r="Y284" s="1481">
        <v>2.785</v>
      </c>
      <c r="Z284" s="1482">
        <f t="shared" si="80"/>
        <v>3342</v>
      </c>
      <c r="AA284" s="1483"/>
      <c r="AB284" s="1484" t="s">
        <v>63</v>
      </c>
      <c r="AC284" s="1484" t="s">
        <v>2040</v>
      </c>
      <c r="AD284" s="1485">
        <v>1200</v>
      </c>
      <c r="AE284" s="1483">
        <f t="shared" si="81"/>
        <v>0</v>
      </c>
      <c r="AF284" s="1486" t="s">
        <v>327</v>
      </c>
      <c r="AG284" s="1486"/>
      <c r="AH284" s="1495"/>
      <c r="AI284" s="1495"/>
      <c r="AJ284" s="1495">
        <f>J284</f>
        <v>1200</v>
      </c>
      <c r="AK284" s="1320"/>
      <c r="AL284" s="1415"/>
      <c r="AM284" s="1320"/>
      <c r="AN284" s="1320"/>
      <c r="AO284" s="1423"/>
      <c r="AP284" s="1415"/>
      <c r="AQ284" s="1298"/>
      <c r="AR284" s="1499">
        <f t="shared" si="69"/>
        <v>1200</v>
      </c>
      <c r="AS284" s="1423"/>
      <c r="AT284" s="1424"/>
      <c r="AU284" s="1199"/>
      <c r="AV284" s="1199"/>
      <c r="AW284" s="1506"/>
      <c r="AX284" s="1199"/>
      <c r="AY284" s="1199"/>
      <c r="AZ284" s="1199"/>
      <c r="BA284" s="1506">
        <f>J284</f>
        <v>1200</v>
      </c>
      <c r="BB284" s="1506"/>
      <c r="BC284" s="1506"/>
      <c r="BD284" s="1506"/>
      <c r="BE284" s="1304"/>
      <c r="BF284" s="1304"/>
      <c r="BG284" s="1511"/>
      <c r="BH284" s="1512"/>
      <c r="BI284" s="1262"/>
      <c r="BJ284" s="1262"/>
      <c r="BK284" s="1262"/>
    </row>
    <row r="285" s="1054" customFormat="1" ht="31" customHeight="1" spans="1:63">
      <c r="A285" s="1436">
        <v>45965</v>
      </c>
      <c r="B285" s="1437" t="s">
        <v>918</v>
      </c>
      <c r="C285" s="1438" t="s">
        <v>123</v>
      </c>
      <c r="D285" s="1437">
        <v>4500184234</v>
      </c>
      <c r="E285" s="1439" t="s">
        <v>2968</v>
      </c>
      <c r="F285" s="1437" t="s">
        <v>2973</v>
      </c>
      <c r="G285" s="1441" t="s">
        <v>2444</v>
      </c>
      <c r="H285" s="1441" t="s">
        <v>2445</v>
      </c>
      <c r="I285" s="1449" t="s">
        <v>2446</v>
      </c>
      <c r="J285" s="1450">
        <v>1200</v>
      </c>
      <c r="K285" s="1440">
        <v>0</v>
      </c>
      <c r="L285" s="1440">
        <v>12</v>
      </c>
      <c r="M285" s="1451">
        <f t="shared" si="79"/>
        <v>100</v>
      </c>
      <c r="N285" s="1452">
        <v>46007</v>
      </c>
      <c r="O285" s="1452">
        <v>46003</v>
      </c>
      <c r="P285" s="1453"/>
      <c r="Q285" s="1464" t="s">
        <v>1480</v>
      </c>
      <c r="R285" s="1465" t="s">
        <v>2970</v>
      </c>
      <c r="S285" s="1466" t="s">
        <v>270</v>
      </c>
      <c r="T285" s="1467"/>
      <c r="U285" s="1472" t="s">
        <v>2971</v>
      </c>
      <c r="V285" s="1468" t="s">
        <v>2906</v>
      </c>
      <c r="W285" s="1469" t="s">
        <v>2974</v>
      </c>
      <c r="X285" s="1470" t="s">
        <v>953</v>
      </c>
      <c r="Y285" s="1481">
        <v>2.8454</v>
      </c>
      <c r="Z285" s="1482">
        <f t="shared" si="80"/>
        <v>3414.48</v>
      </c>
      <c r="AA285" s="1483"/>
      <c r="AB285" s="1484" t="s">
        <v>63</v>
      </c>
      <c r="AC285" s="1484" t="s">
        <v>2040</v>
      </c>
      <c r="AD285" s="1485">
        <v>1200</v>
      </c>
      <c r="AE285" s="1483">
        <f t="shared" si="81"/>
        <v>0</v>
      </c>
      <c r="AF285" s="1487" t="s">
        <v>58</v>
      </c>
      <c r="AG285" s="1486"/>
      <c r="AH285" s="1495">
        <f>J285</f>
        <v>1200</v>
      </c>
      <c r="AI285" s="1495"/>
      <c r="AJ285" s="1495"/>
      <c r="AK285" s="1320"/>
      <c r="AL285" s="1415"/>
      <c r="AM285" s="1320"/>
      <c r="AN285" s="1320"/>
      <c r="AO285" s="1423"/>
      <c r="AP285" s="1415"/>
      <c r="AQ285" s="1298"/>
      <c r="AR285" s="1499">
        <f t="shared" si="69"/>
        <v>1200</v>
      </c>
      <c r="AS285" s="1423"/>
      <c r="AT285" s="1424"/>
      <c r="AU285" s="1199"/>
      <c r="AV285" s="1199"/>
      <c r="AW285" s="1506"/>
      <c r="AX285" s="1199"/>
      <c r="AY285" s="1199"/>
      <c r="AZ285" s="1199"/>
      <c r="BA285" s="1506">
        <f>J285</f>
        <v>1200</v>
      </c>
      <c r="BB285" s="1506"/>
      <c r="BC285" s="1506"/>
      <c r="BD285" s="1506"/>
      <c r="BE285" s="1304"/>
      <c r="BF285" s="1304"/>
      <c r="BG285" s="1511"/>
      <c r="BH285" s="1512"/>
      <c r="BI285" s="1262"/>
      <c r="BJ285" s="1262"/>
      <c r="BK285" s="1262"/>
    </row>
    <row r="286" s="1054" customFormat="1" ht="31" customHeight="1" spans="1:63">
      <c r="A286" s="1436">
        <v>45968</v>
      </c>
      <c r="B286" s="1437" t="s">
        <v>1671</v>
      </c>
      <c r="C286" s="1438" t="s">
        <v>398</v>
      </c>
      <c r="D286" s="1437">
        <v>4500184827</v>
      </c>
      <c r="E286" s="1439" t="s">
        <v>2975</v>
      </c>
      <c r="F286" s="1437" t="s">
        <v>2976</v>
      </c>
      <c r="G286" s="1442" t="s">
        <v>2452</v>
      </c>
      <c r="H286" s="1441" t="s">
        <v>2452</v>
      </c>
      <c r="I286" s="1454" t="s">
        <v>2052</v>
      </c>
      <c r="J286" s="1450">
        <v>48</v>
      </c>
      <c r="K286" s="1440">
        <v>0</v>
      </c>
      <c r="L286" s="1440">
        <v>24</v>
      </c>
      <c r="M286" s="1451">
        <f t="shared" si="79"/>
        <v>2</v>
      </c>
      <c r="N286" s="1452">
        <v>46009</v>
      </c>
      <c r="O286" s="1452">
        <v>46007</v>
      </c>
      <c r="P286" s="1455" t="s">
        <v>2977</v>
      </c>
      <c r="Q286" s="1464" t="s">
        <v>1480</v>
      </c>
      <c r="R286" s="1465"/>
      <c r="S286" s="1466" t="s">
        <v>1184</v>
      </c>
      <c r="T286" s="1467"/>
      <c r="U286" s="1472" t="s">
        <v>2978</v>
      </c>
      <c r="V286" s="1468" t="s">
        <v>2526</v>
      </c>
      <c r="W286" s="1469" t="s">
        <v>2979</v>
      </c>
      <c r="X286" s="1470" t="s">
        <v>220</v>
      </c>
      <c r="Y286" s="1481">
        <v>2.9197</v>
      </c>
      <c r="Z286" s="1482">
        <f t="shared" si="80"/>
        <v>140.1456</v>
      </c>
      <c r="AA286" s="1483"/>
      <c r="AB286" s="1484" t="s">
        <v>63</v>
      </c>
      <c r="AC286" s="1484" t="s">
        <v>2040</v>
      </c>
      <c r="AD286" s="1485">
        <v>48</v>
      </c>
      <c r="AE286" s="1483">
        <f t="shared" si="81"/>
        <v>0</v>
      </c>
      <c r="AF286" s="1486" t="s">
        <v>327</v>
      </c>
      <c r="AG286" s="1486"/>
      <c r="AH286" s="1231">
        <f>J286</f>
        <v>48</v>
      </c>
      <c r="AI286" s="1495"/>
      <c r="AJ286" s="1495"/>
      <c r="AK286" s="1332"/>
      <c r="AL286" s="1226"/>
      <c r="AM286" s="1332"/>
      <c r="AN286" s="1332"/>
      <c r="AO286" s="1395"/>
      <c r="AP286" s="1226"/>
      <c r="AQ286" s="1310"/>
      <c r="AR286" s="1499">
        <f t="shared" si="69"/>
        <v>48</v>
      </c>
      <c r="AS286" s="1395"/>
      <c r="AT286" s="1396"/>
      <c r="AU286" s="1203"/>
      <c r="AV286" s="1203"/>
      <c r="AW286" s="1506"/>
      <c r="AX286" s="1203"/>
      <c r="AY286" s="1203"/>
      <c r="AZ286" s="1203"/>
      <c r="BA286" s="1506"/>
      <c r="BB286" s="1506"/>
      <c r="BC286" s="1506"/>
      <c r="BD286" s="1506"/>
      <c r="BE286" s="1304"/>
      <c r="BF286" s="1304">
        <f>J286</f>
        <v>48</v>
      </c>
      <c r="BG286" s="1511"/>
      <c r="BH286" s="1512"/>
      <c r="BI286" s="1263"/>
      <c r="BJ286" s="1263"/>
      <c r="BK286" s="1263"/>
    </row>
    <row r="287" s="1054" customFormat="1" ht="31" customHeight="1" spans="1:63">
      <c r="A287" s="1436">
        <v>45968</v>
      </c>
      <c r="B287" s="1437" t="s">
        <v>1671</v>
      </c>
      <c r="C287" s="1438" t="s">
        <v>398</v>
      </c>
      <c r="D287" s="1437">
        <v>4500184827</v>
      </c>
      <c r="E287" s="1439" t="s">
        <v>2980</v>
      </c>
      <c r="F287" s="1437" t="s">
        <v>2981</v>
      </c>
      <c r="G287" s="1442" t="s">
        <v>2452</v>
      </c>
      <c r="H287" s="1441" t="s">
        <v>2452</v>
      </c>
      <c r="I287" s="1454" t="s">
        <v>2052</v>
      </c>
      <c r="J287" s="1450">
        <v>24</v>
      </c>
      <c r="K287" s="1440">
        <v>0</v>
      </c>
      <c r="L287" s="1440">
        <v>24</v>
      </c>
      <c r="M287" s="1451">
        <f t="shared" si="79"/>
        <v>1</v>
      </c>
      <c r="N287" s="1452">
        <v>46009</v>
      </c>
      <c r="O287" s="1452">
        <v>46007</v>
      </c>
      <c r="P287" s="1455" t="s">
        <v>2977</v>
      </c>
      <c r="Q287" s="1464" t="s">
        <v>1480</v>
      </c>
      <c r="R287" s="1465"/>
      <c r="S287" s="1466" t="s">
        <v>1184</v>
      </c>
      <c r="T287" s="1467"/>
      <c r="U287" s="1472" t="s">
        <v>2978</v>
      </c>
      <c r="V287" s="1468" t="s">
        <v>2526</v>
      </c>
      <c r="W287" s="1469" t="s">
        <v>2979</v>
      </c>
      <c r="X287" s="1470" t="s">
        <v>220</v>
      </c>
      <c r="Y287" s="1481">
        <v>2.9197</v>
      </c>
      <c r="Z287" s="1482">
        <f t="shared" si="80"/>
        <v>70.0728</v>
      </c>
      <c r="AA287" s="1483"/>
      <c r="AB287" s="1484" t="s">
        <v>63</v>
      </c>
      <c r="AC287" s="1484" t="s">
        <v>2040</v>
      </c>
      <c r="AD287" s="1485">
        <v>24</v>
      </c>
      <c r="AE287" s="1483">
        <f t="shared" si="81"/>
        <v>0</v>
      </c>
      <c r="AF287" s="1486" t="s">
        <v>327</v>
      </c>
      <c r="AG287" s="1486"/>
      <c r="AH287" s="1231">
        <f>J287</f>
        <v>24</v>
      </c>
      <c r="AI287" s="1495"/>
      <c r="AJ287" s="1495"/>
      <c r="AK287" s="1332"/>
      <c r="AL287" s="1226"/>
      <c r="AM287" s="1332"/>
      <c r="AN287" s="1332"/>
      <c r="AO287" s="1395"/>
      <c r="AP287" s="1226"/>
      <c r="AQ287" s="1310"/>
      <c r="AR287" s="1499">
        <f t="shared" si="69"/>
        <v>24</v>
      </c>
      <c r="AS287" s="1395"/>
      <c r="AT287" s="1396"/>
      <c r="AU287" s="1203"/>
      <c r="AV287" s="1203"/>
      <c r="AW287" s="1506"/>
      <c r="AX287" s="1203"/>
      <c r="AY287" s="1203"/>
      <c r="AZ287" s="1203"/>
      <c r="BA287" s="1506"/>
      <c r="BB287" s="1506"/>
      <c r="BC287" s="1506"/>
      <c r="BD287" s="1506"/>
      <c r="BE287" s="1304"/>
      <c r="BF287" s="1304">
        <f>J287</f>
        <v>24</v>
      </c>
      <c r="BG287" s="1511"/>
      <c r="BH287" s="1512"/>
      <c r="BI287" s="1263"/>
      <c r="BJ287" s="1263"/>
      <c r="BK287" s="1263"/>
    </row>
    <row r="288" s="1054" customFormat="1" ht="31" customHeight="1" spans="1:63">
      <c r="A288" s="1436">
        <v>45964</v>
      </c>
      <c r="B288" s="1437" t="s">
        <v>811</v>
      </c>
      <c r="C288" s="1438" t="s">
        <v>91</v>
      </c>
      <c r="D288" s="1437">
        <v>4500184180</v>
      </c>
      <c r="E288" s="1439">
        <v>70078362</v>
      </c>
      <c r="F288" s="1437" t="s">
        <v>2982</v>
      </c>
      <c r="G288" s="1440" t="s">
        <v>2118</v>
      </c>
      <c r="H288" s="1441" t="s">
        <v>2118</v>
      </c>
      <c r="I288" s="1449" t="s">
        <v>2119</v>
      </c>
      <c r="J288" s="1450">
        <v>1200</v>
      </c>
      <c r="K288" s="1440">
        <v>0</v>
      </c>
      <c r="L288" s="1440">
        <v>12</v>
      </c>
      <c r="M288" s="1451">
        <f t="shared" si="79"/>
        <v>100</v>
      </c>
      <c r="N288" s="1452">
        <v>46010</v>
      </c>
      <c r="O288" s="1452">
        <v>46006</v>
      </c>
      <c r="P288" s="1453"/>
      <c r="Q288" s="1464" t="s">
        <v>1480</v>
      </c>
      <c r="R288" s="1465" t="s">
        <v>2983</v>
      </c>
      <c r="S288" s="1466" t="s">
        <v>1129</v>
      </c>
      <c r="T288" s="1467"/>
      <c r="U288" s="1472" t="s">
        <v>2984</v>
      </c>
      <c r="V288" s="1468" t="s">
        <v>235</v>
      </c>
      <c r="W288" s="1469" t="s">
        <v>816</v>
      </c>
      <c r="X288" s="1470" t="s">
        <v>1151</v>
      </c>
      <c r="Y288" s="1481">
        <v>1.6637</v>
      </c>
      <c r="Z288" s="1482">
        <f t="shared" si="80"/>
        <v>1996.44</v>
      </c>
      <c r="AA288" s="1483"/>
      <c r="AB288" s="1484" t="s">
        <v>63</v>
      </c>
      <c r="AC288" s="1484" t="s">
        <v>2040</v>
      </c>
      <c r="AD288" s="1485">
        <v>1200</v>
      </c>
      <c r="AE288" s="1483">
        <f t="shared" si="81"/>
        <v>0</v>
      </c>
      <c r="AF288" s="1486" t="s">
        <v>327</v>
      </c>
      <c r="AG288" s="1486"/>
      <c r="AH288" s="1495">
        <f>J288/3</f>
        <v>400</v>
      </c>
      <c r="AI288" s="1495">
        <f>J288/3</f>
        <v>400</v>
      </c>
      <c r="AJ288" s="1495">
        <f>J288/3</f>
        <v>400</v>
      </c>
      <c r="AK288" s="1320"/>
      <c r="AL288" s="1415"/>
      <c r="AM288" s="1320"/>
      <c r="AN288" s="1320"/>
      <c r="AO288" s="1423"/>
      <c r="AP288" s="1415"/>
      <c r="AQ288" s="1298"/>
      <c r="AR288" s="1499">
        <f t="shared" si="69"/>
        <v>1200</v>
      </c>
      <c r="AS288" s="1423"/>
      <c r="AT288" s="1424"/>
      <c r="AU288" s="1199"/>
      <c r="AV288" s="1199"/>
      <c r="AW288" s="1506">
        <f>J288</f>
        <v>1200</v>
      </c>
      <c r="AX288" s="1199"/>
      <c r="AY288" s="1199"/>
      <c r="AZ288" s="1199"/>
      <c r="BA288" s="1506"/>
      <c r="BB288" s="1506"/>
      <c r="BC288" s="1506"/>
      <c r="BD288" s="1506"/>
      <c r="BE288" s="1304"/>
      <c r="BF288" s="1304"/>
      <c r="BG288" s="1511"/>
      <c r="BH288" s="1512"/>
      <c r="BI288" s="1262"/>
      <c r="BJ288" s="1262"/>
      <c r="BK288" s="1262"/>
    </row>
    <row r="289" s="1054" customFormat="1" ht="31" customHeight="1" spans="1:63">
      <c r="A289" s="1436">
        <v>45966</v>
      </c>
      <c r="B289" s="1437" t="s">
        <v>2861</v>
      </c>
      <c r="C289" s="1438" t="s">
        <v>123</v>
      </c>
      <c r="D289" s="1437">
        <v>4500184546</v>
      </c>
      <c r="E289" s="1439">
        <v>13807820</v>
      </c>
      <c r="F289" s="1437" t="s">
        <v>2985</v>
      </c>
      <c r="G289" s="1441" t="s">
        <v>2079</v>
      </c>
      <c r="H289" s="1441" t="s">
        <v>2079</v>
      </c>
      <c r="I289" s="1449" t="s">
        <v>2080</v>
      </c>
      <c r="J289" s="1450">
        <v>1296</v>
      </c>
      <c r="K289" s="1440">
        <v>0</v>
      </c>
      <c r="L289" s="1440">
        <v>6</v>
      </c>
      <c r="M289" s="1451">
        <f t="shared" si="79"/>
        <v>216</v>
      </c>
      <c r="N289" s="1452">
        <v>46013</v>
      </c>
      <c r="O289" s="1452">
        <v>46009</v>
      </c>
      <c r="P289" s="1453"/>
      <c r="Q289" s="1464" t="s">
        <v>1480</v>
      </c>
      <c r="R289" s="1465" t="s">
        <v>2986</v>
      </c>
      <c r="S289" s="1466" t="s">
        <v>116</v>
      </c>
      <c r="T289" s="1467"/>
      <c r="U289" s="1472" t="s">
        <v>2965</v>
      </c>
      <c r="V289" s="1468" t="s">
        <v>2966</v>
      </c>
      <c r="W289" s="1469" t="s">
        <v>2987</v>
      </c>
      <c r="X289" s="1470" t="s">
        <v>953</v>
      </c>
      <c r="Y289" s="1481">
        <v>2.8084</v>
      </c>
      <c r="Z289" s="1482">
        <f t="shared" si="80"/>
        <v>3639.6864</v>
      </c>
      <c r="AA289" s="1483"/>
      <c r="AB289" s="1484" t="s">
        <v>63</v>
      </c>
      <c r="AC289" s="1484" t="s">
        <v>2040</v>
      </c>
      <c r="AD289" s="1485">
        <v>1296</v>
      </c>
      <c r="AE289" s="1483">
        <f t="shared" si="81"/>
        <v>0</v>
      </c>
      <c r="AF289" s="1486" t="s">
        <v>327</v>
      </c>
      <c r="AG289" s="1486"/>
      <c r="AH289" s="1495">
        <f>J289/3</f>
        <v>432</v>
      </c>
      <c r="AI289" s="1495">
        <f>J289/3</f>
        <v>432</v>
      </c>
      <c r="AJ289" s="1495">
        <f>J289/3</f>
        <v>432</v>
      </c>
      <c r="AK289" s="1332"/>
      <c r="AL289" s="1226"/>
      <c r="AM289" s="1332"/>
      <c r="AN289" s="1332"/>
      <c r="AO289" s="1395"/>
      <c r="AP289" s="1226"/>
      <c r="AQ289" s="1310"/>
      <c r="AR289" s="1499">
        <f t="shared" si="69"/>
        <v>1296</v>
      </c>
      <c r="AS289" s="1395"/>
      <c r="AT289" s="1396"/>
      <c r="AU289" s="1203"/>
      <c r="AV289" s="1203"/>
      <c r="AW289" s="1506">
        <f>J289</f>
        <v>1296</v>
      </c>
      <c r="AX289" s="1203"/>
      <c r="AY289" s="1203"/>
      <c r="AZ289" s="1203"/>
      <c r="BA289" s="1506"/>
      <c r="BB289" s="1506"/>
      <c r="BC289" s="1506"/>
      <c r="BD289" s="1506"/>
      <c r="BE289" s="1304"/>
      <c r="BF289" s="1304"/>
      <c r="BG289" s="1511"/>
      <c r="BH289" s="1512"/>
      <c r="BI289" s="1263"/>
      <c r="BJ289" s="1263"/>
      <c r="BK289" s="1263"/>
    </row>
    <row r="290" s="1054" customFormat="1" ht="31" customHeight="1" spans="1:63">
      <c r="A290" s="1436">
        <v>45968</v>
      </c>
      <c r="B290" s="1437" t="s">
        <v>1231</v>
      </c>
      <c r="C290" s="1438" t="s">
        <v>91</v>
      </c>
      <c r="D290" s="1437">
        <v>4500184950</v>
      </c>
      <c r="E290" s="1439">
        <v>384174101</v>
      </c>
      <c r="F290" s="1437" t="s">
        <v>2988</v>
      </c>
      <c r="G290" s="1440" t="s">
        <v>2118</v>
      </c>
      <c r="H290" s="1441" t="s">
        <v>2118</v>
      </c>
      <c r="I290" s="1449" t="s">
        <v>2119</v>
      </c>
      <c r="J290" s="1450">
        <v>3000</v>
      </c>
      <c r="K290" s="1440">
        <v>0</v>
      </c>
      <c r="L290" s="1440">
        <v>12</v>
      </c>
      <c r="M290" s="1451">
        <f t="shared" si="79"/>
        <v>250</v>
      </c>
      <c r="N290" s="1452">
        <v>46013</v>
      </c>
      <c r="O290" s="1452">
        <v>46009</v>
      </c>
      <c r="P290" s="1453"/>
      <c r="Q290" s="1464" t="s">
        <v>1480</v>
      </c>
      <c r="R290" s="1465" t="s">
        <v>1233</v>
      </c>
      <c r="S290" s="1466" t="s">
        <v>1234</v>
      </c>
      <c r="T290" s="1467"/>
      <c r="U290" s="1467" t="s">
        <v>2989</v>
      </c>
      <c r="V290" s="1468" t="s">
        <v>348</v>
      </c>
      <c r="W290" s="1469" t="s">
        <v>1238</v>
      </c>
      <c r="X290" s="1470" t="s">
        <v>350</v>
      </c>
      <c r="Y290" s="1481">
        <v>1.6637</v>
      </c>
      <c r="Z290" s="1482">
        <f t="shared" si="80"/>
        <v>4991.1</v>
      </c>
      <c r="AA290" s="1483"/>
      <c r="AB290" s="1484" t="s">
        <v>63</v>
      </c>
      <c r="AC290" s="1484" t="s">
        <v>2040</v>
      </c>
      <c r="AD290" s="1485">
        <v>3000</v>
      </c>
      <c r="AE290" s="1483">
        <f t="shared" si="81"/>
        <v>0</v>
      </c>
      <c r="AF290" s="1486" t="s">
        <v>327</v>
      </c>
      <c r="AG290" s="1486"/>
      <c r="AH290" s="1495">
        <f>J290/3</f>
        <v>1000</v>
      </c>
      <c r="AI290" s="1495">
        <f>J290/3</f>
        <v>1000</v>
      </c>
      <c r="AJ290" s="1495">
        <f>J290/3</f>
        <v>1000</v>
      </c>
      <c r="AK290" s="1320"/>
      <c r="AL290" s="1415"/>
      <c r="AM290" s="1320"/>
      <c r="AN290" s="1320"/>
      <c r="AO290" s="1423"/>
      <c r="AP290" s="1415"/>
      <c r="AQ290" s="1298"/>
      <c r="AR290" s="1499">
        <f t="shared" si="69"/>
        <v>3000</v>
      </c>
      <c r="AS290" s="1423"/>
      <c r="AT290" s="1424"/>
      <c r="AU290" s="1199"/>
      <c r="AV290" s="1199"/>
      <c r="AW290" s="1506">
        <f>J290</f>
        <v>3000</v>
      </c>
      <c r="AX290" s="1199"/>
      <c r="AY290" s="1199"/>
      <c r="AZ290" s="1199"/>
      <c r="BA290" s="1506"/>
      <c r="BB290" s="1506"/>
      <c r="BC290" s="1506"/>
      <c r="BD290" s="1506"/>
      <c r="BE290" s="1304"/>
      <c r="BF290" s="1304"/>
      <c r="BG290" s="1511"/>
      <c r="BH290" s="1512"/>
      <c r="BI290" s="1262"/>
      <c r="BJ290" s="1262"/>
      <c r="BK290" s="1262"/>
    </row>
    <row r="291" s="1054" customFormat="1" ht="31" customHeight="1" spans="1:63">
      <c r="A291" s="1436">
        <v>45968</v>
      </c>
      <c r="B291" s="1437" t="s">
        <v>1231</v>
      </c>
      <c r="C291" s="1438" t="s">
        <v>91</v>
      </c>
      <c r="D291" s="1437">
        <v>4500184953</v>
      </c>
      <c r="E291" s="1439">
        <v>384192801</v>
      </c>
      <c r="F291" s="1437" t="s">
        <v>2990</v>
      </c>
      <c r="G291" s="1440" t="s">
        <v>2118</v>
      </c>
      <c r="H291" s="1441" t="s">
        <v>2118</v>
      </c>
      <c r="I291" s="1449" t="s">
        <v>2119</v>
      </c>
      <c r="J291" s="1450">
        <v>3000</v>
      </c>
      <c r="K291" s="1440">
        <v>0</v>
      </c>
      <c r="L291" s="1440">
        <v>12</v>
      </c>
      <c r="M291" s="1451">
        <f t="shared" si="79"/>
        <v>250</v>
      </c>
      <c r="N291" s="1452">
        <v>46013</v>
      </c>
      <c r="O291" s="1452">
        <v>46009</v>
      </c>
      <c r="P291" s="1453"/>
      <c r="Q291" s="1464" t="s">
        <v>1480</v>
      </c>
      <c r="R291" s="1465" t="s">
        <v>1233</v>
      </c>
      <c r="S291" s="1466" t="s">
        <v>1234</v>
      </c>
      <c r="T291" s="1467"/>
      <c r="U291" s="1467" t="s">
        <v>2989</v>
      </c>
      <c r="V291" s="1468" t="s">
        <v>348</v>
      </c>
      <c r="W291" s="1469" t="s">
        <v>1238</v>
      </c>
      <c r="X291" s="1470" t="s">
        <v>350</v>
      </c>
      <c r="Y291" s="1481">
        <v>1.6274</v>
      </c>
      <c r="Z291" s="1482">
        <f t="shared" si="80"/>
        <v>4882.2</v>
      </c>
      <c r="AA291" s="1483"/>
      <c r="AB291" s="1484" t="s">
        <v>63</v>
      </c>
      <c r="AC291" s="1484" t="s">
        <v>2040</v>
      </c>
      <c r="AD291" s="1485">
        <v>3000</v>
      </c>
      <c r="AE291" s="1483">
        <f t="shared" si="81"/>
        <v>0</v>
      </c>
      <c r="AF291" s="1486" t="s">
        <v>327</v>
      </c>
      <c r="AG291" s="1486"/>
      <c r="AH291" s="1495">
        <f>J291/3</f>
        <v>1000</v>
      </c>
      <c r="AI291" s="1495">
        <f>J291/3</f>
        <v>1000</v>
      </c>
      <c r="AJ291" s="1495">
        <f>J291/3</f>
        <v>1000</v>
      </c>
      <c r="AK291" s="1320"/>
      <c r="AL291" s="1415"/>
      <c r="AM291" s="1320"/>
      <c r="AN291" s="1320"/>
      <c r="AO291" s="1423"/>
      <c r="AP291" s="1415"/>
      <c r="AQ291" s="1298"/>
      <c r="AR291" s="1499">
        <f t="shared" si="69"/>
        <v>3000</v>
      </c>
      <c r="AS291" s="1423"/>
      <c r="AT291" s="1424"/>
      <c r="AU291" s="1199"/>
      <c r="AV291" s="1199"/>
      <c r="AW291" s="1506">
        <f>J291</f>
        <v>3000</v>
      </c>
      <c r="AX291" s="1199"/>
      <c r="AY291" s="1199"/>
      <c r="AZ291" s="1199"/>
      <c r="BA291" s="1506"/>
      <c r="BB291" s="1506"/>
      <c r="BC291" s="1506"/>
      <c r="BD291" s="1506"/>
      <c r="BE291" s="1304"/>
      <c r="BF291" s="1304"/>
      <c r="BG291" s="1511"/>
      <c r="BH291" s="1512"/>
      <c r="BI291" s="1262"/>
      <c r="BJ291" s="1262"/>
      <c r="BK291" s="1262"/>
    </row>
    <row r="292" s="1054" customFormat="1" ht="31" customHeight="1" spans="1:63">
      <c r="A292" s="1436">
        <v>45969</v>
      </c>
      <c r="B292" s="1437" t="s">
        <v>2991</v>
      </c>
      <c r="C292" s="1438" t="s">
        <v>91</v>
      </c>
      <c r="D292" s="1437">
        <v>4500185002</v>
      </c>
      <c r="E292" s="1439">
        <v>4560812743</v>
      </c>
      <c r="F292" s="1437" t="s">
        <v>2992</v>
      </c>
      <c r="G292" s="1441" t="s">
        <v>2079</v>
      </c>
      <c r="H292" s="1441" t="s">
        <v>2079</v>
      </c>
      <c r="I292" s="1449" t="s">
        <v>2080</v>
      </c>
      <c r="J292" s="1450">
        <v>4590</v>
      </c>
      <c r="K292" s="1440">
        <v>0</v>
      </c>
      <c r="L292" s="1440">
        <v>6</v>
      </c>
      <c r="M292" s="1451">
        <f t="shared" si="79"/>
        <v>765</v>
      </c>
      <c r="N292" s="1452">
        <v>46021</v>
      </c>
      <c r="O292" s="1452">
        <v>46017</v>
      </c>
      <c r="P292" s="1453"/>
      <c r="Q292" s="1464" t="s">
        <v>1480</v>
      </c>
      <c r="R292" s="1455" t="s">
        <v>2993</v>
      </c>
      <c r="S292" s="1466" t="s">
        <v>116</v>
      </c>
      <c r="T292" s="1467"/>
      <c r="U292" s="1472" t="s">
        <v>2994</v>
      </c>
      <c r="V292" s="1468" t="s">
        <v>2130</v>
      </c>
      <c r="W292" s="1469" t="s">
        <v>2995</v>
      </c>
      <c r="X292" s="1470" t="s">
        <v>737</v>
      </c>
      <c r="Y292" s="1481">
        <v>1.6672</v>
      </c>
      <c r="Z292" s="1482">
        <f t="shared" ref="Z292:Z301" si="82">Y292*J292</f>
        <v>7652.448</v>
      </c>
      <c r="AA292" s="1483"/>
      <c r="AB292" s="1484" t="s">
        <v>63</v>
      </c>
      <c r="AC292" s="1484" t="s">
        <v>2040</v>
      </c>
      <c r="AD292" s="1485">
        <v>4590</v>
      </c>
      <c r="AE292" s="1483">
        <f t="shared" ref="AE292:AE303" si="83">AD292-J292</f>
        <v>0</v>
      </c>
      <c r="AF292" s="1488" t="s">
        <v>327</v>
      </c>
      <c r="AG292" s="1486"/>
      <c r="AH292" s="1495">
        <f t="shared" ref="AH292:AH304" si="84">J292/3</f>
        <v>1530</v>
      </c>
      <c r="AI292" s="1495">
        <f t="shared" ref="AI292:AI304" si="85">J292/3</f>
        <v>1530</v>
      </c>
      <c r="AJ292" s="1495">
        <f t="shared" ref="AJ292:AJ304" si="86">J292/3</f>
        <v>1530</v>
      </c>
      <c r="AK292" s="1371"/>
      <c r="AL292" s="1372"/>
      <c r="AM292" s="1371"/>
      <c r="AN292" s="1371"/>
      <c r="AO292" s="1384"/>
      <c r="AP292" s="1372"/>
      <c r="AQ292" s="1375"/>
      <c r="AR292" s="1499">
        <f t="shared" ref="AR292:AR320" si="87">J292</f>
        <v>4590</v>
      </c>
      <c r="AS292" s="1384"/>
      <c r="AT292" s="1386"/>
      <c r="AU292" s="1387"/>
      <c r="AV292" s="1387"/>
      <c r="AW292" s="1506">
        <f t="shared" ref="AW292:AW304" si="88">J292</f>
        <v>4590</v>
      </c>
      <c r="AX292" s="1387"/>
      <c r="AY292" s="1387"/>
      <c r="AZ292" s="1387"/>
      <c r="BA292" s="1506"/>
      <c r="BB292" s="1506"/>
      <c r="BC292" s="1506"/>
      <c r="BD292" s="1506"/>
      <c r="BE292" s="1304"/>
      <c r="BF292" s="1304"/>
      <c r="BG292" s="1511"/>
      <c r="BH292" s="1512"/>
      <c r="BI292" s="1399"/>
      <c r="BJ292" s="1399"/>
      <c r="BK292" s="1399"/>
    </row>
    <row r="293" s="1054" customFormat="1" ht="31" customHeight="1" spans="1:63">
      <c r="A293" s="1436">
        <v>45969</v>
      </c>
      <c r="B293" s="1437" t="s">
        <v>2991</v>
      </c>
      <c r="C293" s="1438" t="s">
        <v>91</v>
      </c>
      <c r="D293" s="1437">
        <v>4500185002</v>
      </c>
      <c r="E293" s="1439">
        <v>4560812730</v>
      </c>
      <c r="F293" s="1437" t="s">
        <v>2996</v>
      </c>
      <c r="G293" s="1441" t="s">
        <v>2079</v>
      </c>
      <c r="H293" s="1441" t="s">
        <v>2079</v>
      </c>
      <c r="I293" s="1449" t="s">
        <v>2080</v>
      </c>
      <c r="J293" s="1450">
        <v>4440</v>
      </c>
      <c r="K293" s="1440">
        <v>0</v>
      </c>
      <c r="L293" s="1440">
        <v>6</v>
      </c>
      <c r="M293" s="1451">
        <f t="shared" si="79"/>
        <v>740</v>
      </c>
      <c r="N293" s="1452">
        <v>46021</v>
      </c>
      <c r="O293" s="1452">
        <v>46017</v>
      </c>
      <c r="P293" s="1453"/>
      <c r="Q293" s="1464" t="s">
        <v>1480</v>
      </c>
      <c r="R293" s="1455" t="s">
        <v>207</v>
      </c>
      <c r="S293" s="1466" t="s">
        <v>116</v>
      </c>
      <c r="T293" s="1467"/>
      <c r="U293" s="1472" t="s">
        <v>2994</v>
      </c>
      <c r="V293" s="1468" t="s">
        <v>2130</v>
      </c>
      <c r="W293" s="1469" t="s">
        <v>2995</v>
      </c>
      <c r="X293" s="1470" t="s">
        <v>737</v>
      </c>
      <c r="Y293" s="1481">
        <v>1.6672</v>
      </c>
      <c r="Z293" s="1482">
        <f t="shared" si="82"/>
        <v>7402.368</v>
      </c>
      <c r="AA293" s="1483"/>
      <c r="AB293" s="1484" t="s">
        <v>63</v>
      </c>
      <c r="AC293" s="1484" t="s">
        <v>2040</v>
      </c>
      <c r="AD293" s="1485">
        <f>1830+2610</f>
        <v>4440</v>
      </c>
      <c r="AE293" s="1483">
        <f t="shared" si="83"/>
        <v>0</v>
      </c>
      <c r="AF293" s="1488"/>
      <c r="AG293" s="1486"/>
      <c r="AH293" s="1495">
        <f t="shared" si="84"/>
        <v>1480</v>
      </c>
      <c r="AI293" s="1495">
        <f t="shared" si="85"/>
        <v>1480</v>
      </c>
      <c r="AJ293" s="1495">
        <f t="shared" si="86"/>
        <v>1480</v>
      </c>
      <c r="AK293" s="1371"/>
      <c r="AL293" s="1372"/>
      <c r="AM293" s="1371"/>
      <c r="AN293" s="1371"/>
      <c r="AO293" s="1384"/>
      <c r="AP293" s="1372"/>
      <c r="AQ293" s="1375"/>
      <c r="AR293" s="1499">
        <f t="shared" si="87"/>
        <v>4440</v>
      </c>
      <c r="AS293" s="1384"/>
      <c r="AT293" s="1386"/>
      <c r="AU293" s="1387"/>
      <c r="AV293" s="1387"/>
      <c r="AW293" s="1506">
        <f t="shared" si="88"/>
        <v>4440</v>
      </c>
      <c r="AX293" s="1387"/>
      <c r="AY293" s="1387"/>
      <c r="AZ293" s="1387"/>
      <c r="BA293" s="1506"/>
      <c r="BB293" s="1506"/>
      <c r="BC293" s="1506"/>
      <c r="BD293" s="1506"/>
      <c r="BE293" s="1304"/>
      <c r="BF293" s="1304"/>
      <c r="BG293" s="1511"/>
      <c r="BH293" s="1512"/>
      <c r="BI293" s="1399"/>
      <c r="BJ293" s="1399"/>
      <c r="BK293" s="1399"/>
    </row>
    <row r="294" s="1054" customFormat="1" ht="31" customHeight="1" spans="1:63">
      <c r="A294" s="1436">
        <v>45969</v>
      </c>
      <c r="B294" s="1437" t="s">
        <v>2991</v>
      </c>
      <c r="C294" s="1438" t="s">
        <v>91</v>
      </c>
      <c r="D294" s="1437">
        <v>4500185002</v>
      </c>
      <c r="E294" s="1439">
        <v>4560812712</v>
      </c>
      <c r="F294" s="1437" t="s">
        <v>2997</v>
      </c>
      <c r="G294" s="1441" t="s">
        <v>2079</v>
      </c>
      <c r="H294" s="1441" t="s">
        <v>2079</v>
      </c>
      <c r="I294" s="1449" t="s">
        <v>2080</v>
      </c>
      <c r="J294" s="1450">
        <v>2208</v>
      </c>
      <c r="K294" s="1440">
        <v>0</v>
      </c>
      <c r="L294" s="1440">
        <v>6</v>
      </c>
      <c r="M294" s="1451">
        <f t="shared" si="79"/>
        <v>368</v>
      </c>
      <c r="N294" s="1452">
        <v>46021</v>
      </c>
      <c r="O294" s="1452">
        <v>46017</v>
      </c>
      <c r="P294" s="1453"/>
      <c r="Q294" s="1464" t="s">
        <v>1480</v>
      </c>
      <c r="R294" s="1455" t="s">
        <v>207</v>
      </c>
      <c r="S294" s="1466" t="s">
        <v>116</v>
      </c>
      <c r="T294" s="1467"/>
      <c r="U294" s="1472" t="s">
        <v>2994</v>
      </c>
      <c r="V294" s="1468" t="s">
        <v>2130</v>
      </c>
      <c r="W294" s="1469" t="s">
        <v>2995</v>
      </c>
      <c r="X294" s="1470" t="s">
        <v>737</v>
      </c>
      <c r="Y294" s="1481">
        <v>1.6827</v>
      </c>
      <c r="Z294" s="1482">
        <f t="shared" si="82"/>
        <v>3715.4016</v>
      </c>
      <c r="AA294" s="1483"/>
      <c r="AB294" s="1484" t="s">
        <v>63</v>
      </c>
      <c r="AC294" s="1484" t="s">
        <v>2040</v>
      </c>
      <c r="AD294" s="1485">
        <f>2208</f>
        <v>2208</v>
      </c>
      <c r="AE294" s="1483">
        <f t="shared" si="83"/>
        <v>0</v>
      </c>
      <c r="AF294" s="1488"/>
      <c r="AG294" s="1486"/>
      <c r="AH294" s="1495">
        <f t="shared" si="84"/>
        <v>736</v>
      </c>
      <c r="AI294" s="1495">
        <f t="shared" si="85"/>
        <v>736</v>
      </c>
      <c r="AJ294" s="1495">
        <f t="shared" si="86"/>
        <v>736</v>
      </c>
      <c r="AK294" s="1371"/>
      <c r="AL294" s="1372"/>
      <c r="AM294" s="1371"/>
      <c r="AN294" s="1371"/>
      <c r="AO294" s="1384"/>
      <c r="AP294" s="1372"/>
      <c r="AQ294" s="1375"/>
      <c r="AR294" s="1499">
        <f t="shared" si="87"/>
        <v>2208</v>
      </c>
      <c r="AS294" s="1384"/>
      <c r="AT294" s="1386"/>
      <c r="AU294" s="1387"/>
      <c r="AV294" s="1387"/>
      <c r="AW294" s="1506">
        <f t="shared" si="88"/>
        <v>2208</v>
      </c>
      <c r="AX294" s="1387"/>
      <c r="AY294" s="1387"/>
      <c r="AZ294" s="1387"/>
      <c r="BA294" s="1506"/>
      <c r="BB294" s="1506"/>
      <c r="BC294" s="1506"/>
      <c r="BD294" s="1506"/>
      <c r="BE294" s="1304"/>
      <c r="BF294" s="1304"/>
      <c r="BG294" s="1511"/>
      <c r="BH294" s="1512"/>
      <c r="BI294" s="1399"/>
      <c r="BJ294" s="1399"/>
      <c r="BK294" s="1399"/>
    </row>
    <row r="295" s="1054" customFormat="1" ht="31" customHeight="1" spans="1:63">
      <c r="A295" s="1436">
        <v>45969</v>
      </c>
      <c r="B295" s="1437" t="s">
        <v>2991</v>
      </c>
      <c r="C295" s="1438" t="s">
        <v>91</v>
      </c>
      <c r="D295" s="1437">
        <v>4500185002</v>
      </c>
      <c r="E295" s="1439">
        <v>4560813059</v>
      </c>
      <c r="F295" s="1437" t="s">
        <v>2998</v>
      </c>
      <c r="G295" s="1441" t="s">
        <v>2079</v>
      </c>
      <c r="H295" s="1441" t="s">
        <v>2079</v>
      </c>
      <c r="I295" s="1449" t="s">
        <v>2080</v>
      </c>
      <c r="J295" s="1450">
        <v>2892</v>
      </c>
      <c r="K295" s="1440">
        <v>0</v>
      </c>
      <c r="L295" s="1440">
        <v>6</v>
      </c>
      <c r="M295" s="1451">
        <f t="shared" si="79"/>
        <v>482</v>
      </c>
      <c r="N295" s="1452">
        <v>46021</v>
      </c>
      <c r="O295" s="1452">
        <v>46017</v>
      </c>
      <c r="P295" s="1453"/>
      <c r="Q295" s="1464" t="s">
        <v>1480</v>
      </c>
      <c r="R295" s="1455" t="s">
        <v>207</v>
      </c>
      <c r="S295" s="1466" t="s">
        <v>116</v>
      </c>
      <c r="T295" s="1467"/>
      <c r="U295" s="1472" t="s">
        <v>2994</v>
      </c>
      <c r="V295" s="1468" t="s">
        <v>2130</v>
      </c>
      <c r="W295" s="1469" t="s">
        <v>2995</v>
      </c>
      <c r="X295" s="1470" t="s">
        <v>737</v>
      </c>
      <c r="Y295" s="1481">
        <v>1.6827</v>
      </c>
      <c r="Z295" s="1482">
        <f t="shared" si="82"/>
        <v>4866.3684</v>
      </c>
      <c r="AA295" s="1483"/>
      <c r="AB295" s="1484" t="s">
        <v>63</v>
      </c>
      <c r="AC295" s="1484" t="s">
        <v>2040</v>
      </c>
      <c r="AD295" s="1485">
        <v>2892</v>
      </c>
      <c r="AE295" s="1483">
        <f t="shared" si="83"/>
        <v>0</v>
      </c>
      <c r="AF295" s="1488"/>
      <c r="AG295" s="1486"/>
      <c r="AH295" s="1495">
        <f t="shared" si="84"/>
        <v>964</v>
      </c>
      <c r="AI295" s="1495">
        <f t="shared" si="85"/>
        <v>964</v>
      </c>
      <c r="AJ295" s="1495">
        <f t="shared" si="86"/>
        <v>964</v>
      </c>
      <c r="AK295" s="1371"/>
      <c r="AL295" s="1372"/>
      <c r="AM295" s="1371"/>
      <c r="AN295" s="1371"/>
      <c r="AO295" s="1384"/>
      <c r="AP295" s="1372"/>
      <c r="AQ295" s="1375"/>
      <c r="AR295" s="1499">
        <f t="shared" si="87"/>
        <v>2892</v>
      </c>
      <c r="AS295" s="1384"/>
      <c r="AT295" s="1386"/>
      <c r="AU295" s="1387"/>
      <c r="AV295" s="1387"/>
      <c r="AW295" s="1506">
        <f t="shared" si="88"/>
        <v>2892</v>
      </c>
      <c r="AX295" s="1387"/>
      <c r="AY295" s="1387"/>
      <c r="AZ295" s="1387"/>
      <c r="BA295" s="1506"/>
      <c r="BB295" s="1506"/>
      <c r="BC295" s="1506"/>
      <c r="BD295" s="1506"/>
      <c r="BE295" s="1304"/>
      <c r="BF295" s="1304"/>
      <c r="BG295" s="1511"/>
      <c r="BH295" s="1512"/>
      <c r="BI295" s="1399"/>
      <c r="BJ295" s="1399"/>
      <c r="BK295" s="1399"/>
    </row>
    <row r="296" s="1054" customFormat="1" ht="31" customHeight="1" spans="1:63">
      <c r="A296" s="1436">
        <v>45969</v>
      </c>
      <c r="B296" s="1437" t="s">
        <v>2991</v>
      </c>
      <c r="C296" s="1438" t="s">
        <v>91</v>
      </c>
      <c r="D296" s="1437">
        <v>4500185002</v>
      </c>
      <c r="E296" s="1439">
        <v>4560812970</v>
      </c>
      <c r="F296" s="1437" t="s">
        <v>2999</v>
      </c>
      <c r="G296" s="1441" t="s">
        <v>2079</v>
      </c>
      <c r="H296" s="1441" t="s">
        <v>2079</v>
      </c>
      <c r="I296" s="1449" t="s">
        <v>2080</v>
      </c>
      <c r="J296" s="1450">
        <v>3024</v>
      </c>
      <c r="K296" s="1440">
        <v>0</v>
      </c>
      <c r="L296" s="1440">
        <v>6</v>
      </c>
      <c r="M296" s="1451">
        <f t="shared" si="79"/>
        <v>504</v>
      </c>
      <c r="N296" s="1452">
        <v>46021</v>
      </c>
      <c r="O296" s="1452">
        <v>46017</v>
      </c>
      <c r="P296" s="1453"/>
      <c r="Q296" s="1464" t="s">
        <v>1480</v>
      </c>
      <c r="R296" s="1455" t="s">
        <v>207</v>
      </c>
      <c r="S296" s="1466" t="s">
        <v>116</v>
      </c>
      <c r="T296" s="1467"/>
      <c r="U296" s="1472" t="s">
        <v>2994</v>
      </c>
      <c r="V296" s="1468" t="s">
        <v>2130</v>
      </c>
      <c r="W296" s="1469" t="s">
        <v>2995</v>
      </c>
      <c r="X296" s="1470" t="s">
        <v>737</v>
      </c>
      <c r="Y296" s="1481">
        <v>1.6672</v>
      </c>
      <c r="Z296" s="1482">
        <f t="shared" si="82"/>
        <v>5041.6128</v>
      </c>
      <c r="AA296" s="1483"/>
      <c r="AB296" s="1484" t="s">
        <v>63</v>
      </c>
      <c r="AC296" s="1484" t="s">
        <v>2040</v>
      </c>
      <c r="AD296" s="1485">
        <v>3024</v>
      </c>
      <c r="AE296" s="1483">
        <f t="shared" si="83"/>
        <v>0</v>
      </c>
      <c r="AF296" s="1488"/>
      <c r="AG296" s="1486"/>
      <c r="AH296" s="1495">
        <f t="shared" si="84"/>
        <v>1008</v>
      </c>
      <c r="AI296" s="1495">
        <f t="shared" si="85"/>
        <v>1008</v>
      </c>
      <c r="AJ296" s="1495">
        <f t="shared" si="86"/>
        <v>1008</v>
      </c>
      <c r="AK296" s="1371"/>
      <c r="AL296" s="1372"/>
      <c r="AM296" s="1371"/>
      <c r="AN296" s="1371"/>
      <c r="AO296" s="1384"/>
      <c r="AP296" s="1372"/>
      <c r="AQ296" s="1375"/>
      <c r="AR296" s="1499">
        <f t="shared" si="87"/>
        <v>3024</v>
      </c>
      <c r="AS296" s="1384"/>
      <c r="AT296" s="1386"/>
      <c r="AU296" s="1387"/>
      <c r="AV296" s="1387"/>
      <c r="AW296" s="1506">
        <f t="shared" si="88"/>
        <v>3024</v>
      </c>
      <c r="AX296" s="1387"/>
      <c r="AY296" s="1387"/>
      <c r="AZ296" s="1387"/>
      <c r="BA296" s="1506"/>
      <c r="BB296" s="1506"/>
      <c r="BC296" s="1506"/>
      <c r="BD296" s="1506"/>
      <c r="BE296" s="1304"/>
      <c r="BF296" s="1304"/>
      <c r="BG296" s="1511"/>
      <c r="BH296" s="1512"/>
      <c r="BI296" s="1399"/>
      <c r="BJ296" s="1399"/>
      <c r="BK296" s="1399"/>
    </row>
    <row r="297" s="1054" customFormat="1" ht="31" customHeight="1" spans="1:63">
      <c r="A297" s="1436">
        <v>45969</v>
      </c>
      <c r="B297" s="1437" t="s">
        <v>2991</v>
      </c>
      <c r="C297" s="1438" t="s">
        <v>91</v>
      </c>
      <c r="D297" s="1437">
        <v>4500185002</v>
      </c>
      <c r="E297" s="1439">
        <v>4560812946</v>
      </c>
      <c r="F297" s="1437" t="s">
        <v>3000</v>
      </c>
      <c r="G297" s="1441" t="s">
        <v>2079</v>
      </c>
      <c r="H297" s="1441" t="s">
        <v>2079</v>
      </c>
      <c r="I297" s="1449" t="s">
        <v>2080</v>
      </c>
      <c r="J297" s="1450">
        <v>2922</v>
      </c>
      <c r="K297" s="1440">
        <v>0</v>
      </c>
      <c r="L297" s="1440">
        <v>6</v>
      </c>
      <c r="M297" s="1451">
        <f t="shared" si="79"/>
        <v>487</v>
      </c>
      <c r="N297" s="1452">
        <v>46021</v>
      </c>
      <c r="O297" s="1452">
        <v>46017</v>
      </c>
      <c r="P297" s="1453"/>
      <c r="Q297" s="1464" t="s">
        <v>1480</v>
      </c>
      <c r="R297" s="1455" t="s">
        <v>3001</v>
      </c>
      <c r="S297" s="1466" t="s">
        <v>116</v>
      </c>
      <c r="T297" s="1467"/>
      <c r="U297" s="1472" t="s">
        <v>2994</v>
      </c>
      <c r="V297" s="1468" t="s">
        <v>2130</v>
      </c>
      <c r="W297" s="1469" t="s">
        <v>2995</v>
      </c>
      <c r="X297" s="1470" t="s">
        <v>737</v>
      </c>
      <c r="Y297" s="1481">
        <v>1.6827</v>
      </c>
      <c r="Z297" s="1482">
        <f t="shared" si="82"/>
        <v>4916.8494</v>
      </c>
      <c r="AA297" s="1483"/>
      <c r="AB297" s="1484" t="s">
        <v>63</v>
      </c>
      <c r="AC297" s="1484" t="s">
        <v>2040</v>
      </c>
      <c r="AD297" s="1485">
        <v>2922</v>
      </c>
      <c r="AE297" s="1483">
        <f t="shared" si="83"/>
        <v>0</v>
      </c>
      <c r="AF297" s="1488"/>
      <c r="AG297" s="1486"/>
      <c r="AH297" s="1495">
        <f t="shared" si="84"/>
        <v>974</v>
      </c>
      <c r="AI297" s="1495">
        <f t="shared" si="85"/>
        <v>974</v>
      </c>
      <c r="AJ297" s="1495">
        <f t="shared" si="86"/>
        <v>974</v>
      </c>
      <c r="AK297" s="1371"/>
      <c r="AL297" s="1372"/>
      <c r="AM297" s="1371"/>
      <c r="AN297" s="1371"/>
      <c r="AO297" s="1384"/>
      <c r="AP297" s="1372"/>
      <c r="AQ297" s="1375"/>
      <c r="AR297" s="1499">
        <f t="shared" si="87"/>
        <v>2922</v>
      </c>
      <c r="AS297" s="1384"/>
      <c r="AT297" s="1386"/>
      <c r="AU297" s="1387"/>
      <c r="AV297" s="1387"/>
      <c r="AW297" s="1506">
        <f t="shared" si="88"/>
        <v>2922</v>
      </c>
      <c r="AX297" s="1387"/>
      <c r="AY297" s="1387"/>
      <c r="AZ297" s="1387"/>
      <c r="BA297" s="1506"/>
      <c r="BB297" s="1506"/>
      <c r="BC297" s="1506"/>
      <c r="BD297" s="1506"/>
      <c r="BE297" s="1304"/>
      <c r="BF297" s="1304"/>
      <c r="BG297" s="1511"/>
      <c r="BH297" s="1512"/>
      <c r="BI297" s="1399"/>
      <c r="BJ297" s="1399"/>
      <c r="BK297" s="1399"/>
    </row>
    <row r="298" s="1054" customFormat="1" ht="31" customHeight="1" spans="1:63">
      <c r="A298" s="1436">
        <v>45969</v>
      </c>
      <c r="B298" s="1437" t="s">
        <v>2991</v>
      </c>
      <c r="C298" s="1438" t="s">
        <v>91</v>
      </c>
      <c r="D298" s="1437">
        <v>4500185002</v>
      </c>
      <c r="E298" s="1439">
        <v>4560813096</v>
      </c>
      <c r="F298" s="1437" t="s">
        <v>3002</v>
      </c>
      <c r="G298" s="1441" t="s">
        <v>2079</v>
      </c>
      <c r="H298" s="1441" t="s">
        <v>2079</v>
      </c>
      <c r="I298" s="1449" t="s">
        <v>2080</v>
      </c>
      <c r="J298" s="1450">
        <v>3792</v>
      </c>
      <c r="K298" s="1440">
        <v>0</v>
      </c>
      <c r="L298" s="1440">
        <v>6</v>
      </c>
      <c r="M298" s="1451">
        <f t="shared" si="79"/>
        <v>632</v>
      </c>
      <c r="N298" s="1452">
        <v>46021</v>
      </c>
      <c r="O298" s="1452">
        <v>46017</v>
      </c>
      <c r="P298" s="1453"/>
      <c r="Q298" s="1464" t="s">
        <v>1480</v>
      </c>
      <c r="R298" s="1455" t="s">
        <v>161</v>
      </c>
      <c r="S298" s="1466" t="s">
        <v>116</v>
      </c>
      <c r="T298" s="1467"/>
      <c r="U298" s="1472" t="s">
        <v>2994</v>
      </c>
      <c r="V298" s="1468" t="s">
        <v>2130</v>
      </c>
      <c r="W298" s="1469" t="s">
        <v>2995</v>
      </c>
      <c r="X298" s="1470" t="s">
        <v>737</v>
      </c>
      <c r="Y298" s="1481">
        <v>1.6672</v>
      </c>
      <c r="Z298" s="1482">
        <f t="shared" si="82"/>
        <v>6322.0224</v>
      </c>
      <c r="AA298" s="1483"/>
      <c r="AB298" s="1484" t="s">
        <v>63</v>
      </c>
      <c r="AC298" s="1484" t="s">
        <v>2040</v>
      </c>
      <c r="AD298" s="1485">
        <v>3792</v>
      </c>
      <c r="AE298" s="1483">
        <f t="shared" si="83"/>
        <v>0</v>
      </c>
      <c r="AF298" s="1488"/>
      <c r="AG298" s="1486"/>
      <c r="AH298" s="1495">
        <f t="shared" si="84"/>
        <v>1264</v>
      </c>
      <c r="AI298" s="1495">
        <f t="shared" si="85"/>
        <v>1264</v>
      </c>
      <c r="AJ298" s="1495">
        <f t="shared" si="86"/>
        <v>1264</v>
      </c>
      <c r="AK298" s="1371"/>
      <c r="AL298" s="1372"/>
      <c r="AM298" s="1371"/>
      <c r="AN298" s="1371"/>
      <c r="AO298" s="1384"/>
      <c r="AP298" s="1372"/>
      <c r="AQ298" s="1375"/>
      <c r="AR298" s="1499">
        <f t="shared" si="87"/>
        <v>3792</v>
      </c>
      <c r="AS298" s="1384"/>
      <c r="AT298" s="1386"/>
      <c r="AU298" s="1387"/>
      <c r="AV298" s="1387"/>
      <c r="AW298" s="1506">
        <f t="shared" si="88"/>
        <v>3792</v>
      </c>
      <c r="AX298" s="1387"/>
      <c r="AY298" s="1387"/>
      <c r="AZ298" s="1387"/>
      <c r="BA298" s="1506"/>
      <c r="BB298" s="1506"/>
      <c r="BC298" s="1506"/>
      <c r="BD298" s="1506"/>
      <c r="BE298" s="1304"/>
      <c r="BF298" s="1304"/>
      <c r="BG298" s="1511"/>
      <c r="BH298" s="1512"/>
      <c r="BI298" s="1399"/>
      <c r="BJ298" s="1399"/>
      <c r="BK298" s="1399"/>
    </row>
    <row r="299" s="1054" customFormat="1" ht="31" customHeight="1" spans="1:63">
      <c r="A299" s="1436">
        <v>45969</v>
      </c>
      <c r="B299" s="1437" t="s">
        <v>2991</v>
      </c>
      <c r="C299" s="1438" t="s">
        <v>91</v>
      </c>
      <c r="D299" s="1437">
        <v>4500185002</v>
      </c>
      <c r="E299" s="1439">
        <v>4560813092</v>
      </c>
      <c r="F299" s="1437" t="s">
        <v>3003</v>
      </c>
      <c r="G299" s="1441" t="s">
        <v>2079</v>
      </c>
      <c r="H299" s="1441" t="s">
        <v>2079</v>
      </c>
      <c r="I299" s="1449" t="s">
        <v>2080</v>
      </c>
      <c r="J299" s="1450">
        <v>624</v>
      </c>
      <c r="K299" s="1440">
        <v>0</v>
      </c>
      <c r="L299" s="1440">
        <v>6</v>
      </c>
      <c r="M299" s="1451">
        <f t="shared" si="79"/>
        <v>104</v>
      </c>
      <c r="N299" s="1452">
        <v>46021</v>
      </c>
      <c r="O299" s="1452">
        <v>46017</v>
      </c>
      <c r="P299" s="1453"/>
      <c r="Q299" s="1464" t="s">
        <v>1480</v>
      </c>
      <c r="R299" s="1455" t="s">
        <v>96</v>
      </c>
      <c r="S299" s="1466" t="s">
        <v>116</v>
      </c>
      <c r="T299" s="1467"/>
      <c r="U299" s="1472" t="s">
        <v>2994</v>
      </c>
      <c r="V299" s="1468" t="s">
        <v>2130</v>
      </c>
      <c r="W299" s="1469" t="s">
        <v>2995</v>
      </c>
      <c r="X299" s="1470" t="s">
        <v>737</v>
      </c>
      <c r="Y299" s="1481">
        <v>1.7965</v>
      </c>
      <c r="Z299" s="1482">
        <f t="shared" si="82"/>
        <v>1121.016</v>
      </c>
      <c r="AA299" s="1483"/>
      <c r="AB299" s="1484" t="s">
        <v>63</v>
      </c>
      <c r="AC299" s="1484" t="s">
        <v>2040</v>
      </c>
      <c r="AD299" s="1485">
        <v>624</v>
      </c>
      <c r="AE299" s="1483">
        <f t="shared" si="83"/>
        <v>0</v>
      </c>
      <c r="AF299" s="1488"/>
      <c r="AG299" s="1486"/>
      <c r="AH299" s="1495">
        <f t="shared" si="84"/>
        <v>208</v>
      </c>
      <c r="AI299" s="1495">
        <f t="shared" si="85"/>
        <v>208</v>
      </c>
      <c r="AJ299" s="1495">
        <f t="shared" si="86"/>
        <v>208</v>
      </c>
      <c r="AK299" s="1371"/>
      <c r="AL299" s="1372"/>
      <c r="AM299" s="1371"/>
      <c r="AN299" s="1371"/>
      <c r="AO299" s="1384"/>
      <c r="AP299" s="1372"/>
      <c r="AQ299" s="1375"/>
      <c r="AR299" s="1499">
        <f t="shared" si="87"/>
        <v>624</v>
      </c>
      <c r="AS299" s="1384"/>
      <c r="AT299" s="1386"/>
      <c r="AU299" s="1387"/>
      <c r="AV299" s="1387"/>
      <c r="AW299" s="1506">
        <f t="shared" si="88"/>
        <v>624</v>
      </c>
      <c r="AX299" s="1387"/>
      <c r="AY299" s="1387"/>
      <c r="AZ299" s="1387"/>
      <c r="BA299" s="1506"/>
      <c r="BB299" s="1506"/>
      <c r="BC299" s="1506"/>
      <c r="BD299" s="1506"/>
      <c r="BE299" s="1304"/>
      <c r="BF299" s="1304"/>
      <c r="BG299" s="1511"/>
      <c r="BH299" s="1512"/>
      <c r="BI299" s="1399"/>
      <c r="BJ299" s="1399"/>
      <c r="BK299" s="1399"/>
    </row>
    <row r="300" s="1054" customFormat="1" ht="31" customHeight="1" spans="1:63">
      <c r="A300" s="1436">
        <v>45969</v>
      </c>
      <c r="B300" s="1437" t="s">
        <v>2991</v>
      </c>
      <c r="C300" s="1438" t="s">
        <v>91</v>
      </c>
      <c r="D300" s="1437">
        <v>4500185002</v>
      </c>
      <c r="E300" s="1439">
        <v>4560812747</v>
      </c>
      <c r="F300" s="1437" t="s">
        <v>3004</v>
      </c>
      <c r="G300" s="1441" t="s">
        <v>2079</v>
      </c>
      <c r="H300" s="1441" t="s">
        <v>2079</v>
      </c>
      <c r="I300" s="1449" t="s">
        <v>2080</v>
      </c>
      <c r="J300" s="1450">
        <v>2862</v>
      </c>
      <c r="K300" s="1440">
        <v>0</v>
      </c>
      <c r="L300" s="1440">
        <v>6</v>
      </c>
      <c r="M300" s="1451">
        <f t="shared" si="79"/>
        <v>477</v>
      </c>
      <c r="N300" s="1452">
        <v>46021</v>
      </c>
      <c r="O300" s="1452">
        <v>46017</v>
      </c>
      <c r="P300" s="1453"/>
      <c r="Q300" s="1464" t="s">
        <v>1480</v>
      </c>
      <c r="R300" s="1455" t="s">
        <v>2993</v>
      </c>
      <c r="S300" s="1466" t="s">
        <v>116</v>
      </c>
      <c r="T300" s="1467"/>
      <c r="U300" s="1472" t="s">
        <v>2994</v>
      </c>
      <c r="V300" s="1468" t="s">
        <v>2130</v>
      </c>
      <c r="W300" s="1469" t="s">
        <v>2995</v>
      </c>
      <c r="X300" s="1470" t="s">
        <v>737</v>
      </c>
      <c r="Y300" s="1481">
        <v>1.6827</v>
      </c>
      <c r="Z300" s="1482">
        <f t="shared" si="82"/>
        <v>4815.8874</v>
      </c>
      <c r="AA300" s="1483"/>
      <c r="AB300" s="1484" t="s">
        <v>63</v>
      </c>
      <c r="AC300" s="1484" t="s">
        <v>2040</v>
      </c>
      <c r="AD300" s="1485">
        <v>2862</v>
      </c>
      <c r="AE300" s="1483">
        <f t="shared" si="83"/>
        <v>0</v>
      </c>
      <c r="AF300" s="1488"/>
      <c r="AG300" s="1486"/>
      <c r="AH300" s="1495">
        <f t="shared" si="84"/>
        <v>954</v>
      </c>
      <c r="AI300" s="1495">
        <f t="shared" si="85"/>
        <v>954</v>
      </c>
      <c r="AJ300" s="1495">
        <f t="shared" si="86"/>
        <v>954</v>
      </c>
      <c r="AK300" s="1371"/>
      <c r="AL300" s="1372"/>
      <c r="AM300" s="1371"/>
      <c r="AN300" s="1371"/>
      <c r="AO300" s="1384"/>
      <c r="AP300" s="1372"/>
      <c r="AQ300" s="1375"/>
      <c r="AR300" s="1499">
        <f t="shared" si="87"/>
        <v>2862</v>
      </c>
      <c r="AS300" s="1384"/>
      <c r="AT300" s="1386"/>
      <c r="AU300" s="1387"/>
      <c r="AV300" s="1387"/>
      <c r="AW300" s="1506">
        <f t="shared" si="88"/>
        <v>2862</v>
      </c>
      <c r="AX300" s="1387"/>
      <c r="AY300" s="1387"/>
      <c r="AZ300" s="1387"/>
      <c r="BA300" s="1506"/>
      <c r="BB300" s="1506"/>
      <c r="BC300" s="1506"/>
      <c r="BD300" s="1506"/>
      <c r="BE300" s="1304"/>
      <c r="BF300" s="1304"/>
      <c r="BG300" s="1511"/>
      <c r="BH300" s="1512"/>
      <c r="BI300" s="1399"/>
      <c r="BJ300" s="1399"/>
      <c r="BK300" s="1399"/>
    </row>
    <row r="301" s="1054" customFormat="1" ht="31" customHeight="1" spans="1:63">
      <c r="A301" s="1436">
        <v>45969</v>
      </c>
      <c r="B301" s="1437" t="s">
        <v>2991</v>
      </c>
      <c r="C301" s="1438" t="s">
        <v>91</v>
      </c>
      <c r="D301" s="1437">
        <v>4500185002</v>
      </c>
      <c r="E301" s="1439">
        <v>4560812682</v>
      </c>
      <c r="F301" s="1437" t="s">
        <v>3005</v>
      </c>
      <c r="G301" s="1441" t="s">
        <v>2079</v>
      </c>
      <c r="H301" s="1441" t="s">
        <v>2079</v>
      </c>
      <c r="I301" s="1449" t="s">
        <v>2080</v>
      </c>
      <c r="J301" s="1450">
        <v>4050</v>
      </c>
      <c r="K301" s="1440">
        <v>0</v>
      </c>
      <c r="L301" s="1440">
        <v>6</v>
      </c>
      <c r="M301" s="1451">
        <f t="shared" si="79"/>
        <v>675</v>
      </c>
      <c r="N301" s="1452">
        <v>46021</v>
      </c>
      <c r="O301" s="1452">
        <v>46017</v>
      </c>
      <c r="P301" s="1453"/>
      <c r="Q301" s="1464" t="s">
        <v>1480</v>
      </c>
      <c r="R301" s="1455" t="s">
        <v>207</v>
      </c>
      <c r="S301" s="1466" t="s">
        <v>116</v>
      </c>
      <c r="T301" s="1467"/>
      <c r="U301" s="1472" t="s">
        <v>2994</v>
      </c>
      <c r="V301" s="1468" t="s">
        <v>2130</v>
      </c>
      <c r="W301" s="1469" t="s">
        <v>2995</v>
      </c>
      <c r="X301" s="1470" t="s">
        <v>737</v>
      </c>
      <c r="Y301" s="1481">
        <v>1.6672</v>
      </c>
      <c r="Z301" s="1482">
        <f t="shared" si="82"/>
        <v>6752.16</v>
      </c>
      <c r="AA301" s="1483"/>
      <c r="AB301" s="1484" t="s">
        <v>63</v>
      </c>
      <c r="AC301" s="1484" t="s">
        <v>2040</v>
      </c>
      <c r="AD301" s="1485">
        <v>4050</v>
      </c>
      <c r="AE301" s="1483">
        <f t="shared" si="83"/>
        <v>0</v>
      </c>
      <c r="AF301" s="1486"/>
      <c r="AG301" s="1486"/>
      <c r="AH301" s="1495">
        <f t="shared" si="84"/>
        <v>1350</v>
      </c>
      <c r="AI301" s="1495">
        <f t="shared" si="85"/>
        <v>1350</v>
      </c>
      <c r="AJ301" s="1495">
        <f t="shared" si="86"/>
        <v>1350</v>
      </c>
      <c r="AK301" s="1371"/>
      <c r="AL301" s="1372"/>
      <c r="AM301" s="1371"/>
      <c r="AN301" s="1371"/>
      <c r="AO301" s="1384"/>
      <c r="AP301" s="1372"/>
      <c r="AQ301" s="1375"/>
      <c r="AR301" s="1499">
        <f t="shared" si="87"/>
        <v>4050</v>
      </c>
      <c r="AS301" s="1384"/>
      <c r="AT301" s="1386"/>
      <c r="AU301" s="1387"/>
      <c r="AV301" s="1387"/>
      <c r="AW301" s="1506">
        <f t="shared" si="88"/>
        <v>4050</v>
      </c>
      <c r="AX301" s="1387"/>
      <c r="AY301" s="1387"/>
      <c r="AZ301" s="1387"/>
      <c r="BA301" s="1506"/>
      <c r="BB301" s="1506"/>
      <c r="BC301" s="1506"/>
      <c r="BD301" s="1506"/>
      <c r="BE301" s="1304"/>
      <c r="BF301" s="1304"/>
      <c r="BG301" s="1511"/>
      <c r="BH301" s="1512"/>
      <c r="BI301" s="1399"/>
      <c r="BJ301" s="1399"/>
      <c r="BK301" s="1399"/>
    </row>
    <row r="302" s="1053" customFormat="1" ht="31" customHeight="1" spans="1:63">
      <c r="A302" s="1265">
        <v>45988</v>
      </c>
      <c r="B302" s="1266" t="s">
        <v>2724</v>
      </c>
      <c r="C302" s="1267" t="s">
        <v>123</v>
      </c>
      <c r="D302" s="1266">
        <v>4500187190</v>
      </c>
      <c r="E302" s="1269">
        <v>2950867599</v>
      </c>
      <c r="F302" s="1266" t="s">
        <v>3006</v>
      </c>
      <c r="G302" s="1101" t="s">
        <v>2726</v>
      </c>
      <c r="H302" s="1101" t="s">
        <v>2726</v>
      </c>
      <c r="I302" s="1098" t="s">
        <v>2727</v>
      </c>
      <c r="J302" s="1120">
        <v>1280</v>
      </c>
      <c r="K302" s="1097">
        <v>0</v>
      </c>
      <c r="L302" s="1097">
        <v>320</v>
      </c>
      <c r="M302" s="1114">
        <f t="shared" si="79"/>
        <v>4</v>
      </c>
      <c r="N302" s="1117">
        <v>46034</v>
      </c>
      <c r="O302" s="1117">
        <f>N302-3</f>
        <v>46031</v>
      </c>
      <c r="P302" s="1272"/>
      <c r="Q302" s="1285" t="s">
        <v>1480</v>
      </c>
      <c r="R302" s="1280" t="s">
        <v>3007</v>
      </c>
      <c r="S302" s="1147" t="s">
        <v>1265</v>
      </c>
      <c r="T302" s="1364"/>
      <c r="U302" s="1406" t="s">
        <v>3008</v>
      </c>
      <c r="V302" s="1402" t="s">
        <v>3009</v>
      </c>
      <c r="W302" s="1148" t="s">
        <v>3010</v>
      </c>
      <c r="X302" s="1150" t="s">
        <v>2924</v>
      </c>
      <c r="Y302" s="1292">
        <v>947.0265</v>
      </c>
      <c r="Z302" s="1166">
        <f>Y302*M302</f>
        <v>3788.106</v>
      </c>
      <c r="AA302" s="1289"/>
      <c r="AB302" s="1137" t="s">
        <v>63</v>
      </c>
      <c r="AC302" s="1137" t="s">
        <v>2040</v>
      </c>
      <c r="AD302" s="1290">
        <v>1280</v>
      </c>
      <c r="AE302" s="1289">
        <f t="shared" si="83"/>
        <v>0</v>
      </c>
      <c r="AF302" s="1291"/>
      <c r="AG302" s="1291"/>
      <c r="AH302" s="1188">
        <f t="shared" si="84"/>
        <v>426.666666666667</v>
      </c>
      <c r="AI302" s="1188">
        <f t="shared" si="85"/>
        <v>426.666666666667</v>
      </c>
      <c r="AJ302" s="1189">
        <f t="shared" si="86"/>
        <v>426.666666666667</v>
      </c>
      <c r="AK302" s="1418"/>
      <c r="AL302" s="1337"/>
      <c r="AM302" s="1418"/>
      <c r="AN302" s="1418"/>
      <c r="AO302" s="1430"/>
      <c r="AP302" s="1337"/>
      <c r="AQ302" s="1431"/>
      <c r="AR302" s="1338">
        <f t="shared" si="87"/>
        <v>1280</v>
      </c>
      <c r="AS302" s="1425"/>
      <c r="AT302" s="1427"/>
      <c r="AU302" s="1428"/>
      <c r="AV302" s="1428"/>
      <c r="AW302" s="1172">
        <f t="shared" si="88"/>
        <v>1280</v>
      </c>
      <c r="AX302" s="1433"/>
      <c r="AY302" s="1433"/>
      <c r="AZ302" s="1433"/>
      <c r="BA302" s="1172"/>
      <c r="BB302" s="1172"/>
      <c r="BC302" s="1172"/>
      <c r="BD302" s="1172"/>
      <c r="BE302" s="1346"/>
      <c r="BF302" s="1346"/>
      <c r="BG302" s="1344"/>
      <c r="BH302" s="1347"/>
      <c r="BI302" s="1055"/>
      <c r="BJ302" s="1055"/>
      <c r="BK302" s="1055"/>
    </row>
    <row r="303" s="1053" customFormat="1" ht="31" customHeight="1" spans="1:63">
      <c r="A303" s="1265">
        <v>45964</v>
      </c>
      <c r="B303" s="1266" t="s">
        <v>811</v>
      </c>
      <c r="C303" s="1267" t="s">
        <v>91</v>
      </c>
      <c r="D303" s="1266">
        <v>4500184183</v>
      </c>
      <c r="E303" s="1269">
        <v>70078363</v>
      </c>
      <c r="F303" s="1266" t="s">
        <v>3011</v>
      </c>
      <c r="G303" s="1097" t="s">
        <v>2118</v>
      </c>
      <c r="H303" s="1101" t="s">
        <v>2118</v>
      </c>
      <c r="I303" s="1098" t="s">
        <v>2119</v>
      </c>
      <c r="J303" s="1120">
        <v>1200</v>
      </c>
      <c r="K303" s="1097">
        <v>0</v>
      </c>
      <c r="L303" s="1097">
        <v>12</v>
      </c>
      <c r="M303" s="1114">
        <f t="shared" si="79"/>
        <v>100</v>
      </c>
      <c r="N303" s="1117">
        <v>46038</v>
      </c>
      <c r="O303" s="1117">
        <v>46034</v>
      </c>
      <c r="P303" s="1272"/>
      <c r="Q303" s="1285" t="s">
        <v>1480</v>
      </c>
      <c r="R303" s="1363" t="s">
        <v>1292</v>
      </c>
      <c r="S303" s="1147" t="s">
        <v>1129</v>
      </c>
      <c r="T303" s="1364"/>
      <c r="U303" s="1406" t="s">
        <v>1293</v>
      </c>
      <c r="V303" s="1402" t="s">
        <v>235</v>
      </c>
      <c r="W303" s="1148" t="s">
        <v>816</v>
      </c>
      <c r="X303" s="1150" t="s">
        <v>1151</v>
      </c>
      <c r="Y303" s="1292">
        <v>1.6684</v>
      </c>
      <c r="Z303" s="1166">
        <f t="shared" ref="Z303:Z316" si="89">Y303*J303</f>
        <v>2002.08</v>
      </c>
      <c r="AA303" s="1289"/>
      <c r="AB303" s="1137" t="s">
        <v>63</v>
      </c>
      <c r="AC303" s="1137" t="s">
        <v>2040</v>
      </c>
      <c r="AD303" s="1290">
        <f>1188+12</f>
        <v>1200</v>
      </c>
      <c r="AE303" s="1289">
        <f t="shared" si="83"/>
        <v>0</v>
      </c>
      <c r="AF303" s="1291" t="s">
        <v>327</v>
      </c>
      <c r="AG303" s="1291"/>
      <c r="AH303" s="1188">
        <f t="shared" si="84"/>
        <v>400</v>
      </c>
      <c r="AI303" s="1188">
        <f t="shared" si="85"/>
        <v>400</v>
      </c>
      <c r="AJ303" s="1188">
        <f t="shared" si="86"/>
        <v>400</v>
      </c>
      <c r="AK303" s="1418"/>
      <c r="AL303" s="1337"/>
      <c r="AM303" s="1418"/>
      <c r="AN303" s="1418"/>
      <c r="AO303" s="1430"/>
      <c r="AP303" s="1337"/>
      <c r="AQ303" s="1431"/>
      <c r="AR303" s="1338">
        <f t="shared" si="87"/>
        <v>1200</v>
      </c>
      <c r="AS303" s="1430"/>
      <c r="AT303" s="1432"/>
      <c r="AU303" s="1433"/>
      <c r="AV303" s="1433"/>
      <c r="AW303" s="1172">
        <f t="shared" si="88"/>
        <v>1200</v>
      </c>
      <c r="AX303" s="1433"/>
      <c r="AY303" s="1433"/>
      <c r="AZ303" s="1433"/>
      <c r="BA303" s="1172"/>
      <c r="BB303" s="1172"/>
      <c r="BC303" s="1172"/>
      <c r="BD303" s="1172"/>
      <c r="BE303" s="1346"/>
      <c r="BF303" s="1346"/>
      <c r="BG303" s="1344"/>
      <c r="BH303" s="1347"/>
      <c r="BI303" s="1055"/>
      <c r="BJ303" s="1055"/>
      <c r="BK303" s="1055"/>
    </row>
    <row r="304" s="1053" customFormat="1" ht="31" customHeight="1" spans="1:60">
      <c r="A304" s="1265">
        <v>45990</v>
      </c>
      <c r="B304" s="1266" t="s">
        <v>918</v>
      </c>
      <c r="C304" s="1267" t="s">
        <v>123</v>
      </c>
      <c r="D304" s="1266">
        <v>4500187503</v>
      </c>
      <c r="E304" s="1269">
        <v>4400522626</v>
      </c>
      <c r="F304" s="1266" t="s">
        <v>3012</v>
      </c>
      <c r="G304" s="1101" t="s">
        <v>2316</v>
      </c>
      <c r="H304" s="1101" t="s">
        <v>2317</v>
      </c>
      <c r="I304" s="1098" t="s">
        <v>2063</v>
      </c>
      <c r="J304" s="1120">
        <v>1200</v>
      </c>
      <c r="K304" s="1097">
        <v>0</v>
      </c>
      <c r="L304" s="1097">
        <v>12</v>
      </c>
      <c r="M304" s="1114">
        <f t="shared" si="79"/>
        <v>100</v>
      </c>
      <c r="N304" s="1117">
        <v>46048</v>
      </c>
      <c r="O304" s="1117">
        <v>46044</v>
      </c>
      <c r="P304" s="1272"/>
      <c r="Q304" s="1285" t="s">
        <v>1480</v>
      </c>
      <c r="R304" s="1280" t="s">
        <v>3013</v>
      </c>
      <c r="S304" s="1147" t="s">
        <v>1290</v>
      </c>
      <c r="T304" s="1364"/>
      <c r="U304" s="1406" t="s">
        <v>2971</v>
      </c>
      <c r="V304" s="1402" t="s">
        <v>2899</v>
      </c>
      <c r="W304" s="1148" t="s">
        <v>3014</v>
      </c>
      <c r="X304" s="1150" t="s">
        <v>953</v>
      </c>
      <c r="Y304" s="1292">
        <v>2.785</v>
      </c>
      <c r="Z304" s="1166">
        <f t="shared" si="89"/>
        <v>3342</v>
      </c>
      <c r="AA304" s="1289"/>
      <c r="AB304" s="1137" t="s">
        <v>63</v>
      </c>
      <c r="AC304" s="1137" t="s">
        <v>2040</v>
      </c>
      <c r="AD304" s="1290">
        <v>1200</v>
      </c>
      <c r="AE304" s="1289">
        <f t="shared" ref="AE304:AE318" si="90">AD304-J304</f>
        <v>0</v>
      </c>
      <c r="AF304" s="1291" t="s">
        <v>327</v>
      </c>
      <c r="AG304" s="1291"/>
      <c r="AH304" s="1188"/>
      <c r="AI304" s="1188">
        <f>J304</f>
        <v>1200</v>
      </c>
      <c r="AJ304" s="1189"/>
      <c r="AK304" s="1319"/>
      <c r="AL304" s="1214"/>
      <c r="AM304" s="1319"/>
      <c r="AN304" s="1319"/>
      <c r="AO304" s="1338"/>
      <c r="AP304" s="1214"/>
      <c r="AQ304" s="1346"/>
      <c r="AR304" s="1338">
        <f t="shared" si="87"/>
        <v>1200</v>
      </c>
      <c r="AS304" s="1338"/>
      <c r="AT304" s="1429"/>
      <c r="AU304" s="1397"/>
      <c r="AV304" s="1397"/>
      <c r="AW304" s="1172"/>
      <c r="AX304" s="1397"/>
      <c r="AY304" s="1397"/>
      <c r="AZ304" s="1397"/>
      <c r="BA304" s="1172">
        <f t="shared" ref="BA304:BA309" si="91">J304</f>
        <v>1200</v>
      </c>
      <c r="BB304" s="1172"/>
      <c r="BC304" s="1172"/>
      <c r="BD304" s="1172"/>
      <c r="BE304" s="1346"/>
      <c r="BF304" s="1346"/>
      <c r="BG304" s="1344"/>
      <c r="BH304" s="1347"/>
    </row>
    <row r="305" s="1053" customFormat="1" ht="31" customHeight="1" spans="1:60">
      <c r="A305" s="1265">
        <v>45990</v>
      </c>
      <c r="B305" s="1266" t="s">
        <v>918</v>
      </c>
      <c r="C305" s="1267" t="s">
        <v>123</v>
      </c>
      <c r="D305" s="1266">
        <v>4500187503</v>
      </c>
      <c r="E305" s="1269">
        <v>4400522626</v>
      </c>
      <c r="F305" s="1266" t="s">
        <v>3015</v>
      </c>
      <c r="G305" s="1101" t="s">
        <v>2309</v>
      </c>
      <c r="H305" s="1101" t="s">
        <v>2310</v>
      </c>
      <c r="I305" s="1098" t="s">
        <v>2663</v>
      </c>
      <c r="J305" s="1120">
        <v>1200</v>
      </c>
      <c r="K305" s="1097">
        <v>0</v>
      </c>
      <c r="L305" s="1097">
        <v>12</v>
      </c>
      <c r="M305" s="1114">
        <f t="shared" si="79"/>
        <v>100</v>
      </c>
      <c r="N305" s="1117">
        <v>46048</v>
      </c>
      <c r="O305" s="1117">
        <v>46044</v>
      </c>
      <c r="P305" s="1272"/>
      <c r="Q305" s="1285" t="s">
        <v>1480</v>
      </c>
      <c r="R305" s="1280" t="s">
        <v>3013</v>
      </c>
      <c r="S305" s="1147" t="s">
        <v>1290</v>
      </c>
      <c r="T305" s="1364"/>
      <c r="U305" s="1406" t="s">
        <v>2971</v>
      </c>
      <c r="V305" s="1402" t="s">
        <v>2902</v>
      </c>
      <c r="W305" s="1148" t="s">
        <v>3014</v>
      </c>
      <c r="X305" s="1150" t="s">
        <v>953</v>
      </c>
      <c r="Y305" s="1292">
        <v>2.785</v>
      </c>
      <c r="Z305" s="1166">
        <f t="shared" si="89"/>
        <v>3342</v>
      </c>
      <c r="AA305" s="1289"/>
      <c r="AB305" s="1137" t="s">
        <v>63</v>
      </c>
      <c r="AC305" s="1137" t="s">
        <v>2040</v>
      </c>
      <c r="AD305" s="1290">
        <v>1200</v>
      </c>
      <c r="AE305" s="1289">
        <f t="shared" si="90"/>
        <v>0</v>
      </c>
      <c r="AF305" s="1291" t="s">
        <v>327</v>
      </c>
      <c r="AG305" s="1291"/>
      <c r="AH305" s="1188"/>
      <c r="AI305" s="1188"/>
      <c r="AJ305" s="1188">
        <f>J305</f>
        <v>1200</v>
      </c>
      <c r="AK305" s="1319"/>
      <c r="AL305" s="1214"/>
      <c r="AM305" s="1319"/>
      <c r="AN305" s="1319"/>
      <c r="AO305" s="1338"/>
      <c r="AP305" s="1214"/>
      <c r="AQ305" s="1346"/>
      <c r="AR305" s="1338">
        <f t="shared" si="87"/>
        <v>1200</v>
      </c>
      <c r="AS305" s="1338"/>
      <c r="AT305" s="1429"/>
      <c r="AU305" s="1397"/>
      <c r="AV305" s="1397"/>
      <c r="AW305" s="1172"/>
      <c r="AX305" s="1397"/>
      <c r="AY305" s="1397"/>
      <c r="AZ305" s="1397"/>
      <c r="BA305" s="1172">
        <f t="shared" si="91"/>
        <v>1200</v>
      </c>
      <c r="BB305" s="1172"/>
      <c r="BC305" s="1172"/>
      <c r="BD305" s="1172"/>
      <c r="BE305" s="1346"/>
      <c r="BF305" s="1346"/>
      <c r="BG305" s="1344"/>
      <c r="BH305" s="1347"/>
    </row>
    <row r="306" s="1053" customFormat="1" ht="31" customHeight="1" spans="1:60">
      <c r="A306" s="1265">
        <v>45990</v>
      </c>
      <c r="B306" s="1266" t="s">
        <v>918</v>
      </c>
      <c r="C306" s="1267" t="s">
        <v>123</v>
      </c>
      <c r="D306" s="1266">
        <v>4500187503</v>
      </c>
      <c r="E306" s="1269">
        <v>4400522626</v>
      </c>
      <c r="F306" s="1266" t="s">
        <v>3016</v>
      </c>
      <c r="G306" s="1101" t="s">
        <v>2444</v>
      </c>
      <c r="H306" s="1101" t="s">
        <v>2445</v>
      </c>
      <c r="I306" s="1098" t="s">
        <v>2446</v>
      </c>
      <c r="J306" s="1120">
        <v>1008</v>
      </c>
      <c r="K306" s="1097">
        <v>0</v>
      </c>
      <c r="L306" s="1097">
        <v>12</v>
      </c>
      <c r="M306" s="1114">
        <f t="shared" si="79"/>
        <v>84</v>
      </c>
      <c r="N306" s="1117">
        <v>46048</v>
      </c>
      <c r="O306" s="1117">
        <v>46044</v>
      </c>
      <c r="P306" s="1272"/>
      <c r="Q306" s="1285" t="s">
        <v>1480</v>
      </c>
      <c r="R306" s="1280" t="s">
        <v>3013</v>
      </c>
      <c r="S306" s="1147" t="s">
        <v>1290</v>
      </c>
      <c r="T306" s="1364"/>
      <c r="U306" s="1406" t="s">
        <v>2905</v>
      </c>
      <c r="V306" s="1402" t="s">
        <v>2906</v>
      </c>
      <c r="W306" s="1148" t="s">
        <v>3014</v>
      </c>
      <c r="X306" s="1150" t="s">
        <v>953</v>
      </c>
      <c r="Y306" s="1292">
        <v>2.8454</v>
      </c>
      <c r="Z306" s="1166">
        <f t="shared" si="89"/>
        <v>2868.1632</v>
      </c>
      <c r="AA306" s="1289"/>
      <c r="AB306" s="1137" t="s">
        <v>63</v>
      </c>
      <c r="AC306" s="1137" t="s">
        <v>2040</v>
      </c>
      <c r="AD306" s="1290">
        <v>1008</v>
      </c>
      <c r="AE306" s="1289">
        <f t="shared" si="90"/>
        <v>0</v>
      </c>
      <c r="AF306" s="1294" t="s">
        <v>58</v>
      </c>
      <c r="AG306" s="1291"/>
      <c r="AH306" s="1188">
        <f>J306</f>
        <v>1008</v>
      </c>
      <c r="AI306" s="1188"/>
      <c r="AJ306" s="1189"/>
      <c r="AK306" s="1319"/>
      <c r="AL306" s="1214"/>
      <c r="AM306" s="1319"/>
      <c r="AN306" s="1319"/>
      <c r="AO306" s="1338"/>
      <c r="AP306" s="1214"/>
      <c r="AQ306" s="1346"/>
      <c r="AR306" s="1338">
        <f t="shared" si="87"/>
        <v>1008</v>
      </c>
      <c r="AS306" s="1338"/>
      <c r="AT306" s="1429"/>
      <c r="AU306" s="1397"/>
      <c r="AV306" s="1397"/>
      <c r="AW306" s="1172"/>
      <c r="AX306" s="1397"/>
      <c r="AY306" s="1397"/>
      <c r="AZ306" s="1397"/>
      <c r="BA306" s="1172">
        <f t="shared" si="91"/>
        <v>1008</v>
      </c>
      <c r="BB306" s="1172"/>
      <c r="BC306" s="1172"/>
      <c r="BD306" s="1172"/>
      <c r="BE306" s="1346"/>
      <c r="BF306" s="1346"/>
      <c r="BG306" s="1344"/>
      <c r="BH306" s="1347"/>
    </row>
    <row r="307" s="1053" customFormat="1" ht="31" customHeight="1" spans="1:63">
      <c r="A307" s="1265">
        <v>46006</v>
      </c>
      <c r="B307" s="1266" t="s">
        <v>856</v>
      </c>
      <c r="C307" s="1267" t="s">
        <v>178</v>
      </c>
      <c r="D307" s="1266">
        <v>4500189004</v>
      </c>
      <c r="E307" s="1269">
        <v>4400528781</v>
      </c>
      <c r="F307" s="1266" t="s">
        <v>3017</v>
      </c>
      <c r="G307" s="1101" t="s">
        <v>2316</v>
      </c>
      <c r="H307" s="1101" t="s">
        <v>2317</v>
      </c>
      <c r="I307" s="1098" t="s">
        <v>2063</v>
      </c>
      <c r="J307" s="1120">
        <v>504</v>
      </c>
      <c r="K307" s="1097">
        <v>0</v>
      </c>
      <c r="L307" s="1097">
        <v>12</v>
      </c>
      <c r="M307" s="1114">
        <f t="shared" si="79"/>
        <v>42</v>
      </c>
      <c r="N307" s="1117">
        <v>46049</v>
      </c>
      <c r="O307" s="1117">
        <v>46045</v>
      </c>
      <c r="P307" s="1272"/>
      <c r="Q307" s="1285" t="s">
        <v>1480</v>
      </c>
      <c r="R307" s="1280" t="s">
        <v>3018</v>
      </c>
      <c r="S307" s="1147" t="s">
        <v>1333</v>
      </c>
      <c r="T307" s="1364"/>
      <c r="U307" s="1406" t="s">
        <v>2898</v>
      </c>
      <c r="V307" s="1402" t="s">
        <v>3019</v>
      </c>
      <c r="W307" s="1148" t="s">
        <v>2900</v>
      </c>
      <c r="X307" s="1150" t="s">
        <v>953</v>
      </c>
      <c r="Y307" s="1292">
        <v>2.9064</v>
      </c>
      <c r="Z307" s="1166">
        <f t="shared" si="89"/>
        <v>1464.8256</v>
      </c>
      <c r="AA307" s="1289"/>
      <c r="AB307" s="1137" t="s">
        <v>63</v>
      </c>
      <c r="AC307" s="1137" t="s">
        <v>2040</v>
      </c>
      <c r="AD307" s="1290">
        <v>504</v>
      </c>
      <c r="AE307" s="1289">
        <f t="shared" si="90"/>
        <v>0</v>
      </c>
      <c r="AF307" s="1291" t="s">
        <v>327</v>
      </c>
      <c r="AG307" s="1291"/>
      <c r="AH307" s="1188"/>
      <c r="AI307" s="1188">
        <f>J307</f>
        <v>504</v>
      </c>
      <c r="AJ307" s="1189"/>
      <c r="AK307" s="1418"/>
      <c r="AL307" s="1337"/>
      <c r="AM307" s="1418"/>
      <c r="AN307" s="1418"/>
      <c r="AO307" s="1430"/>
      <c r="AP307" s="1337"/>
      <c r="AQ307" s="1431"/>
      <c r="AR307" s="1338">
        <f t="shared" si="87"/>
        <v>504</v>
      </c>
      <c r="AS307" s="1430"/>
      <c r="AT307" s="1432"/>
      <c r="AU307" s="1433"/>
      <c r="AV307" s="1433"/>
      <c r="AW307" s="1172"/>
      <c r="AX307" s="1433"/>
      <c r="AY307" s="1433"/>
      <c r="AZ307" s="1433"/>
      <c r="BA307" s="1172">
        <f t="shared" si="91"/>
        <v>504</v>
      </c>
      <c r="BB307" s="1172"/>
      <c r="BC307" s="1172"/>
      <c r="BD307" s="1172"/>
      <c r="BE307" s="1346"/>
      <c r="BF307" s="1346"/>
      <c r="BG307" s="1344"/>
      <c r="BH307" s="1347"/>
      <c r="BI307" s="1055"/>
      <c r="BJ307" s="1055"/>
      <c r="BK307" s="1055"/>
    </row>
    <row r="308" s="1053" customFormat="1" ht="31" customHeight="1" spans="1:63">
      <c r="A308" s="1265">
        <v>46006</v>
      </c>
      <c r="B308" s="1266" t="s">
        <v>856</v>
      </c>
      <c r="C308" s="1267" t="s">
        <v>178</v>
      </c>
      <c r="D308" s="1266">
        <v>4500189004</v>
      </c>
      <c r="E308" s="1269">
        <v>4400528781</v>
      </c>
      <c r="F308" s="1266" t="s">
        <v>3020</v>
      </c>
      <c r="G308" s="1101" t="s">
        <v>2309</v>
      </c>
      <c r="H308" s="1101" t="s">
        <v>2310</v>
      </c>
      <c r="I308" s="1098" t="s">
        <v>2663</v>
      </c>
      <c r="J308" s="1120">
        <v>504</v>
      </c>
      <c r="K308" s="1097">
        <v>0</v>
      </c>
      <c r="L308" s="1097">
        <v>12</v>
      </c>
      <c r="M308" s="1114">
        <f t="shared" si="79"/>
        <v>42</v>
      </c>
      <c r="N308" s="1117">
        <v>46049</v>
      </c>
      <c r="O308" s="1117">
        <v>46045</v>
      </c>
      <c r="P308" s="1272"/>
      <c r="Q308" s="1285" t="s">
        <v>1480</v>
      </c>
      <c r="R308" s="1280" t="s">
        <v>3018</v>
      </c>
      <c r="S308" s="1147" t="s">
        <v>1333</v>
      </c>
      <c r="T308" s="1364"/>
      <c r="U308" s="1406" t="s">
        <v>2898</v>
      </c>
      <c r="V308" s="1402" t="s">
        <v>2902</v>
      </c>
      <c r="W308" s="1148" t="s">
        <v>2903</v>
      </c>
      <c r="X308" s="1150" t="s">
        <v>953</v>
      </c>
      <c r="Y308" s="1292">
        <v>2.9064</v>
      </c>
      <c r="Z308" s="1166">
        <f t="shared" si="89"/>
        <v>1464.8256</v>
      </c>
      <c r="AA308" s="1289"/>
      <c r="AB308" s="1137" t="s">
        <v>63</v>
      </c>
      <c r="AC308" s="1137" t="s">
        <v>2040</v>
      </c>
      <c r="AD308" s="1290">
        <v>504</v>
      </c>
      <c r="AE308" s="1289">
        <f t="shared" si="90"/>
        <v>0</v>
      </c>
      <c r="AF308" s="1291" t="s">
        <v>327</v>
      </c>
      <c r="AG308" s="1291"/>
      <c r="AH308" s="1188"/>
      <c r="AI308" s="1188"/>
      <c r="AJ308" s="1189">
        <f>J308</f>
        <v>504</v>
      </c>
      <c r="AK308" s="1418"/>
      <c r="AL308" s="1337"/>
      <c r="AM308" s="1418"/>
      <c r="AN308" s="1418"/>
      <c r="AO308" s="1430"/>
      <c r="AP308" s="1337"/>
      <c r="AQ308" s="1431"/>
      <c r="AR308" s="1338">
        <f t="shared" si="87"/>
        <v>504</v>
      </c>
      <c r="AS308" s="1430"/>
      <c r="AT308" s="1432"/>
      <c r="AU308" s="1433"/>
      <c r="AV308" s="1433"/>
      <c r="AW308" s="1172"/>
      <c r="AX308" s="1433"/>
      <c r="AY308" s="1433"/>
      <c r="AZ308" s="1433"/>
      <c r="BA308" s="1172">
        <f t="shared" si="91"/>
        <v>504</v>
      </c>
      <c r="BB308" s="1172"/>
      <c r="BC308" s="1172"/>
      <c r="BD308" s="1172"/>
      <c r="BE308" s="1346"/>
      <c r="BF308" s="1346"/>
      <c r="BG308" s="1344"/>
      <c r="BH308" s="1347"/>
      <c r="BI308" s="1055"/>
      <c r="BJ308" s="1055"/>
      <c r="BK308" s="1055"/>
    </row>
    <row r="309" s="1053" customFormat="1" ht="31" customHeight="1" spans="1:63">
      <c r="A309" s="1265">
        <v>46006</v>
      </c>
      <c r="B309" s="1266" t="s">
        <v>856</v>
      </c>
      <c r="C309" s="1267" t="s">
        <v>178</v>
      </c>
      <c r="D309" s="1266">
        <v>4500189004</v>
      </c>
      <c r="E309" s="1269">
        <v>4400528781</v>
      </c>
      <c r="F309" s="1266" t="s">
        <v>3021</v>
      </c>
      <c r="G309" s="1101" t="s">
        <v>2444</v>
      </c>
      <c r="H309" s="1101" t="s">
        <v>2445</v>
      </c>
      <c r="I309" s="1098" t="s">
        <v>2446</v>
      </c>
      <c r="J309" s="1120">
        <v>504</v>
      </c>
      <c r="K309" s="1097">
        <v>0</v>
      </c>
      <c r="L309" s="1097">
        <v>12</v>
      </c>
      <c r="M309" s="1114">
        <f t="shared" si="79"/>
        <v>42</v>
      </c>
      <c r="N309" s="1117">
        <v>46049</v>
      </c>
      <c r="O309" s="1117">
        <v>46045</v>
      </c>
      <c r="P309" s="1272"/>
      <c r="Q309" s="1285" t="s">
        <v>1480</v>
      </c>
      <c r="R309" s="1280" t="s">
        <v>3018</v>
      </c>
      <c r="S309" s="1147" t="s">
        <v>1333</v>
      </c>
      <c r="T309" s="1364"/>
      <c r="U309" s="1406" t="s">
        <v>58</v>
      </c>
      <c r="V309" s="1402" t="s">
        <v>2906</v>
      </c>
      <c r="W309" s="1148" t="s">
        <v>2974</v>
      </c>
      <c r="X309" s="1150" t="s">
        <v>953</v>
      </c>
      <c r="Y309" s="1292">
        <v>2.9064</v>
      </c>
      <c r="Z309" s="1166">
        <f t="shared" si="89"/>
        <v>1464.8256</v>
      </c>
      <c r="AA309" s="1289"/>
      <c r="AB309" s="1137" t="s">
        <v>63</v>
      </c>
      <c r="AC309" s="1137" t="s">
        <v>2040</v>
      </c>
      <c r="AD309" s="1290">
        <v>504</v>
      </c>
      <c r="AE309" s="1289">
        <f t="shared" si="90"/>
        <v>0</v>
      </c>
      <c r="AF309" s="1294" t="s">
        <v>58</v>
      </c>
      <c r="AG309" s="1291"/>
      <c r="AH309" s="1188">
        <f>J309</f>
        <v>504</v>
      </c>
      <c r="AI309" s="1188"/>
      <c r="AJ309" s="1189"/>
      <c r="AK309" s="1418"/>
      <c r="AL309" s="1337"/>
      <c r="AM309" s="1418"/>
      <c r="AN309" s="1418"/>
      <c r="AO309" s="1430"/>
      <c r="AP309" s="1337"/>
      <c r="AQ309" s="1431"/>
      <c r="AR309" s="1338">
        <f t="shared" si="87"/>
        <v>504</v>
      </c>
      <c r="AS309" s="1430"/>
      <c r="AT309" s="1432"/>
      <c r="AU309" s="1433"/>
      <c r="AV309" s="1433"/>
      <c r="AW309" s="1172"/>
      <c r="AX309" s="1433"/>
      <c r="AY309" s="1433"/>
      <c r="AZ309" s="1433"/>
      <c r="BA309" s="1172">
        <f t="shared" si="91"/>
        <v>504</v>
      </c>
      <c r="BB309" s="1172"/>
      <c r="BC309" s="1172"/>
      <c r="BD309" s="1172"/>
      <c r="BE309" s="1346"/>
      <c r="BF309" s="1346"/>
      <c r="BG309" s="1344"/>
      <c r="BH309" s="1347"/>
      <c r="BI309" s="1055"/>
      <c r="BJ309" s="1055"/>
      <c r="BK309" s="1055"/>
    </row>
    <row r="310" s="1053" customFormat="1" ht="31" customHeight="1" spans="1:63">
      <c r="A310" s="1265">
        <v>45964</v>
      </c>
      <c r="B310" s="1266" t="s">
        <v>811</v>
      </c>
      <c r="C310" s="1267" t="s">
        <v>91</v>
      </c>
      <c r="D310" s="1266">
        <v>4500184187</v>
      </c>
      <c r="E310" s="1269">
        <v>70078365</v>
      </c>
      <c r="F310" s="1266" t="s">
        <v>3022</v>
      </c>
      <c r="G310" s="1097" t="s">
        <v>2118</v>
      </c>
      <c r="H310" s="1101" t="s">
        <v>2118</v>
      </c>
      <c r="I310" s="1098" t="s">
        <v>2119</v>
      </c>
      <c r="J310" s="1120">
        <v>1200</v>
      </c>
      <c r="K310" s="1097">
        <v>0</v>
      </c>
      <c r="L310" s="1097">
        <v>12</v>
      </c>
      <c r="M310" s="1114">
        <f t="shared" si="79"/>
        <v>100</v>
      </c>
      <c r="N310" s="1117">
        <v>46066</v>
      </c>
      <c r="O310" s="1117">
        <v>46062</v>
      </c>
      <c r="P310" s="1272"/>
      <c r="Q310" s="1285" t="s">
        <v>1480</v>
      </c>
      <c r="R310" s="1280"/>
      <c r="S310" s="1147" t="s">
        <v>1129</v>
      </c>
      <c r="T310" s="1364"/>
      <c r="U310" s="1364" t="s">
        <v>3023</v>
      </c>
      <c r="V310" s="1402" t="s">
        <v>235</v>
      </c>
      <c r="W310" s="1148" t="s">
        <v>816</v>
      </c>
      <c r="X310" s="1150" t="s">
        <v>1151</v>
      </c>
      <c r="Y310" s="1292">
        <v>1.6684</v>
      </c>
      <c r="Z310" s="1166">
        <f t="shared" si="89"/>
        <v>2002.08</v>
      </c>
      <c r="AA310" s="1289"/>
      <c r="AB310" s="1137" t="s">
        <v>63</v>
      </c>
      <c r="AC310" s="1137" t="s">
        <v>2040</v>
      </c>
      <c r="AD310" s="1290">
        <v>1200</v>
      </c>
      <c r="AE310" s="1289">
        <f t="shared" si="90"/>
        <v>0</v>
      </c>
      <c r="AF310" s="1291" t="s">
        <v>327</v>
      </c>
      <c r="AG310" s="1291"/>
      <c r="AH310" s="1188">
        <f t="shared" ref="AH310:AH315" si="92">J310/3</f>
        <v>400</v>
      </c>
      <c r="AI310" s="1188">
        <f t="shared" ref="AI310:AI315" si="93">J310/3</f>
        <v>400</v>
      </c>
      <c r="AJ310" s="1188">
        <f t="shared" ref="AJ310:AJ315" si="94">J310/3</f>
        <v>400</v>
      </c>
      <c r="AK310" s="1418"/>
      <c r="AL310" s="1337"/>
      <c r="AM310" s="1418"/>
      <c r="AN310" s="1418"/>
      <c r="AO310" s="1430"/>
      <c r="AP310" s="1337"/>
      <c r="AQ310" s="1431"/>
      <c r="AR310" s="1338">
        <f t="shared" si="87"/>
        <v>1200</v>
      </c>
      <c r="AS310" s="1430"/>
      <c r="AT310" s="1432"/>
      <c r="AU310" s="1433"/>
      <c r="AV310" s="1433"/>
      <c r="AW310" s="1172">
        <f t="shared" ref="AW310:AW315" si="95">J310</f>
        <v>1200</v>
      </c>
      <c r="AX310" s="1433"/>
      <c r="AY310" s="1433"/>
      <c r="AZ310" s="1433"/>
      <c r="BA310" s="1172"/>
      <c r="BB310" s="1172"/>
      <c r="BC310" s="1172"/>
      <c r="BD310" s="1172"/>
      <c r="BE310" s="1346"/>
      <c r="BF310" s="1346"/>
      <c r="BG310" s="1344"/>
      <c r="BH310" s="1347"/>
      <c r="BI310" s="1055"/>
      <c r="BJ310" s="1055"/>
      <c r="BK310" s="1055"/>
    </row>
    <row r="311" s="1053" customFormat="1" ht="31" customHeight="1" spans="1:63">
      <c r="A311" s="1265">
        <v>45964</v>
      </c>
      <c r="B311" s="1266" t="s">
        <v>230</v>
      </c>
      <c r="C311" s="1267" t="s">
        <v>91</v>
      </c>
      <c r="D311" s="1266">
        <v>4500184178</v>
      </c>
      <c r="E311" s="1269">
        <v>60262593</v>
      </c>
      <c r="F311" s="1266" t="s">
        <v>3024</v>
      </c>
      <c r="G311" s="1097" t="s">
        <v>2118</v>
      </c>
      <c r="H311" s="1101" t="s">
        <v>2118</v>
      </c>
      <c r="I311" s="1098" t="s">
        <v>2119</v>
      </c>
      <c r="J311" s="1120">
        <v>3408</v>
      </c>
      <c r="K311" s="1097">
        <v>0</v>
      </c>
      <c r="L311" s="1097">
        <v>12</v>
      </c>
      <c r="M311" s="1114">
        <f t="shared" si="79"/>
        <v>284</v>
      </c>
      <c r="N311" s="1117">
        <v>46080</v>
      </c>
      <c r="O311" s="1117">
        <v>46071</v>
      </c>
      <c r="P311" s="1272"/>
      <c r="Q311" s="1285" t="s">
        <v>1480</v>
      </c>
      <c r="R311" s="1280"/>
      <c r="S311" s="1147" t="s">
        <v>1129</v>
      </c>
      <c r="T311" s="1364"/>
      <c r="U311" s="1364" t="s">
        <v>1377</v>
      </c>
      <c r="V311" s="1402" t="s">
        <v>235</v>
      </c>
      <c r="W311" s="1148" t="s">
        <v>816</v>
      </c>
      <c r="X311" s="1150" t="s">
        <v>1151</v>
      </c>
      <c r="Y311" s="1292">
        <v>1.612</v>
      </c>
      <c r="Z311" s="1166">
        <f t="shared" si="89"/>
        <v>5493.696</v>
      </c>
      <c r="AA311" s="1289"/>
      <c r="AB311" s="1137" t="s">
        <v>63</v>
      </c>
      <c r="AC311" s="1137" t="s">
        <v>2040</v>
      </c>
      <c r="AD311" s="1290">
        <v>3408</v>
      </c>
      <c r="AE311" s="1289">
        <f t="shared" si="90"/>
        <v>0</v>
      </c>
      <c r="AF311" s="1291" t="s">
        <v>327</v>
      </c>
      <c r="AG311" s="1291"/>
      <c r="AH311" s="1188">
        <f t="shared" si="92"/>
        <v>1136</v>
      </c>
      <c r="AI311" s="1188">
        <f t="shared" si="93"/>
        <v>1136</v>
      </c>
      <c r="AJ311" s="1188">
        <f t="shared" si="94"/>
        <v>1136</v>
      </c>
      <c r="AK311" s="1029"/>
      <c r="AL311" s="1496"/>
      <c r="AM311" s="1029"/>
      <c r="AN311" s="1029"/>
      <c r="AO311" s="1501"/>
      <c r="AP311" s="1496"/>
      <c r="AQ311" s="1008"/>
      <c r="AR311" s="1338">
        <f t="shared" si="87"/>
        <v>3408</v>
      </c>
      <c r="AS311" s="1501"/>
      <c r="AT311" s="1502"/>
      <c r="AU311" s="1193"/>
      <c r="AV311" s="1193"/>
      <c r="AW311" s="1172">
        <f t="shared" si="95"/>
        <v>3408</v>
      </c>
      <c r="AX311" s="1193"/>
      <c r="AY311" s="1193"/>
      <c r="AZ311" s="1193"/>
      <c r="BA311" s="1172"/>
      <c r="BB311" s="1172"/>
      <c r="BC311" s="1172"/>
      <c r="BD311" s="1172"/>
      <c r="BE311" s="1346"/>
      <c r="BF311" s="1346"/>
      <c r="BG311" s="1344"/>
      <c r="BH311" s="1347"/>
      <c r="BI311" s="1048"/>
      <c r="BJ311" s="1048"/>
      <c r="BK311" s="1048"/>
    </row>
    <row r="312" s="1053" customFormat="1" ht="31" customHeight="1" spans="1:63">
      <c r="A312" s="1265">
        <v>45964</v>
      </c>
      <c r="B312" s="1266" t="s">
        <v>230</v>
      </c>
      <c r="C312" s="1267" t="s">
        <v>91</v>
      </c>
      <c r="D312" s="1266">
        <v>4500184178</v>
      </c>
      <c r="E312" s="1269">
        <v>60262600</v>
      </c>
      <c r="F312" s="1266" t="s">
        <v>3025</v>
      </c>
      <c r="G312" s="1097" t="s">
        <v>2118</v>
      </c>
      <c r="H312" s="1101" t="s">
        <v>2118</v>
      </c>
      <c r="I312" s="1098" t="s">
        <v>2119</v>
      </c>
      <c r="J312" s="1120">
        <v>4200</v>
      </c>
      <c r="K312" s="1097">
        <v>0</v>
      </c>
      <c r="L312" s="1097">
        <v>12</v>
      </c>
      <c r="M312" s="1114">
        <f t="shared" si="79"/>
        <v>350</v>
      </c>
      <c r="N312" s="1117">
        <v>46080</v>
      </c>
      <c r="O312" s="1117">
        <v>46071</v>
      </c>
      <c r="P312" s="1272"/>
      <c r="Q312" s="1285" t="s">
        <v>1480</v>
      </c>
      <c r="R312" s="1280"/>
      <c r="S312" s="1147" t="s">
        <v>1129</v>
      </c>
      <c r="T312" s="1364"/>
      <c r="U312" s="1364" t="s">
        <v>1377</v>
      </c>
      <c r="V312" s="1402" t="s">
        <v>235</v>
      </c>
      <c r="W312" s="1148" t="s">
        <v>816</v>
      </c>
      <c r="X312" s="1150" t="s">
        <v>1151</v>
      </c>
      <c r="Y312" s="1292">
        <v>1.612</v>
      </c>
      <c r="Z312" s="1166">
        <f t="shared" si="89"/>
        <v>6770.4</v>
      </c>
      <c r="AA312" s="1289"/>
      <c r="AB312" s="1137" t="s">
        <v>63</v>
      </c>
      <c r="AC312" s="1137" t="s">
        <v>2040</v>
      </c>
      <c r="AD312" s="1290">
        <v>4200</v>
      </c>
      <c r="AE312" s="1289">
        <f t="shared" si="90"/>
        <v>0</v>
      </c>
      <c r="AF312" s="1291" t="s">
        <v>327</v>
      </c>
      <c r="AG312" s="1291"/>
      <c r="AH312" s="1188">
        <f t="shared" si="92"/>
        <v>1400</v>
      </c>
      <c r="AI312" s="1188">
        <f t="shared" si="93"/>
        <v>1400</v>
      </c>
      <c r="AJ312" s="1188">
        <f t="shared" si="94"/>
        <v>1400</v>
      </c>
      <c r="AK312" s="1029"/>
      <c r="AL312" s="1496"/>
      <c r="AM312" s="1029"/>
      <c r="AN312" s="1029"/>
      <c r="AO312" s="1501"/>
      <c r="AP312" s="1496"/>
      <c r="AQ312" s="1008"/>
      <c r="AR312" s="1338">
        <f t="shared" si="87"/>
        <v>4200</v>
      </c>
      <c r="AS312" s="1501"/>
      <c r="AT312" s="1502"/>
      <c r="AU312" s="1193"/>
      <c r="AV312" s="1193"/>
      <c r="AW312" s="1172">
        <f t="shared" si="95"/>
        <v>4200</v>
      </c>
      <c r="AX312" s="1193"/>
      <c r="AY312" s="1193"/>
      <c r="AZ312" s="1193"/>
      <c r="BA312" s="1172"/>
      <c r="BB312" s="1172"/>
      <c r="BC312" s="1172"/>
      <c r="BD312" s="1172"/>
      <c r="BE312" s="1346"/>
      <c r="BF312" s="1346"/>
      <c r="BG312" s="1344"/>
      <c r="BH312" s="1347"/>
      <c r="BI312" s="1048"/>
      <c r="BJ312" s="1048"/>
      <c r="BK312" s="1048"/>
    </row>
    <row r="313" s="1053" customFormat="1" ht="31" customHeight="1" spans="1:63">
      <c r="A313" s="1265">
        <v>45964</v>
      </c>
      <c r="B313" s="1266" t="s">
        <v>230</v>
      </c>
      <c r="C313" s="1267" t="s">
        <v>91</v>
      </c>
      <c r="D313" s="1266">
        <v>4500184178</v>
      </c>
      <c r="E313" s="1269">
        <v>60262604</v>
      </c>
      <c r="F313" s="1266" t="s">
        <v>3026</v>
      </c>
      <c r="G313" s="1097" t="s">
        <v>2118</v>
      </c>
      <c r="H313" s="1101" t="s">
        <v>2118</v>
      </c>
      <c r="I313" s="1098" t="s">
        <v>2119</v>
      </c>
      <c r="J313" s="1120">
        <v>3408</v>
      </c>
      <c r="K313" s="1097">
        <v>0</v>
      </c>
      <c r="L313" s="1097">
        <v>12</v>
      </c>
      <c r="M313" s="1114">
        <f t="shared" si="79"/>
        <v>284</v>
      </c>
      <c r="N313" s="1117">
        <v>46080</v>
      </c>
      <c r="O313" s="1117">
        <v>46071</v>
      </c>
      <c r="P313" s="1272"/>
      <c r="Q313" s="1285" t="s">
        <v>1480</v>
      </c>
      <c r="R313" s="1280"/>
      <c r="S313" s="1147" t="s">
        <v>1129</v>
      </c>
      <c r="T313" s="1364"/>
      <c r="U313" s="1364" t="s">
        <v>1377</v>
      </c>
      <c r="V313" s="1402" t="s">
        <v>235</v>
      </c>
      <c r="W313" s="1148" t="s">
        <v>816</v>
      </c>
      <c r="X313" s="1150" t="s">
        <v>1151</v>
      </c>
      <c r="Y313" s="1292">
        <v>1.612</v>
      </c>
      <c r="Z313" s="1166">
        <f t="shared" si="89"/>
        <v>5493.696</v>
      </c>
      <c r="AA313" s="1289"/>
      <c r="AB313" s="1137" t="s">
        <v>63</v>
      </c>
      <c r="AC313" s="1137" t="s">
        <v>2040</v>
      </c>
      <c r="AD313" s="1290">
        <v>3408</v>
      </c>
      <c r="AE313" s="1289">
        <f t="shared" si="90"/>
        <v>0</v>
      </c>
      <c r="AF313" s="1291" t="s">
        <v>327</v>
      </c>
      <c r="AG313" s="1291"/>
      <c r="AH313" s="1188">
        <f t="shared" si="92"/>
        <v>1136</v>
      </c>
      <c r="AI313" s="1188">
        <f t="shared" si="93"/>
        <v>1136</v>
      </c>
      <c r="AJ313" s="1188">
        <f t="shared" si="94"/>
        <v>1136</v>
      </c>
      <c r="AK313" s="1029"/>
      <c r="AL313" s="1496"/>
      <c r="AM313" s="1029"/>
      <c r="AN313" s="1029"/>
      <c r="AO313" s="1501"/>
      <c r="AP313" s="1496"/>
      <c r="AQ313" s="1008"/>
      <c r="AR313" s="1338">
        <f t="shared" si="87"/>
        <v>3408</v>
      </c>
      <c r="AS313" s="1501"/>
      <c r="AT313" s="1502"/>
      <c r="AU313" s="1193"/>
      <c r="AV313" s="1193"/>
      <c r="AW313" s="1172">
        <f t="shared" si="95"/>
        <v>3408</v>
      </c>
      <c r="AX313" s="1193"/>
      <c r="AY313" s="1193"/>
      <c r="AZ313" s="1193"/>
      <c r="BA313" s="1172"/>
      <c r="BB313" s="1172"/>
      <c r="BC313" s="1172"/>
      <c r="BD313" s="1172"/>
      <c r="BE313" s="1346"/>
      <c r="BF313" s="1346"/>
      <c r="BG313" s="1344"/>
      <c r="BH313" s="1347"/>
      <c r="BI313" s="1048"/>
      <c r="BJ313" s="1048"/>
      <c r="BK313" s="1048"/>
    </row>
    <row r="314" s="1053" customFormat="1" ht="31" customHeight="1" spans="1:63">
      <c r="A314" s="1265">
        <v>45964</v>
      </c>
      <c r="B314" s="1266" t="s">
        <v>230</v>
      </c>
      <c r="C314" s="1267" t="s">
        <v>91</v>
      </c>
      <c r="D314" s="1266">
        <v>4500184178</v>
      </c>
      <c r="E314" s="1269">
        <v>60262606</v>
      </c>
      <c r="F314" s="1266" t="s">
        <v>3027</v>
      </c>
      <c r="G314" s="1097" t="s">
        <v>2118</v>
      </c>
      <c r="H314" s="1101" t="s">
        <v>2118</v>
      </c>
      <c r="I314" s="1098" t="s">
        <v>2119</v>
      </c>
      <c r="J314" s="1120">
        <v>3000</v>
      </c>
      <c r="K314" s="1097">
        <v>0</v>
      </c>
      <c r="L314" s="1097">
        <v>12</v>
      </c>
      <c r="M314" s="1114">
        <f t="shared" si="79"/>
        <v>250</v>
      </c>
      <c r="N314" s="1117">
        <v>46080</v>
      </c>
      <c r="O314" s="1117">
        <v>46071</v>
      </c>
      <c r="P314" s="1272"/>
      <c r="Q314" s="1285" t="s">
        <v>1480</v>
      </c>
      <c r="R314" s="1280"/>
      <c r="S314" s="1147" t="s">
        <v>1129</v>
      </c>
      <c r="T314" s="1364"/>
      <c r="U314" s="1364" t="s">
        <v>1377</v>
      </c>
      <c r="V314" s="1402" t="s">
        <v>235</v>
      </c>
      <c r="W314" s="1148" t="s">
        <v>816</v>
      </c>
      <c r="X314" s="1150" t="s">
        <v>1151</v>
      </c>
      <c r="Y314" s="1292">
        <v>1.6274</v>
      </c>
      <c r="Z314" s="1166">
        <f t="shared" si="89"/>
        <v>4882.2</v>
      </c>
      <c r="AA314" s="1289"/>
      <c r="AB314" s="1137" t="s">
        <v>63</v>
      </c>
      <c r="AC314" s="1137" t="s">
        <v>2040</v>
      </c>
      <c r="AD314" s="1290">
        <f>720+2280</f>
        <v>3000</v>
      </c>
      <c r="AE314" s="1289">
        <f t="shared" si="90"/>
        <v>0</v>
      </c>
      <c r="AF314" s="1291" t="s">
        <v>327</v>
      </c>
      <c r="AG314" s="1291"/>
      <c r="AH314" s="1188">
        <f t="shared" si="92"/>
        <v>1000</v>
      </c>
      <c r="AI314" s="1188">
        <f t="shared" si="93"/>
        <v>1000</v>
      </c>
      <c r="AJ314" s="1188">
        <f t="shared" si="94"/>
        <v>1000</v>
      </c>
      <c r="AK314" s="1029"/>
      <c r="AL314" s="1496"/>
      <c r="AM314" s="1029"/>
      <c r="AN314" s="1029"/>
      <c r="AO314" s="1501"/>
      <c r="AP314" s="1496"/>
      <c r="AQ314" s="1008"/>
      <c r="AR314" s="1338">
        <f t="shared" si="87"/>
        <v>3000</v>
      </c>
      <c r="AS314" s="1501"/>
      <c r="AT314" s="1502"/>
      <c r="AU314" s="1193"/>
      <c r="AV314" s="1193"/>
      <c r="AW314" s="1172">
        <f t="shared" si="95"/>
        <v>3000</v>
      </c>
      <c r="AX314" s="1193"/>
      <c r="AY314" s="1193"/>
      <c r="AZ314" s="1193"/>
      <c r="BA314" s="1172"/>
      <c r="BB314" s="1172"/>
      <c r="BC314" s="1172"/>
      <c r="BD314" s="1172"/>
      <c r="BE314" s="1346"/>
      <c r="BF314" s="1346"/>
      <c r="BG314" s="1344"/>
      <c r="BH314" s="1347"/>
      <c r="BI314" s="1048"/>
      <c r="BJ314" s="1048"/>
      <c r="BK314" s="1048"/>
    </row>
    <row r="315" s="1055" customFormat="1" ht="31" customHeight="1" spans="1:63">
      <c r="A315" s="1265">
        <v>46034</v>
      </c>
      <c r="B315" s="1266" t="s">
        <v>3028</v>
      </c>
      <c r="C315" s="1267" t="s">
        <v>123</v>
      </c>
      <c r="D315" s="1266">
        <v>4500190991</v>
      </c>
      <c r="E315" s="1269" t="s">
        <v>3029</v>
      </c>
      <c r="F315" s="1101" t="s">
        <v>3030</v>
      </c>
      <c r="G315" s="1097" t="s">
        <v>2118</v>
      </c>
      <c r="H315" s="1101" t="s">
        <v>2118</v>
      </c>
      <c r="I315" s="1098" t="s">
        <v>2119</v>
      </c>
      <c r="J315" s="1120">
        <v>600</v>
      </c>
      <c r="K315" s="1097">
        <v>0</v>
      </c>
      <c r="L315" s="1097">
        <v>12</v>
      </c>
      <c r="M315" s="1114">
        <f t="shared" si="79"/>
        <v>50</v>
      </c>
      <c r="N315" s="1117">
        <v>46082</v>
      </c>
      <c r="O315" s="1117">
        <f>N315-4</f>
        <v>46078</v>
      </c>
      <c r="P315" s="1272"/>
      <c r="Q315" s="1285" t="s">
        <v>1480</v>
      </c>
      <c r="R315" s="1280"/>
      <c r="S315" s="1147" t="s">
        <v>1865</v>
      </c>
      <c r="T315" s="1364"/>
      <c r="U315" s="1364" t="s">
        <v>3031</v>
      </c>
      <c r="V315" s="1402" t="s">
        <v>3032</v>
      </c>
      <c r="W315" s="1148" t="s">
        <v>3033</v>
      </c>
      <c r="X315" s="1150" t="s">
        <v>2770</v>
      </c>
      <c r="Y315" s="1292">
        <v>2.9624</v>
      </c>
      <c r="Z315" s="1166">
        <f t="shared" si="89"/>
        <v>1777.44</v>
      </c>
      <c r="AA315" s="1289"/>
      <c r="AB315" s="1137" t="s">
        <v>63</v>
      </c>
      <c r="AC315" s="1137" t="s">
        <v>2040</v>
      </c>
      <c r="AD315" s="1290">
        <v>600</v>
      </c>
      <c r="AE315" s="1289">
        <f t="shared" si="90"/>
        <v>0</v>
      </c>
      <c r="AF315" s="1294" t="s">
        <v>58</v>
      </c>
      <c r="AG315" s="1291"/>
      <c r="AH315" s="1188">
        <f t="shared" si="92"/>
        <v>200</v>
      </c>
      <c r="AI315" s="1188">
        <f t="shared" si="93"/>
        <v>200</v>
      </c>
      <c r="AJ315" s="1188">
        <f t="shared" si="94"/>
        <v>200</v>
      </c>
      <c r="AK315" s="1416"/>
      <c r="AL315" s="1417"/>
      <c r="AM315" s="1416"/>
      <c r="AN315" s="1416"/>
      <c r="AO315" s="1425"/>
      <c r="AP315" s="1417"/>
      <c r="AQ315" s="1426"/>
      <c r="AR315" s="1338">
        <f t="shared" si="87"/>
        <v>600</v>
      </c>
      <c r="AS315" s="1425"/>
      <c r="AT315" s="1427"/>
      <c r="AU315" s="1428"/>
      <c r="AV315" s="1428"/>
      <c r="AW315" s="1172">
        <f t="shared" si="95"/>
        <v>600</v>
      </c>
      <c r="AX315" s="1428"/>
      <c r="AY315" s="1428"/>
      <c r="AZ315" s="1428"/>
      <c r="BA315" s="1172"/>
      <c r="BB315" s="1172"/>
      <c r="BC315" s="1172"/>
      <c r="BD315" s="1172"/>
      <c r="BE315" s="1346"/>
      <c r="BF315" s="1346"/>
      <c r="BG315" s="1344"/>
      <c r="BH315" s="1347"/>
      <c r="BI315" s="1435"/>
      <c r="BJ315" s="1435"/>
      <c r="BK315" s="1435"/>
    </row>
    <row r="316" s="1053" customFormat="1" ht="31" customHeight="1" spans="1:60">
      <c r="A316" s="1265">
        <v>46030</v>
      </c>
      <c r="B316" s="1266" t="s">
        <v>2106</v>
      </c>
      <c r="C316" s="1267" t="s">
        <v>123</v>
      </c>
      <c r="D316" s="1266">
        <v>4500190805</v>
      </c>
      <c r="E316" s="1269" t="s">
        <v>3034</v>
      </c>
      <c r="F316" s="1266" t="s">
        <v>3035</v>
      </c>
      <c r="G316" s="1101" t="s">
        <v>2390</v>
      </c>
      <c r="H316" s="1101" t="s">
        <v>2390</v>
      </c>
      <c r="I316" s="1270" t="s">
        <v>2063</v>
      </c>
      <c r="J316" s="1120">
        <v>648</v>
      </c>
      <c r="K316" s="1097">
        <v>0</v>
      </c>
      <c r="L316" s="1097">
        <v>24</v>
      </c>
      <c r="M316" s="1114">
        <f t="shared" si="79"/>
        <v>27</v>
      </c>
      <c r="N316" s="1117">
        <v>46086</v>
      </c>
      <c r="O316" s="1117">
        <v>46083</v>
      </c>
      <c r="P316" s="1272" t="s">
        <v>3036</v>
      </c>
      <c r="Q316" s="1285" t="s">
        <v>1480</v>
      </c>
      <c r="R316" s="1280"/>
      <c r="S316" s="1147" t="s">
        <v>3037</v>
      </c>
      <c r="T316" s="1364"/>
      <c r="U316" s="1406" t="s">
        <v>3038</v>
      </c>
      <c r="V316" s="1402" t="s">
        <v>3039</v>
      </c>
      <c r="W316" s="1148" t="s">
        <v>3040</v>
      </c>
      <c r="X316" s="1150" t="s">
        <v>3041</v>
      </c>
      <c r="Y316" s="1292">
        <v>2.8203</v>
      </c>
      <c r="Z316" s="1166">
        <f t="shared" si="89"/>
        <v>1827.5544</v>
      </c>
      <c r="AA316" s="1289"/>
      <c r="AB316" s="1137" t="s">
        <v>63</v>
      </c>
      <c r="AC316" s="1137" t="s">
        <v>2040</v>
      </c>
      <c r="AD316" s="1290">
        <v>648</v>
      </c>
      <c r="AE316" s="1289">
        <f t="shared" si="90"/>
        <v>0</v>
      </c>
      <c r="AF316" s="1291" t="s">
        <v>327</v>
      </c>
      <c r="AG316" s="1291"/>
      <c r="AH316" s="1189"/>
      <c r="AI316" s="1188">
        <f>J316</f>
        <v>648</v>
      </c>
      <c r="AJ316" s="1189"/>
      <c r="AK316" s="1319"/>
      <c r="AL316" s="1214"/>
      <c r="AM316" s="1319"/>
      <c r="AN316" s="1319"/>
      <c r="AO316" s="1338"/>
      <c r="AP316" s="1214"/>
      <c r="AQ316" s="1346"/>
      <c r="AR316" s="1338">
        <f t="shared" si="87"/>
        <v>648</v>
      </c>
      <c r="AS316" s="1338"/>
      <c r="AT316" s="1429"/>
      <c r="AU316" s="1397"/>
      <c r="AV316" s="1397"/>
      <c r="AW316" s="1172"/>
      <c r="AX316" s="1397"/>
      <c r="AY316" s="1397"/>
      <c r="AZ316" s="1397"/>
      <c r="BA316" s="1172"/>
      <c r="BB316" s="1172"/>
      <c r="BC316" s="1172"/>
      <c r="BD316" s="1172"/>
      <c r="BE316" s="1346"/>
      <c r="BF316" s="1344">
        <f>J316</f>
        <v>648</v>
      </c>
      <c r="BG316" s="1344"/>
      <c r="BH316" s="1347"/>
    </row>
    <row r="317" s="1053" customFormat="1" ht="31" customHeight="1" spans="1:16384">
      <c r="A317" s="1265">
        <v>46030</v>
      </c>
      <c r="B317" s="1266" t="s">
        <v>3042</v>
      </c>
      <c r="C317" s="1267" t="s">
        <v>493</v>
      </c>
      <c r="D317" s="1266">
        <v>4500190813</v>
      </c>
      <c r="E317" s="1269" t="s">
        <v>3043</v>
      </c>
      <c r="F317" s="1266" t="s">
        <v>3044</v>
      </c>
      <c r="G317" s="1101" t="s">
        <v>2390</v>
      </c>
      <c r="H317" s="1101" t="s">
        <v>2390</v>
      </c>
      <c r="I317" s="1270" t="s">
        <v>2063</v>
      </c>
      <c r="J317" s="1120">
        <v>480</v>
      </c>
      <c r="K317" s="1097">
        <v>0</v>
      </c>
      <c r="L317" s="1097">
        <v>24</v>
      </c>
      <c r="M317" s="1114">
        <f t="shared" ref="M317:M330" si="96">J317/L317</f>
        <v>20</v>
      </c>
      <c r="N317" s="1117">
        <v>46094</v>
      </c>
      <c r="O317" s="1117">
        <v>46090</v>
      </c>
      <c r="P317" s="1272" t="s">
        <v>3036</v>
      </c>
      <c r="Q317" s="1285" t="s">
        <v>1480</v>
      </c>
      <c r="R317" s="1280"/>
      <c r="S317" s="1147" t="s">
        <v>3037</v>
      </c>
      <c r="T317" s="1364"/>
      <c r="U317" s="1406" t="s">
        <v>3038</v>
      </c>
      <c r="V317" s="1402" t="s">
        <v>3039</v>
      </c>
      <c r="W317" s="1148" t="s">
        <v>3045</v>
      </c>
      <c r="X317" s="1150" t="s">
        <v>3041</v>
      </c>
      <c r="Y317" s="1292">
        <v>2.8203</v>
      </c>
      <c r="Z317" s="1166">
        <f t="shared" ref="Z317:Z330" si="97">Y317*J317</f>
        <v>1353.744</v>
      </c>
      <c r="AA317" s="1289"/>
      <c r="AB317" s="1137" t="s">
        <v>63</v>
      </c>
      <c r="AC317" s="1137" t="s">
        <v>2040</v>
      </c>
      <c r="AD317" s="1290">
        <v>480</v>
      </c>
      <c r="AE317" s="1289">
        <f t="shared" si="90"/>
        <v>0</v>
      </c>
      <c r="AF317" s="1291" t="s">
        <v>327</v>
      </c>
      <c r="AG317" s="1291"/>
      <c r="AH317" s="1189"/>
      <c r="AI317" s="1188">
        <f>J317</f>
        <v>480</v>
      </c>
      <c r="AJ317" s="1189"/>
      <c r="AK317" s="1319"/>
      <c r="AL317" s="1214"/>
      <c r="AM317" s="1319"/>
      <c r="AN317" s="1319"/>
      <c r="AO317" s="1338"/>
      <c r="AP317" s="1214"/>
      <c r="AQ317" s="1346"/>
      <c r="AR317" s="1338">
        <f t="shared" si="87"/>
        <v>480</v>
      </c>
      <c r="AS317" s="1338"/>
      <c r="AT317" s="1429"/>
      <c r="AU317" s="1397"/>
      <c r="AV317" s="1397"/>
      <c r="AW317" s="1507"/>
      <c r="AX317" s="1397"/>
      <c r="AY317" s="1397"/>
      <c r="AZ317" s="1397"/>
      <c r="BA317" s="1507"/>
      <c r="BB317" s="1507"/>
      <c r="BC317" s="1507"/>
      <c r="BD317" s="1507"/>
      <c r="BE317" s="1350"/>
      <c r="BF317" s="1344">
        <f>J317</f>
        <v>480</v>
      </c>
      <c r="BG317" s="1351"/>
      <c r="XEN317" s="1265"/>
      <c r="XEO317" s="1266"/>
      <c r="XEP317" s="1267"/>
      <c r="XEQ317" s="1266"/>
      <c r="XER317" s="1269"/>
      <c r="XES317" s="1266"/>
      <c r="XET317" s="1101"/>
      <c r="XEU317" s="1101"/>
      <c r="XEV317" s="1270"/>
      <c r="XEW317" s="1120"/>
      <c r="XEX317" s="1097"/>
      <c r="XEY317" s="1097"/>
      <c r="XEZ317" s="1114"/>
      <c r="XFA317" s="1117"/>
      <c r="XFB317" s="1117"/>
      <c r="XFC317" s="1272"/>
      <c r="XFD317" s="1285"/>
    </row>
    <row r="318" s="1055" customFormat="1" ht="31" customHeight="1" spans="1:16384">
      <c r="A318" s="1265">
        <v>46031</v>
      </c>
      <c r="B318" s="1266" t="s">
        <v>918</v>
      </c>
      <c r="C318" s="1267" t="s">
        <v>123</v>
      </c>
      <c r="D318" s="1266">
        <v>4500191105</v>
      </c>
      <c r="E318" s="1269">
        <v>4400528765</v>
      </c>
      <c r="F318" s="1266" t="s">
        <v>3046</v>
      </c>
      <c r="G318" s="1101" t="s">
        <v>2316</v>
      </c>
      <c r="H318" s="1101" t="s">
        <v>2317</v>
      </c>
      <c r="I318" s="1098" t="s">
        <v>2063</v>
      </c>
      <c r="J318" s="1120">
        <v>1500</v>
      </c>
      <c r="K318" s="1097">
        <v>0</v>
      </c>
      <c r="L318" s="1097">
        <v>12</v>
      </c>
      <c r="M318" s="1114">
        <f t="shared" si="96"/>
        <v>125</v>
      </c>
      <c r="N318" s="1117">
        <v>46094</v>
      </c>
      <c r="O318" s="1117">
        <v>46090</v>
      </c>
      <c r="P318" s="1272"/>
      <c r="Q318" s="1285" t="s">
        <v>1480</v>
      </c>
      <c r="R318" s="1280"/>
      <c r="S318" s="1147" t="s">
        <v>3047</v>
      </c>
      <c r="T318" s="1364"/>
      <c r="U318" s="1406" t="s">
        <v>2898</v>
      </c>
      <c r="V318" s="1402" t="s">
        <v>2899</v>
      </c>
      <c r="W318" s="1148" t="s">
        <v>2900</v>
      </c>
      <c r="X318" s="1150" t="s">
        <v>953</v>
      </c>
      <c r="Y318" s="1292">
        <v>2.785</v>
      </c>
      <c r="Z318" s="1166">
        <f t="shared" si="97"/>
        <v>4177.5</v>
      </c>
      <c r="AA318" s="1289"/>
      <c r="AB318" s="1137" t="s">
        <v>63</v>
      </c>
      <c r="AC318" s="1137" t="s">
        <v>2040</v>
      </c>
      <c r="AD318" s="1290">
        <v>1500</v>
      </c>
      <c r="AE318" s="1289">
        <f t="shared" si="90"/>
        <v>0</v>
      </c>
      <c r="AF318" s="1291" t="s">
        <v>327</v>
      </c>
      <c r="AG318" s="1291"/>
      <c r="AH318" s="1189"/>
      <c r="AI318" s="1188">
        <f>J318</f>
        <v>1500</v>
      </c>
      <c r="AJ318" s="1189"/>
      <c r="AK318" s="1416"/>
      <c r="AL318" s="1417"/>
      <c r="AM318" s="1416"/>
      <c r="AN318" s="1416"/>
      <c r="AO318" s="1425"/>
      <c r="AP318" s="1417"/>
      <c r="AQ318" s="1426"/>
      <c r="AR318" s="1338">
        <f t="shared" si="87"/>
        <v>1500</v>
      </c>
      <c r="AS318" s="1425"/>
      <c r="AT318" s="1427"/>
      <c r="AU318" s="1428"/>
      <c r="AV318" s="1428"/>
      <c r="AW318" s="1172"/>
      <c r="AX318" s="1428"/>
      <c r="AY318" s="1428"/>
      <c r="AZ318" s="1428"/>
      <c r="BA318" s="1172">
        <f>J318</f>
        <v>1500</v>
      </c>
      <c r="BB318" s="1172"/>
      <c r="BC318" s="1172"/>
      <c r="BD318" s="1172"/>
      <c r="BE318" s="1346"/>
      <c r="BF318" s="1346"/>
      <c r="BG318" s="1344"/>
      <c r="BH318" s="1053"/>
      <c r="BI318" s="1435"/>
      <c r="BJ318" s="1435"/>
      <c r="BK318" s="1435"/>
      <c r="XEN318" s="1515"/>
      <c r="XEO318" s="1518"/>
      <c r="XEP318" s="1519"/>
      <c r="XEQ318" s="1518"/>
      <c r="XER318" s="1520"/>
      <c r="XES318" s="1518"/>
      <c r="XET318" s="1521"/>
      <c r="XEU318" s="1521"/>
      <c r="XEV318" s="1522"/>
      <c r="XEW318" s="1533"/>
      <c r="XEX318" s="1521"/>
      <c r="XEY318" s="1521"/>
      <c r="XEZ318" s="1534"/>
      <c r="XFA318" s="1535"/>
      <c r="XFB318" s="1535"/>
      <c r="XFC318" s="1536"/>
      <c r="XFD318" s="1537"/>
    </row>
    <row r="319" s="1048" customFormat="1" ht="31" customHeight="1" spans="1:16384">
      <c r="A319" s="1443">
        <v>46031</v>
      </c>
      <c r="B319" s="1444" t="s">
        <v>918</v>
      </c>
      <c r="C319" s="1445" t="s">
        <v>123</v>
      </c>
      <c r="D319" s="1444">
        <v>4500191105</v>
      </c>
      <c r="E319" s="1446">
        <v>4400528765</v>
      </c>
      <c r="F319" s="1444" t="s">
        <v>3048</v>
      </c>
      <c r="G319" s="1447" t="s">
        <v>2309</v>
      </c>
      <c r="H319" s="1447" t="s">
        <v>2310</v>
      </c>
      <c r="I319" s="1456" t="s">
        <v>2663</v>
      </c>
      <c r="J319" s="1457">
        <v>1500</v>
      </c>
      <c r="K319" s="1458">
        <v>0</v>
      </c>
      <c r="L319" s="1458">
        <v>12</v>
      </c>
      <c r="M319" s="1459">
        <f t="shared" si="96"/>
        <v>125</v>
      </c>
      <c r="N319" s="1460">
        <v>46094</v>
      </c>
      <c r="O319" s="1460">
        <v>46090</v>
      </c>
      <c r="P319" s="1461"/>
      <c r="Q319" s="1473"/>
      <c r="R319" s="1474"/>
      <c r="S319" s="1475" t="s">
        <v>3047</v>
      </c>
      <c r="T319" s="1476"/>
      <c r="U319" s="1477" t="s">
        <v>2898</v>
      </c>
      <c r="V319" s="1478" t="s">
        <v>2902</v>
      </c>
      <c r="W319" s="1479" t="s">
        <v>3049</v>
      </c>
      <c r="X319" s="1480" t="s">
        <v>953</v>
      </c>
      <c r="Y319" s="1489">
        <v>2.8454</v>
      </c>
      <c r="Z319" s="1490">
        <f t="shared" si="97"/>
        <v>4268.1</v>
      </c>
      <c r="AA319" s="1491"/>
      <c r="AB319" s="1492" t="s">
        <v>63</v>
      </c>
      <c r="AC319" s="1484" t="s">
        <v>2040</v>
      </c>
      <c r="AD319" s="1493"/>
      <c r="AE319" s="1491"/>
      <c r="AF319" s="1494" t="s">
        <v>327</v>
      </c>
      <c r="AG319" s="1494"/>
      <c r="AH319" s="1217"/>
      <c r="AI319" s="1217"/>
      <c r="AJ319" s="1217">
        <f>J319</f>
        <v>1500</v>
      </c>
      <c r="AK319" s="1371"/>
      <c r="AL319" s="1372"/>
      <c r="AM319" s="1371"/>
      <c r="AN319" s="1371"/>
      <c r="AO319" s="1384"/>
      <c r="AP319" s="1372"/>
      <c r="AQ319" s="1375"/>
      <c r="AR319" s="1503">
        <f t="shared" si="87"/>
        <v>1500</v>
      </c>
      <c r="AS319" s="1384"/>
      <c r="AT319" s="1386"/>
      <c r="AU319" s="1387"/>
      <c r="AV319" s="1387"/>
      <c r="AW319" s="1508"/>
      <c r="AX319" s="1387"/>
      <c r="AY319" s="1387"/>
      <c r="AZ319" s="1387"/>
      <c r="BA319" s="1508">
        <f>J319</f>
        <v>1500</v>
      </c>
      <c r="BB319" s="1508"/>
      <c r="BC319" s="1508"/>
      <c r="BD319" s="1508"/>
      <c r="BE319" s="1513"/>
      <c r="BF319" s="1513"/>
      <c r="BG319" s="1514"/>
      <c r="BH319" s="1052"/>
      <c r="BI319" s="1399"/>
      <c r="BJ319" s="1399"/>
      <c r="BK319" s="1399"/>
      <c r="XEN319" s="1516"/>
      <c r="XEO319" s="1523"/>
      <c r="XEP319" s="1047"/>
      <c r="XEQ319" s="1523"/>
      <c r="XER319" s="1524"/>
      <c r="XES319" s="1523"/>
      <c r="XET319" s="1525"/>
      <c r="XEU319" s="1525"/>
      <c r="XEV319" s="1526"/>
      <c r="XEW319" s="1538"/>
      <c r="XEX319" s="1525"/>
      <c r="XEY319" s="1525"/>
      <c r="XEZ319" s="1539"/>
      <c r="XFA319" s="1540"/>
      <c r="XFB319" s="1540"/>
      <c r="XFC319" s="1541"/>
      <c r="XFD319" s="1542"/>
    </row>
    <row r="320" s="1048" customFormat="1" ht="31" customHeight="1" spans="1:16384">
      <c r="A320" s="1443">
        <v>46037</v>
      </c>
      <c r="B320" s="1444" t="s">
        <v>1701</v>
      </c>
      <c r="C320" s="1445" t="s">
        <v>91</v>
      </c>
      <c r="D320" s="1444">
        <v>4500191480</v>
      </c>
      <c r="E320" s="1446" t="s">
        <v>3050</v>
      </c>
      <c r="F320" s="1444" t="s">
        <v>3051</v>
      </c>
      <c r="G320" s="1448" t="s">
        <v>2452</v>
      </c>
      <c r="H320" s="1447" t="s">
        <v>2452</v>
      </c>
      <c r="I320" s="1462" t="s">
        <v>2052</v>
      </c>
      <c r="J320" s="1457">
        <v>384</v>
      </c>
      <c r="K320" s="1458">
        <v>0</v>
      </c>
      <c r="L320" s="1458">
        <v>24</v>
      </c>
      <c r="M320" s="1459">
        <f t="shared" si="96"/>
        <v>16</v>
      </c>
      <c r="N320" s="1460">
        <v>46101</v>
      </c>
      <c r="O320" s="1460">
        <v>46097</v>
      </c>
      <c r="P320" s="1463" t="s">
        <v>3052</v>
      </c>
      <c r="Q320" s="1473"/>
      <c r="R320" s="1474"/>
      <c r="S320" s="1475" t="s">
        <v>1865</v>
      </c>
      <c r="T320" s="1476"/>
      <c r="U320" s="1477" t="s">
        <v>3053</v>
      </c>
      <c r="V320" s="1478" t="s">
        <v>2526</v>
      </c>
      <c r="W320" s="1479" t="s">
        <v>3054</v>
      </c>
      <c r="X320" s="1480" t="s">
        <v>1592</v>
      </c>
      <c r="Y320" s="1489">
        <v>1.6896</v>
      </c>
      <c r="Z320" s="1490">
        <f t="shared" si="97"/>
        <v>648.8064</v>
      </c>
      <c r="AA320" s="1491"/>
      <c r="AB320" s="1492" t="s">
        <v>63</v>
      </c>
      <c r="AC320" s="1484" t="s">
        <v>2040</v>
      </c>
      <c r="AD320" s="1493"/>
      <c r="AE320" s="1491"/>
      <c r="AF320" s="1494"/>
      <c r="AG320" s="1494"/>
      <c r="AH320" s="1217">
        <f t="shared" ref="AH320:AH325" si="98">J320</f>
        <v>384</v>
      </c>
      <c r="AI320" s="1497"/>
      <c r="AJ320" s="1497"/>
      <c r="AK320" s="1423"/>
      <c r="AL320" s="1498"/>
      <c r="AM320" s="1498"/>
      <c r="AN320" s="1498"/>
      <c r="AO320" s="1498"/>
      <c r="AP320" s="1498"/>
      <c r="AQ320" s="1298"/>
      <c r="AR320" s="1503">
        <f t="shared" ref="AR320:AR330" si="99">J320</f>
        <v>384</v>
      </c>
      <c r="AS320" s="1504"/>
      <c r="AT320" s="1505"/>
      <c r="AU320" s="1262"/>
      <c r="AV320" s="1262"/>
      <c r="AW320" s="1509"/>
      <c r="AX320" s="1510"/>
      <c r="AY320" s="1510"/>
      <c r="AZ320" s="1510"/>
      <c r="BA320" s="1509"/>
      <c r="BB320" s="1509"/>
      <c r="BC320" s="1509"/>
      <c r="BD320" s="1509"/>
      <c r="BE320" s="1509"/>
      <c r="BF320" s="1514">
        <f t="shared" ref="BF320:BF325" si="100">J320</f>
        <v>384</v>
      </c>
      <c r="BG320" s="1509"/>
      <c r="BH320" s="1052"/>
      <c r="BI320" s="1262"/>
      <c r="BJ320" s="1262"/>
      <c r="BK320" s="1262"/>
      <c r="XEN320" s="1517"/>
      <c r="XEO320" s="1527"/>
      <c r="XEP320" s="1528"/>
      <c r="XEQ320" s="1527"/>
      <c r="XER320" s="1529"/>
      <c r="XES320" s="1527"/>
      <c r="XET320" s="1530"/>
      <c r="XEU320" s="1531"/>
      <c r="XEV320" s="1532"/>
      <c r="XEW320" s="1543"/>
      <c r="XEX320" s="1544"/>
      <c r="XEY320" s="1544"/>
      <c r="XEZ320" s="1545"/>
      <c r="XFA320" s="1546"/>
      <c r="XFB320" s="1546"/>
      <c r="XFC320" s="1547"/>
      <c r="XFD320" s="1548"/>
    </row>
    <row r="321" s="1048" customFormat="1" ht="31" customHeight="1" spans="1:16384">
      <c r="A321" s="1443">
        <v>46037</v>
      </c>
      <c r="B321" s="1444" t="s">
        <v>1701</v>
      </c>
      <c r="C321" s="1445" t="s">
        <v>91</v>
      </c>
      <c r="D321" s="1444">
        <v>4500191499</v>
      </c>
      <c r="E321" s="1446" t="s">
        <v>3055</v>
      </c>
      <c r="F321" s="1444" t="s">
        <v>3056</v>
      </c>
      <c r="G321" s="1448" t="s">
        <v>2452</v>
      </c>
      <c r="H321" s="1447" t="s">
        <v>2452</v>
      </c>
      <c r="I321" s="1462" t="s">
        <v>2052</v>
      </c>
      <c r="J321" s="1457">
        <v>192</v>
      </c>
      <c r="K321" s="1458">
        <v>0</v>
      </c>
      <c r="L321" s="1458">
        <v>24</v>
      </c>
      <c r="M321" s="1459">
        <f t="shared" si="96"/>
        <v>8</v>
      </c>
      <c r="N321" s="1460">
        <v>46101</v>
      </c>
      <c r="O321" s="1460">
        <v>46097</v>
      </c>
      <c r="P321" s="1463" t="s">
        <v>3052</v>
      </c>
      <c r="Q321" s="1473"/>
      <c r="R321" s="1474"/>
      <c r="S321" s="1475" t="s">
        <v>1865</v>
      </c>
      <c r="T321" s="1476"/>
      <c r="U321" s="1477" t="s">
        <v>3053</v>
      </c>
      <c r="V321" s="1478" t="s">
        <v>2526</v>
      </c>
      <c r="W321" s="1479" t="s">
        <v>3057</v>
      </c>
      <c r="X321" s="1480" t="s">
        <v>1592</v>
      </c>
      <c r="Y321" s="1489">
        <v>1.6567</v>
      </c>
      <c r="Z321" s="1490">
        <f t="shared" si="97"/>
        <v>318.0864</v>
      </c>
      <c r="AA321" s="1491"/>
      <c r="AB321" s="1492" t="s">
        <v>63</v>
      </c>
      <c r="AC321" s="1484" t="s">
        <v>2040</v>
      </c>
      <c r="AD321" s="1493"/>
      <c r="AE321" s="1491"/>
      <c r="AF321" s="1494"/>
      <c r="AG321" s="1494"/>
      <c r="AH321" s="1217">
        <f t="shared" si="98"/>
        <v>192</v>
      </c>
      <c r="AI321" s="1217"/>
      <c r="AJ321" s="1217"/>
      <c r="AK321" s="1423"/>
      <c r="AL321" s="1498"/>
      <c r="AM321" s="1498"/>
      <c r="AN321" s="1498"/>
      <c r="AO321" s="1498"/>
      <c r="AP321" s="1498"/>
      <c r="AQ321" s="1298"/>
      <c r="AR321" s="1503">
        <f t="shared" si="99"/>
        <v>192</v>
      </c>
      <c r="AS321" s="1423"/>
      <c r="AT321" s="1505"/>
      <c r="AU321" s="1262"/>
      <c r="AV321" s="1262"/>
      <c r="AW321" s="1509"/>
      <c r="AX321" s="1510"/>
      <c r="AY321" s="1510"/>
      <c r="AZ321" s="1510"/>
      <c r="BA321" s="1509"/>
      <c r="BB321" s="1509"/>
      <c r="BC321" s="1509"/>
      <c r="BD321" s="1509"/>
      <c r="BE321" s="1509"/>
      <c r="BF321" s="1514">
        <f t="shared" si="100"/>
        <v>192</v>
      </c>
      <c r="BG321" s="1509"/>
      <c r="BH321" s="1052"/>
      <c r="BI321" s="1262"/>
      <c r="BJ321" s="1262"/>
      <c r="BK321" s="1262"/>
      <c r="XEN321" s="1516"/>
      <c r="XEO321" s="1523"/>
      <c r="XEP321" s="1047"/>
      <c r="XEQ321" s="1523"/>
      <c r="XER321" s="1524"/>
      <c r="XES321" s="1523"/>
      <c r="XET321" s="1632"/>
      <c r="XEU321" s="1525"/>
      <c r="XEV321" s="1526"/>
      <c r="XEW321" s="1538"/>
      <c r="XEX321" s="1525"/>
      <c r="XEY321" s="1525"/>
      <c r="XEZ321" s="1539"/>
      <c r="XFA321" s="1540"/>
      <c r="XFB321" s="1540"/>
      <c r="XFC321" s="1639"/>
      <c r="XFD321" s="1542"/>
    </row>
    <row r="322" s="1048" customFormat="1" ht="31" customHeight="1" spans="1:16384">
      <c r="A322" s="1443">
        <v>46037</v>
      </c>
      <c r="B322" s="1444" t="s">
        <v>1701</v>
      </c>
      <c r="C322" s="1445" t="s">
        <v>91</v>
      </c>
      <c r="D322" s="1444">
        <v>4500191560</v>
      </c>
      <c r="E322" s="1446" t="s">
        <v>3058</v>
      </c>
      <c r="F322" s="1444" t="s">
        <v>3059</v>
      </c>
      <c r="G322" s="1448" t="s">
        <v>2452</v>
      </c>
      <c r="H322" s="1447" t="s">
        <v>2452</v>
      </c>
      <c r="I322" s="1462" t="s">
        <v>2052</v>
      </c>
      <c r="J322" s="1457">
        <v>168</v>
      </c>
      <c r="K322" s="1458">
        <v>0</v>
      </c>
      <c r="L322" s="1458">
        <v>24</v>
      </c>
      <c r="M322" s="1459">
        <f t="shared" si="96"/>
        <v>7</v>
      </c>
      <c r="N322" s="1460">
        <v>46101</v>
      </c>
      <c r="O322" s="1460">
        <v>46097</v>
      </c>
      <c r="P322" s="1463" t="s">
        <v>3052</v>
      </c>
      <c r="Q322" s="1473"/>
      <c r="R322" s="1474"/>
      <c r="S322" s="1475" t="s">
        <v>1865</v>
      </c>
      <c r="T322" s="1476"/>
      <c r="U322" s="1477" t="s">
        <v>3053</v>
      </c>
      <c r="V322" s="1478" t="s">
        <v>2526</v>
      </c>
      <c r="W322" s="1479" t="s">
        <v>3057</v>
      </c>
      <c r="X322" s="1480" t="s">
        <v>1592</v>
      </c>
      <c r="Y322" s="1489">
        <v>1.6896</v>
      </c>
      <c r="Z322" s="1490">
        <f t="shared" si="97"/>
        <v>283.8528</v>
      </c>
      <c r="AA322" s="1491"/>
      <c r="AB322" s="1492" t="s">
        <v>63</v>
      </c>
      <c r="AC322" s="1484" t="s">
        <v>2040</v>
      </c>
      <c r="AD322" s="1493"/>
      <c r="AE322" s="1491"/>
      <c r="AF322" s="1494"/>
      <c r="AG322" s="1494"/>
      <c r="AH322" s="1217">
        <f t="shared" si="98"/>
        <v>168</v>
      </c>
      <c r="AI322" s="1217"/>
      <c r="AJ322" s="1217"/>
      <c r="AK322" s="1008"/>
      <c r="AL322" s="1595"/>
      <c r="AM322" s="1595"/>
      <c r="AN322" s="1595"/>
      <c r="AO322" s="1595"/>
      <c r="AP322" s="1595"/>
      <c r="AQ322" s="1595"/>
      <c r="AR322" s="1503">
        <f t="shared" si="99"/>
        <v>168</v>
      </c>
      <c r="AS322" s="1595"/>
      <c r="AW322" s="1509"/>
      <c r="AX322" s="1595"/>
      <c r="AY322" s="1595"/>
      <c r="AZ322" s="1595"/>
      <c r="BA322" s="1509"/>
      <c r="BB322" s="1509"/>
      <c r="BC322" s="1509"/>
      <c r="BD322" s="1509"/>
      <c r="BE322" s="1509"/>
      <c r="BF322" s="1514">
        <f t="shared" si="100"/>
        <v>168</v>
      </c>
      <c r="BG322" s="1509"/>
      <c r="BH322" s="1052"/>
      <c r="XDW322" s="1516"/>
      <c r="XDX322" s="1523"/>
      <c r="XDY322" s="1047"/>
      <c r="XDZ322" s="1523"/>
      <c r="XEA322" s="1524"/>
      <c r="XEB322" s="1523"/>
      <c r="XEC322" s="1632"/>
      <c r="XED322" s="1525"/>
      <c r="XEE322" s="1526"/>
      <c r="XEF322" s="1538"/>
      <c r="XEG322" s="1525"/>
      <c r="XEH322" s="1525"/>
      <c r="XEI322" s="1539"/>
      <c r="XEJ322" s="1540"/>
      <c r="XEK322" s="1540"/>
      <c r="XEL322" s="1639"/>
      <c r="XEM322" s="1542"/>
      <c r="XEN322" s="1517"/>
      <c r="XEO322" s="1527"/>
      <c r="XEP322" s="1528"/>
      <c r="XEQ322" s="1527"/>
      <c r="XER322" s="1529"/>
      <c r="XES322" s="1527"/>
      <c r="XET322" s="1530"/>
      <c r="XEU322" s="1531"/>
      <c r="XEV322" s="1532"/>
      <c r="XEW322" s="1543"/>
      <c r="XEX322" s="1544"/>
      <c r="XEY322" s="1544"/>
      <c r="XEZ322" s="1545"/>
      <c r="XFA322" s="1546"/>
      <c r="XFB322" s="1546"/>
      <c r="XFC322" s="1547"/>
      <c r="XFD322" s="1548"/>
    </row>
    <row r="323" s="1048" customFormat="1" ht="31" customHeight="1" spans="1:16384">
      <c r="A323" s="1443">
        <v>46037</v>
      </c>
      <c r="B323" s="1444" t="s">
        <v>1701</v>
      </c>
      <c r="C323" s="1445" t="s">
        <v>91</v>
      </c>
      <c r="D323" s="1444">
        <v>4500191547</v>
      </c>
      <c r="E323" s="1446" t="s">
        <v>3060</v>
      </c>
      <c r="F323" s="1444" t="s">
        <v>3061</v>
      </c>
      <c r="G323" s="1448" t="s">
        <v>2452</v>
      </c>
      <c r="H323" s="1447" t="s">
        <v>2452</v>
      </c>
      <c r="I323" s="1462" t="s">
        <v>2052</v>
      </c>
      <c r="J323" s="1457">
        <v>240</v>
      </c>
      <c r="K323" s="1458">
        <v>0</v>
      </c>
      <c r="L323" s="1458">
        <v>24</v>
      </c>
      <c r="M323" s="1459">
        <f t="shared" si="96"/>
        <v>10</v>
      </c>
      <c r="N323" s="1460">
        <v>46101</v>
      </c>
      <c r="O323" s="1460">
        <v>46097</v>
      </c>
      <c r="P323" s="1463" t="s">
        <v>3052</v>
      </c>
      <c r="Q323" s="1473"/>
      <c r="R323" s="1474"/>
      <c r="S323" s="1475" t="s">
        <v>1865</v>
      </c>
      <c r="T323" s="1476"/>
      <c r="U323" s="1477" t="s">
        <v>3053</v>
      </c>
      <c r="V323" s="1478" t="s">
        <v>2526</v>
      </c>
      <c r="W323" s="1479" t="s">
        <v>3057</v>
      </c>
      <c r="X323" s="1480" t="s">
        <v>1592</v>
      </c>
      <c r="Y323" s="1489">
        <v>1.6567</v>
      </c>
      <c r="Z323" s="1490">
        <f t="shared" si="97"/>
        <v>397.608</v>
      </c>
      <c r="AA323" s="1491"/>
      <c r="AB323" s="1492" t="s">
        <v>63</v>
      </c>
      <c r="AC323" s="1484" t="s">
        <v>2040</v>
      </c>
      <c r="AD323" s="1493"/>
      <c r="AE323" s="1491"/>
      <c r="AF323" s="1494"/>
      <c r="AG323" s="1494"/>
      <c r="AH323" s="1217">
        <f t="shared" si="98"/>
        <v>240</v>
      </c>
      <c r="AI323" s="1217"/>
      <c r="AJ323" s="1217"/>
      <c r="AK323" s="1008"/>
      <c r="AL323" s="1595"/>
      <c r="AM323" s="1595"/>
      <c r="AN323" s="1595"/>
      <c r="AO323" s="1595"/>
      <c r="AP323" s="1595"/>
      <c r="AQ323" s="1595"/>
      <c r="AR323" s="1503">
        <f t="shared" si="99"/>
        <v>240</v>
      </c>
      <c r="AS323" s="1595"/>
      <c r="AW323" s="1509"/>
      <c r="AX323" s="1595"/>
      <c r="AY323" s="1595"/>
      <c r="AZ323" s="1595"/>
      <c r="BA323" s="1509"/>
      <c r="BB323" s="1509"/>
      <c r="BC323" s="1509"/>
      <c r="BD323" s="1509"/>
      <c r="BE323" s="1509"/>
      <c r="BF323" s="1514">
        <f t="shared" si="100"/>
        <v>240</v>
      </c>
      <c r="BG323" s="1509"/>
      <c r="BH323" s="1052"/>
      <c r="XDW323" s="1516"/>
      <c r="XDX323" s="1523"/>
      <c r="XDY323" s="1047"/>
      <c r="XDZ323" s="1523"/>
      <c r="XEA323" s="1524"/>
      <c r="XEB323" s="1523"/>
      <c r="XEC323" s="1632"/>
      <c r="XED323" s="1525"/>
      <c r="XEE323" s="1526"/>
      <c r="XEF323" s="1538"/>
      <c r="XEG323" s="1525"/>
      <c r="XEH323" s="1525"/>
      <c r="XEI323" s="1539"/>
      <c r="XEJ323" s="1540"/>
      <c r="XEK323" s="1540"/>
      <c r="XEL323" s="1639"/>
      <c r="XEM323" s="1542"/>
      <c r="XEN323" s="1517"/>
      <c r="XEO323" s="1527"/>
      <c r="XEP323" s="1528"/>
      <c r="XEQ323" s="1527"/>
      <c r="XER323" s="1529"/>
      <c r="XES323" s="1527"/>
      <c r="XET323" s="1530"/>
      <c r="XEU323" s="1531"/>
      <c r="XEV323" s="1532"/>
      <c r="XEW323" s="1543"/>
      <c r="XEX323" s="1544"/>
      <c r="XEY323" s="1544"/>
      <c r="XEZ323" s="1545"/>
      <c r="XFA323" s="1546"/>
      <c r="XFB323" s="1546"/>
      <c r="XFC323" s="1547"/>
      <c r="XFD323" s="1548"/>
    </row>
    <row r="324" s="1048" customFormat="1" ht="31" customHeight="1" spans="1:16384">
      <c r="A324" s="1443">
        <v>46037</v>
      </c>
      <c r="B324" s="1444" t="s">
        <v>1701</v>
      </c>
      <c r="C324" s="1445" t="s">
        <v>91</v>
      </c>
      <c r="D324" s="1444">
        <v>4500191531</v>
      </c>
      <c r="E324" s="1446" t="s">
        <v>3062</v>
      </c>
      <c r="F324" s="1444" t="s">
        <v>3063</v>
      </c>
      <c r="G324" s="1448" t="s">
        <v>2452</v>
      </c>
      <c r="H324" s="1447" t="s">
        <v>2452</v>
      </c>
      <c r="I324" s="1462" t="s">
        <v>2052</v>
      </c>
      <c r="J324" s="1457">
        <v>264</v>
      </c>
      <c r="K324" s="1458">
        <v>0</v>
      </c>
      <c r="L324" s="1458">
        <v>24</v>
      </c>
      <c r="M324" s="1459">
        <f t="shared" si="96"/>
        <v>11</v>
      </c>
      <c r="N324" s="1460">
        <v>46101</v>
      </c>
      <c r="O324" s="1460">
        <v>46097</v>
      </c>
      <c r="P324" s="1463" t="s">
        <v>3052</v>
      </c>
      <c r="Q324" s="1473"/>
      <c r="R324" s="1474"/>
      <c r="S324" s="1475" t="s">
        <v>1865</v>
      </c>
      <c r="T324" s="1476"/>
      <c r="U324" s="1477" t="s">
        <v>3053</v>
      </c>
      <c r="V324" s="1478" t="s">
        <v>2526</v>
      </c>
      <c r="W324" s="1479" t="s">
        <v>3057</v>
      </c>
      <c r="X324" s="1480" t="s">
        <v>1592</v>
      </c>
      <c r="Y324" s="1489">
        <v>1.6896</v>
      </c>
      <c r="Z324" s="1490">
        <f t="shared" si="97"/>
        <v>446.0544</v>
      </c>
      <c r="AA324" s="1491"/>
      <c r="AB324" s="1492" t="s">
        <v>63</v>
      </c>
      <c r="AC324" s="1484" t="s">
        <v>2040</v>
      </c>
      <c r="AD324" s="1493"/>
      <c r="AE324" s="1491"/>
      <c r="AF324" s="1494"/>
      <c r="AG324" s="1494"/>
      <c r="AH324" s="1217">
        <f t="shared" si="98"/>
        <v>264</v>
      </c>
      <c r="AI324" s="1217"/>
      <c r="AJ324" s="1217"/>
      <c r="AK324" s="1008"/>
      <c r="AL324" s="1595"/>
      <c r="AM324" s="1595"/>
      <c r="AN324" s="1595"/>
      <c r="AO324" s="1595"/>
      <c r="AP324" s="1595"/>
      <c r="AQ324" s="1595"/>
      <c r="AR324" s="1503">
        <f t="shared" si="99"/>
        <v>264</v>
      </c>
      <c r="AS324" s="1595"/>
      <c r="AW324" s="1509"/>
      <c r="AX324" s="1595"/>
      <c r="AY324" s="1595"/>
      <c r="AZ324" s="1595"/>
      <c r="BA324" s="1509"/>
      <c r="BB324" s="1509"/>
      <c r="BC324" s="1509"/>
      <c r="BD324" s="1509"/>
      <c r="BE324" s="1509"/>
      <c r="BF324" s="1514">
        <f t="shared" si="100"/>
        <v>264</v>
      </c>
      <c r="BG324" s="1509"/>
      <c r="BH324" s="1052"/>
      <c r="XDW324" s="1516"/>
      <c r="XDX324" s="1523"/>
      <c r="XDY324" s="1047"/>
      <c r="XDZ324" s="1523"/>
      <c r="XEA324" s="1524"/>
      <c r="XEB324" s="1523"/>
      <c r="XEC324" s="1632"/>
      <c r="XED324" s="1525"/>
      <c r="XEE324" s="1526"/>
      <c r="XEF324" s="1538"/>
      <c r="XEG324" s="1525"/>
      <c r="XEH324" s="1525"/>
      <c r="XEI324" s="1539"/>
      <c r="XEJ324" s="1540"/>
      <c r="XEK324" s="1540"/>
      <c r="XEL324" s="1639"/>
      <c r="XEM324" s="1542"/>
      <c r="XEN324" s="1517"/>
      <c r="XEO324" s="1527"/>
      <c r="XEP324" s="1528"/>
      <c r="XEQ324" s="1527"/>
      <c r="XER324" s="1529"/>
      <c r="XES324" s="1527"/>
      <c r="XET324" s="1530"/>
      <c r="XEU324" s="1531"/>
      <c r="XEV324" s="1532"/>
      <c r="XEW324" s="1543"/>
      <c r="XEX324" s="1544"/>
      <c r="XEY324" s="1544"/>
      <c r="XEZ324" s="1545"/>
      <c r="XFA324" s="1546"/>
      <c r="XFB324" s="1546"/>
      <c r="XFC324" s="1547"/>
      <c r="XFD324" s="1548"/>
    </row>
    <row r="325" s="1048" customFormat="1" ht="31" customHeight="1" spans="1:16384">
      <c r="A325" s="1443">
        <v>46037</v>
      </c>
      <c r="B325" s="1444" t="s">
        <v>1701</v>
      </c>
      <c r="C325" s="1445" t="s">
        <v>91</v>
      </c>
      <c r="D325" s="1444">
        <v>4500191511</v>
      </c>
      <c r="E325" s="1446" t="s">
        <v>3064</v>
      </c>
      <c r="F325" s="1444" t="s">
        <v>3065</v>
      </c>
      <c r="G325" s="1448" t="s">
        <v>2452</v>
      </c>
      <c r="H325" s="1447" t="s">
        <v>2452</v>
      </c>
      <c r="I325" s="1462" t="s">
        <v>2052</v>
      </c>
      <c r="J325" s="1457">
        <v>408</v>
      </c>
      <c r="K325" s="1458">
        <v>0</v>
      </c>
      <c r="L325" s="1458">
        <v>24</v>
      </c>
      <c r="M325" s="1459">
        <f t="shared" si="96"/>
        <v>17</v>
      </c>
      <c r="N325" s="1460">
        <v>46101</v>
      </c>
      <c r="O325" s="1460">
        <v>46097</v>
      </c>
      <c r="P325" s="1463" t="s">
        <v>3052</v>
      </c>
      <c r="Q325" s="1473"/>
      <c r="R325" s="1474"/>
      <c r="S325" s="1475" t="s">
        <v>1865</v>
      </c>
      <c r="T325" s="1476"/>
      <c r="U325" s="1477" t="s">
        <v>3053</v>
      </c>
      <c r="V325" s="1478" t="s">
        <v>2526</v>
      </c>
      <c r="W325" s="1479" t="s">
        <v>3054</v>
      </c>
      <c r="X325" s="1480" t="s">
        <v>1592</v>
      </c>
      <c r="Y325" s="1489">
        <v>1.6567</v>
      </c>
      <c r="Z325" s="1490">
        <f t="shared" si="97"/>
        <v>675.9336</v>
      </c>
      <c r="AA325" s="1491"/>
      <c r="AB325" s="1492" t="s">
        <v>63</v>
      </c>
      <c r="AC325" s="1484" t="s">
        <v>2040</v>
      </c>
      <c r="AD325" s="1493"/>
      <c r="AE325" s="1491"/>
      <c r="AF325" s="1494"/>
      <c r="AG325" s="1494"/>
      <c r="AH325" s="1217">
        <f t="shared" si="98"/>
        <v>408</v>
      </c>
      <c r="AI325" s="1217"/>
      <c r="AJ325" s="1217"/>
      <c r="AK325" s="1008"/>
      <c r="AL325" s="1595"/>
      <c r="AM325" s="1595"/>
      <c r="AN325" s="1595"/>
      <c r="AO325" s="1595"/>
      <c r="AP325" s="1595"/>
      <c r="AQ325" s="1595"/>
      <c r="AR325" s="1503">
        <f t="shared" si="99"/>
        <v>408</v>
      </c>
      <c r="AS325" s="1595"/>
      <c r="AW325" s="1509"/>
      <c r="AX325" s="1595"/>
      <c r="AY325" s="1595"/>
      <c r="AZ325" s="1595"/>
      <c r="BA325" s="1509"/>
      <c r="BB325" s="1509"/>
      <c r="BC325" s="1509"/>
      <c r="BD325" s="1509"/>
      <c r="BE325" s="1509"/>
      <c r="BF325" s="1514">
        <f t="shared" si="100"/>
        <v>408</v>
      </c>
      <c r="BG325" s="1509"/>
      <c r="BH325" s="1052"/>
      <c r="XDW325" s="1516"/>
      <c r="XDX325" s="1523"/>
      <c r="XDY325" s="1047"/>
      <c r="XDZ325" s="1523"/>
      <c r="XEA325" s="1524"/>
      <c r="XEB325" s="1523"/>
      <c r="XEC325" s="1632"/>
      <c r="XED325" s="1525"/>
      <c r="XEE325" s="1526"/>
      <c r="XEF325" s="1538"/>
      <c r="XEG325" s="1525"/>
      <c r="XEH325" s="1525"/>
      <c r="XEI325" s="1539"/>
      <c r="XEJ325" s="1540"/>
      <c r="XEK325" s="1540"/>
      <c r="XEL325" s="1639"/>
      <c r="XEM325" s="1542"/>
      <c r="XEN325" s="1517"/>
      <c r="XEO325" s="1527"/>
      <c r="XEP325" s="1528"/>
      <c r="XEQ325" s="1527"/>
      <c r="XER325" s="1529"/>
      <c r="XES325" s="1527"/>
      <c r="XET325" s="1530"/>
      <c r="XEU325" s="1531"/>
      <c r="XEV325" s="1532"/>
      <c r="XEW325" s="1543"/>
      <c r="XEX325" s="1544"/>
      <c r="XEY325" s="1544"/>
      <c r="XEZ325" s="1545"/>
      <c r="XFA325" s="1546"/>
      <c r="XFB325" s="1546"/>
      <c r="XFC325" s="1547"/>
      <c r="XFD325" s="1548"/>
    </row>
    <row r="326" s="1052" customFormat="1" ht="31" customHeight="1" spans="1:16384">
      <c r="A326" s="1443">
        <v>46056</v>
      </c>
      <c r="B326" s="1444" t="s">
        <v>811</v>
      </c>
      <c r="C326" s="1445" t="s">
        <v>91</v>
      </c>
      <c r="D326" s="1444">
        <v>4500192994</v>
      </c>
      <c r="E326" s="1446">
        <v>70084534</v>
      </c>
      <c r="F326" s="1444" t="s">
        <v>3066</v>
      </c>
      <c r="G326" s="1448"/>
      <c r="H326" s="1447" t="s">
        <v>2118</v>
      </c>
      <c r="I326" s="1456" t="s">
        <v>2119</v>
      </c>
      <c r="J326" s="1457">
        <v>1200</v>
      </c>
      <c r="K326" s="1458">
        <v>0</v>
      </c>
      <c r="L326" s="1458">
        <v>12</v>
      </c>
      <c r="M326" s="1459">
        <f t="shared" si="96"/>
        <v>100</v>
      </c>
      <c r="N326" s="1460">
        <v>46106</v>
      </c>
      <c r="O326" s="1460">
        <v>46102</v>
      </c>
      <c r="P326" s="1463"/>
      <c r="Q326" s="1473"/>
      <c r="R326" s="1474"/>
      <c r="S326" s="1477" t="s">
        <v>1408</v>
      </c>
      <c r="T326" s="1476"/>
      <c r="U326" s="1569" t="s">
        <v>1409</v>
      </c>
      <c r="V326" s="1478" t="s">
        <v>1410</v>
      </c>
      <c r="W326" s="1479" t="s">
        <v>1411</v>
      </c>
      <c r="X326" s="1480" t="s">
        <v>1151</v>
      </c>
      <c r="Y326" s="1489">
        <v>1.6684</v>
      </c>
      <c r="Z326" s="1490">
        <f t="shared" si="97"/>
        <v>2002.08</v>
      </c>
      <c r="AA326" s="1491"/>
      <c r="AB326" s="1492"/>
      <c r="AC326" s="1484"/>
      <c r="AD326" s="1493"/>
      <c r="AE326" s="1491"/>
      <c r="AF326" s="1494"/>
      <c r="AG326" s="1494"/>
      <c r="AH326" s="1497">
        <f>J326/3</f>
        <v>400</v>
      </c>
      <c r="AI326" s="1497">
        <f>J326/3</f>
        <v>400</v>
      </c>
      <c r="AJ326" s="1497">
        <f>J326/3</f>
        <v>400</v>
      </c>
      <c r="AK326" s="1375"/>
      <c r="AL326" s="1596"/>
      <c r="AM326" s="1596"/>
      <c r="AN326" s="1596"/>
      <c r="AO326" s="1596"/>
      <c r="AP326" s="1596"/>
      <c r="AQ326" s="1596"/>
      <c r="AR326" s="1503">
        <f t="shared" si="99"/>
        <v>1200</v>
      </c>
      <c r="AS326" s="1596"/>
      <c r="AT326" s="1399"/>
      <c r="AU326" s="1399"/>
      <c r="AV326" s="1399"/>
      <c r="AW326" s="1617">
        <f>J326</f>
        <v>1200</v>
      </c>
      <c r="AX326" s="1596"/>
      <c r="AY326" s="1596"/>
      <c r="AZ326" s="1596"/>
      <c r="BA326" s="1509"/>
      <c r="BB326" s="1509"/>
      <c r="BC326" s="1509"/>
      <c r="BD326" s="1509"/>
      <c r="BE326" s="1509"/>
      <c r="BF326" s="1514"/>
      <c r="BG326" s="1509"/>
      <c r="BI326" s="1399"/>
      <c r="BJ326" s="1399"/>
      <c r="BK326" s="1399"/>
      <c r="XDW326" s="1630"/>
      <c r="XDX326" s="1631"/>
      <c r="XDY326" s="1633"/>
      <c r="XDZ326" s="1631"/>
      <c r="XEA326" s="1634"/>
      <c r="XEB326" s="1631"/>
      <c r="XEC326" s="1635"/>
      <c r="XED326" s="1636"/>
      <c r="XEE326" s="1637"/>
      <c r="XEF326" s="1638"/>
      <c r="XEG326" s="1636"/>
      <c r="XEH326" s="1636"/>
      <c r="XEI326" s="1554"/>
      <c r="XEJ326" s="1640"/>
      <c r="XEK326" s="1640"/>
      <c r="XEL326" s="1641"/>
      <c r="XEM326" s="1642"/>
      <c r="XEN326" s="1443"/>
      <c r="XEO326" s="1444"/>
      <c r="XEP326" s="1445"/>
      <c r="XEQ326" s="1444"/>
      <c r="XER326" s="1446"/>
      <c r="XES326" s="1444"/>
      <c r="XET326" s="1448"/>
      <c r="XEU326" s="1447"/>
      <c r="XEV326" s="1462"/>
      <c r="XEW326" s="1457"/>
      <c r="XEX326" s="1458"/>
      <c r="XEY326" s="1458"/>
      <c r="XEZ326" s="1459"/>
      <c r="XFA326" s="1460"/>
      <c r="XFB326" s="1460"/>
      <c r="XFC326" s="1463"/>
      <c r="XFD326" s="1473"/>
    </row>
    <row r="327" s="1052" customFormat="1" ht="31" customHeight="1" spans="1:63">
      <c r="A327" s="1443">
        <v>45982</v>
      </c>
      <c r="B327" s="1444"/>
      <c r="C327" s="1445" t="s">
        <v>91</v>
      </c>
      <c r="D327" s="1444" t="s">
        <v>3067</v>
      </c>
      <c r="E327" s="1446"/>
      <c r="F327" s="1444"/>
      <c r="G327" s="1101" t="s">
        <v>2079</v>
      </c>
      <c r="H327" s="1447" t="s">
        <v>2079</v>
      </c>
      <c r="I327" s="1456" t="s">
        <v>2080</v>
      </c>
      <c r="J327" s="1457">
        <v>4002</v>
      </c>
      <c r="K327" s="1458">
        <v>0</v>
      </c>
      <c r="L327" s="1458">
        <v>6</v>
      </c>
      <c r="M327" s="1459">
        <f t="shared" si="96"/>
        <v>667</v>
      </c>
      <c r="N327" s="1460">
        <v>46021</v>
      </c>
      <c r="O327" s="1558">
        <v>46113</v>
      </c>
      <c r="P327" s="1559" t="s">
        <v>3068</v>
      </c>
      <c r="Q327" s="1473"/>
      <c r="R327" s="1474"/>
      <c r="S327" s="1475" t="s">
        <v>1427</v>
      </c>
      <c r="T327" s="1476"/>
      <c r="U327" s="1477" t="s">
        <v>2994</v>
      </c>
      <c r="V327" s="1478" t="s">
        <v>2130</v>
      </c>
      <c r="W327" s="1479" t="s">
        <v>3069</v>
      </c>
      <c r="X327" s="1480" t="s">
        <v>737</v>
      </c>
      <c r="Y327" s="1489">
        <v>1.6827</v>
      </c>
      <c r="Z327" s="1490">
        <f t="shared" si="97"/>
        <v>6734.1654</v>
      </c>
      <c r="AA327" s="1491"/>
      <c r="AB327" s="1492" t="s">
        <v>63</v>
      </c>
      <c r="AC327" s="1484" t="s">
        <v>2040</v>
      </c>
      <c r="AD327" s="1493"/>
      <c r="AE327" s="1491"/>
      <c r="AF327" s="1494"/>
      <c r="AG327" s="1494"/>
      <c r="AH327" s="1497"/>
      <c r="AI327" s="1497"/>
      <c r="AJ327" s="1497"/>
      <c r="AK327" s="1371"/>
      <c r="AL327" s="1372"/>
      <c r="AM327" s="1371"/>
      <c r="AN327" s="1371"/>
      <c r="AO327" s="1384"/>
      <c r="AP327" s="1372"/>
      <c r="AQ327" s="1375"/>
      <c r="AR327" s="1503"/>
      <c r="AS327" s="1384"/>
      <c r="AT327" s="1386"/>
      <c r="AU327" s="1387"/>
      <c r="AV327" s="1387"/>
      <c r="AW327" s="1617"/>
      <c r="AX327" s="1387"/>
      <c r="AY327" s="1387"/>
      <c r="AZ327" s="1387"/>
      <c r="BA327" s="1508"/>
      <c r="BB327" s="1508"/>
      <c r="BC327" s="1508"/>
      <c r="BD327" s="1508"/>
      <c r="BE327" s="1513"/>
      <c r="BF327" s="1513"/>
      <c r="BG327" s="1514"/>
      <c r="BH327" s="1621"/>
      <c r="BI327" s="1399"/>
      <c r="BJ327" s="1399"/>
      <c r="BK327" s="1399"/>
    </row>
    <row r="328" s="1052" customFormat="1" ht="31" customHeight="1" spans="1:16384">
      <c r="A328" s="1443">
        <v>46055</v>
      </c>
      <c r="B328" s="1444" t="s">
        <v>918</v>
      </c>
      <c r="C328" s="1445" t="s">
        <v>123</v>
      </c>
      <c r="D328" s="1444">
        <v>4500192931</v>
      </c>
      <c r="E328" s="1446">
        <v>4400536133</v>
      </c>
      <c r="F328" s="1444" t="s">
        <v>3070</v>
      </c>
      <c r="G328" s="1448"/>
      <c r="H328" s="1447" t="s">
        <v>2317</v>
      </c>
      <c r="I328" s="1462" t="s">
        <v>2063</v>
      </c>
      <c r="J328" s="1457">
        <v>2004</v>
      </c>
      <c r="K328" s="1458">
        <v>0</v>
      </c>
      <c r="L328" s="1458">
        <v>12</v>
      </c>
      <c r="M328" s="1459">
        <f t="shared" si="96"/>
        <v>167</v>
      </c>
      <c r="N328" s="1546">
        <v>46122</v>
      </c>
      <c r="O328" s="1546">
        <v>46118</v>
      </c>
      <c r="P328" s="1463"/>
      <c r="Q328" s="1473"/>
      <c r="R328" s="1474"/>
      <c r="S328" s="1475" t="s">
        <v>1427</v>
      </c>
      <c r="T328" s="1476"/>
      <c r="U328" s="1477" t="s">
        <v>2898</v>
      </c>
      <c r="V328" s="1478" t="s">
        <v>2659</v>
      </c>
      <c r="W328" s="1479" t="s">
        <v>3071</v>
      </c>
      <c r="X328" s="1480" t="s">
        <v>953</v>
      </c>
      <c r="Y328" s="1489">
        <v>2.7771</v>
      </c>
      <c r="Z328" s="1490">
        <f t="shared" si="97"/>
        <v>5565.3084</v>
      </c>
      <c r="AA328" s="1491"/>
      <c r="AB328" s="1492"/>
      <c r="AC328" s="1492"/>
      <c r="AD328" s="1493"/>
      <c r="AE328" s="1491"/>
      <c r="AF328" s="1494"/>
      <c r="AG328" s="1494"/>
      <c r="AH328" s="1217"/>
      <c r="AI328" s="1217">
        <f>J328</f>
        <v>2004</v>
      </c>
      <c r="AJ328" s="1217"/>
      <c r="AK328" s="1375"/>
      <c r="AL328" s="1596"/>
      <c r="AM328" s="1596"/>
      <c r="AN328" s="1596"/>
      <c r="AO328" s="1596"/>
      <c r="AP328" s="1596"/>
      <c r="AQ328" s="1596"/>
      <c r="AR328" s="1503">
        <f>J328</f>
        <v>2004</v>
      </c>
      <c r="AS328" s="1596"/>
      <c r="AT328" s="1399"/>
      <c r="AU328" s="1399"/>
      <c r="AV328" s="1399"/>
      <c r="AW328" s="1509"/>
      <c r="AX328" s="1596"/>
      <c r="AY328" s="1596"/>
      <c r="AZ328" s="1596"/>
      <c r="BA328" s="1617">
        <f>J328</f>
        <v>2004</v>
      </c>
      <c r="BB328" s="1509"/>
      <c r="BC328" s="1509"/>
      <c r="BD328" s="1509"/>
      <c r="BE328" s="1509"/>
      <c r="BF328" s="1514"/>
      <c r="BG328" s="1509"/>
      <c r="BI328" s="1399"/>
      <c r="BJ328" s="1399"/>
      <c r="BK328" s="1399"/>
      <c r="XDW328" s="1630"/>
      <c r="XDX328" s="1631"/>
      <c r="XDY328" s="1633"/>
      <c r="XDZ328" s="1631"/>
      <c r="XEA328" s="1634"/>
      <c r="XEB328" s="1631"/>
      <c r="XEC328" s="1635"/>
      <c r="XED328" s="1636"/>
      <c r="XEE328" s="1637"/>
      <c r="XEF328" s="1638"/>
      <c r="XEG328" s="1636"/>
      <c r="XEH328" s="1636"/>
      <c r="XEI328" s="1554"/>
      <c r="XEJ328" s="1640"/>
      <c r="XEK328" s="1640"/>
      <c r="XEL328" s="1641"/>
      <c r="XEM328" s="1642"/>
      <c r="XEN328" s="1443"/>
      <c r="XEO328" s="1444"/>
      <c r="XEP328" s="1445"/>
      <c r="XEQ328" s="1444"/>
      <c r="XER328" s="1446"/>
      <c r="XES328" s="1444"/>
      <c r="XET328" s="1448"/>
      <c r="XEU328" s="1447"/>
      <c r="XEV328" s="1462"/>
      <c r="XEW328" s="1457"/>
      <c r="XEX328" s="1458"/>
      <c r="XEY328" s="1458"/>
      <c r="XEZ328" s="1459"/>
      <c r="XFA328" s="1460"/>
      <c r="XFB328" s="1460"/>
      <c r="XFC328" s="1463"/>
      <c r="XFD328" s="1473"/>
    </row>
    <row r="329" s="1052" customFormat="1" ht="31" customHeight="1" spans="1:16384">
      <c r="A329" s="1443">
        <v>46055</v>
      </c>
      <c r="B329" s="1444" t="s">
        <v>918</v>
      </c>
      <c r="C329" s="1445" t="s">
        <v>123</v>
      </c>
      <c r="D329" s="1444">
        <v>4500192931</v>
      </c>
      <c r="E329" s="1446">
        <v>4400536133</v>
      </c>
      <c r="F329" s="1444" t="s">
        <v>3072</v>
      </c>
      <c r="G329" s="1448"/>
      <c r="H329" s="1447" t="s">
        <v>2445</v>
      </c>
      <c r="I329" s="1462" t="s">
        <v>2446</v>
      </c>
      <c r="J329" s="1457">
        <v>2508</v>
      </c>
      <c r="K329" s="1458">
        <v>0</v>
      </c>
      <c r="L329" s="1458">
        <v>12</v>
      </c>
      <c r="M329" s="1459">
        <f t="shared" si="96"/>
        <v>209</v>
      </c>
      <c r="N329" s="1546">
        <v>46122</v>
      </c>
      <c r="O329" s="1546">
        <v>46118</v>
      </c>
      <c r="P329" s="1463"/>
      <c r="Q329" s="1473"/>
      <c r="R329" s="1474"/>
      <c r="S329" s="1475" t="s">
        <v>1427</v>
      </c>
      <c r="T329" s="1476"/>
      <c r="U329" s="1477" t="s">
        <v>2905</v>
      </c>
      <c r="V329" s="1478" t="s">
        <v>2659</v>
      </c>
      <c r="W329" s="1479" t="s">
        <v>2907</v>
      </c>
      <c r="X329" s="1480" t="s">
        <v>953</v>
      </c>
      <c r="Y329" s="1489">
        <v>2.7771</v>
      </c>
      <c r="Z329" s="1490">
        <f t="shared" si="97"/>
        <v>6964.9668</v>
      </c>
      <c r="AA329" s="1491"/>
      <c r="AB329" s="1492"/>
      <c r="AC329" s="1492"/>
      <c r="AD329" s="1493"/>
      <c r="AE329" s="1491"/>
      <c r="AF329" s="1494"/>
      <c r="AG329" s="1494"/>
      <c r="AH329" s="1217">
        <f>J329</f>
        <v>2508</v>
      </c>
      <c r="AI329" s="1217"/>
      <c r="AJ329" s="1217"/>
      <c r="AK329" s="1375"/>
      <c r="AL329" s="1596"/>
      <c r="AM329" s="1596"/>
      <c r="AN329" s="1596"/>
      <c r="AO329" s="1596"/>
      <c r="AP329" s="1596"/>
      <c r="AQ329" s="1596"/>
      <c r="AR329" s="1503">
        <f>J329</f>
        <v>2508</v>
      </c>
      <c r="AS329" s="1596"/>
      <c r="AT329" s="1399"/>
      <c r="AU329" s="1399"/>
      <c r="AV329" s="1399"/>
      <c r="AW329" s="1509"/>
      <c r="AX329" s="1596"/>
      <c r="AY329" s="1596"/>
      <c r="AZ329" s="1596"/>
      <c r="BA329" s="1617">
        <f>J329</f>
        <v>2508</v>
      </c>
      <c r="BB329" s="1509"/>
      <c r="BC329" s="1509"/>
      <c r="BD329" s="1509"/>
      <c r="BE329" s="1509"/>
      <c r="BF329" s="1514"/>
      <c r="BG329" s="1509"/>
      <c r="BI329" s="1399"/>
      <c r="BJ329" s="1399"/>
      <c r="BK329" s="1399"/>
      <c r="XDW329" s="1630"/>
      <c r="XDX329" s="1631"/>
      <c r="XDY329" s="1633"/>
      <c r="XDZ329" s="1631"/>
      <c r="XEA329" s="1634"/>
      <c r="XEB329" s="1631"/>
      <c r="XEC329" s="1635"/>
      <c r="XED329" s="1636"/>
      <c r="XEE329" s="1637"/>
      <c r="XEF329" s="1638"/>
      <c r="XEG329" s="1636"/>
      <c r="XEH329" s="1636"/>
      <c r="XEI329" s="1554"/>
      <c r="XEJ329" s="1640"/>
      <c r="XEK329" s="1640"/>
      <c r="XEL329" s="1641"/>
      <c r="XEM329" s="1642"/>
      <c r="XEN329" s="1443"/>
      <c r="XEO329" s="1444"/>
      <c r="XEP329" s="1445"/>
      <c r="XEQ329" s="1444"/>
      <c r="XER329" s="1446"/>
      <c r="XES329" s="1444"/>
      <c r="XET329" s="1448"/>
      <c r="XEU329" s="1447"/>
      <c r="XEV329" s="1462"/>
      <c r="XEW329" s="1457"/>
      <c r="XEX329" s="1458"/>
      <c r="XEY329" s="1458"/>
      <c r="XEZ329" s="1459"/>
      <c r="XFA329" s="1460"/>
      <c r="XFB329" s="1460"/>
      <c r="XFC329" s="1463"/>
      <c r="XFD329" s="1473"/>
    </row>
    <row r="330" s="1052" customFormat="1" ht="31" customHeight="1" spans="1:16384">
      <c r="A330" s="1443">
        <v>46055</v>
      </c>
      <c r="B330" s="1444" t="s">
        <v>918</v>
      </c>
      <c r="C330" s="1445" t="s">
        <v>123</v>
      </c>
      <c r="D330" s="1444">
        <v>4500192931</v>
      </c>
      <c r="E330" s="1446">
        <v>4400536133</v>
      </c>
      <c r="F330" s="1444" t="s">
        <v>3073</v>
      </c>
      <c r="G330" s="1448"/>
      <c r="H330" s="1447" t="s">
        <v>2310</v>
      </c>
      <c r="I330" s="1462" t="s">
        <v>2663</v>
      </c>
      <c r="J330" s="1457">
        <v>1200</v>
      </c>
      <c r="K330" s="1458">
        <v>0</v>
      </c>
      <c r="L330" s="1458">
        <v>12</v>
      </c>
      <c r="M330" s="1459">
        <f t="shared" si="96"/>
        <v>100</v>
      </c>
      <c r="N330" s="1546">
        <v>46122</v>
      </c>
      <c r="O330" s="1546">
        <v>46118</v>
      </c>
      <c r="P330" s="1463"/>
      <c r="Q330" s="1473"/>
      <c r="R330" s="1474"/>
      <c r="S330" s="1475" t="s">
        <v>1427</v>
      </c>
      <c r="T330" s="1476"/>
      <c r="U330" s="1477" t="s">
        <v>2898</v>
      </c>
      <c r="V330" s="1478" t="s">
        <v>2659</v>
      </c>
      <c r="W330" s="1479" t="s">
        <v>2903</v>
      </c>
      <c r="X330" s="1480" t="s">
        <v>953</v>
      </c>
      <c r="Y330" s="1489">
        <v>2.8454</v>
      </c>
      <c r="Z330" s="1490">
        <f t="shared" si="97"/>
        <v>3414.48</v>
      </c>
      <c r="AA330" s="1491"/>
      <c r="AB330" s="1492"/>
      <c r="AC330" s="1492"/>
      <c r="AD330" s="1493"/>
      <c r="AE330" s="1491"/>
      <c r="AF330" s="1494"/>
      <c r="AG330" s="1494"/>
      <c r="AH330" s="1217"/>
      <c r="AI330" s="1217"/>
      <c r="AJ330" s="1217">
        <f>J330</f>
        <v>1200</v>
      </c>
      <c r="AK330" s="1375"/>
      <c r="AL330" s="1596"/>
      <c r="AM330" s="1596"/>
      <c r="AN330" s="1596"/>
      <c r="AO330" s="1596"/>
      <c r="AP330" s="1596"/>
      <c r="AQ330" s="1596"/>
      <c r="AR330" s="1503">
        <f>J330</f>
        <v>1200</v>
      </c>
      <c r="AS330" s="1596"/>
      <c r="AT330" s="1399"/>
      <c r="AU330" s="1399"/>
      <c r="AV330" s="1399"/>
      <c r="AW330" s="1509"/>
      <c r="AX330" s="1596"/>
      <c r="AY330" s="1596"/>
      <c r="AZ330" s="1596"/>
      <c r="BA330" s="1617">
        <f>J330</f>
        <v>1200</v>
      </c>
      <c r="BB330" s="1509"/>
      <c r="BC330" s="1509"/>
      <c r="BD330" s="1509"/>
      <c r="BE330" s="1509"/>
      <c r="BF330" s="1514"/>
      <c r="BG330" s="1509"/>
      <c r="BI330" s="1399"/>
      <c r="BJ330" s="1399"/>
      <c r="BK330" s="1399"/>
      <c r="XDW330" s="1630"/>
      <c r="XDX330" s="1631"/>
      <c r="XDY330" s="1633"/>
      <c r="XDZ330" s="1631"/>
      <c r="XEA330" s="1634"/>
      <c r="XEB330" s="1631"/>
      <c r="XEC330" s="1635"/>
      <c r="XED330" s="1636"/>
      <c r="XEE330" s="1637"/>
      <c r="XEF330" s="1638"/>
      <c r="XEG330" s="1636"/>
      <c r="XEH330" s="1636"/>
      <c r="XEI330" s="1554"/>
      <c r="XEJ330" s="1640"/>
      <c r="XEK330" s="1640"/>
      <c r="XEL330" s="1641"/>
      <c r="XEM330" s="1642"/>
      <c r="XEN330" s="1443"/>
      <c r="XEO330" s="1444"/>
      <c r="XEP330" s="1445"/>
      <c r="XEQ330" s="1444"/>
      <c r="XER330" s="1446"/>
      <c r="XES330" s="1444"/>
      <c r="XET330" s="1448"/>
      <c r="XEU330" s="1447"/>
      <c r="XEV330" s="1462"/>
      <c r="XEW330" s="1457"/>
      <c r="XEX330" s="1458"/>
      <c r="XEY330" s="1458"/>
      <c r="XEZ330" s="1459"/>
      <c r="XFA330" s="1460"/>
      <c r="XFB330" s="1460"/>
      <c r="XFC330" s="1463"/>
      <c r="XFD330" s="1473"/>
    </row>
    <row r="331" s="1052" customFormat="1" ht="31" customHeight="1" spans="1:63">
      <c r="A331" s="1443"/>
      <c r="B331" s="1444"/>
      <c r="C331" s="1445"/>
      <c r="D331" s="1444"/>
      <c r="E331" s="1509"/>
      <c r="F331" s="1444"/>
      <c r="G331" s="1444"/>
      <c r="H331" s="1444"/>
      <c r="I331" s="1445"/>
      <c r="J331" s="1444"/>
      <c r="K331" s="1444"/>
      <c r="L331" s="1444"/>
      <c r="M331" s="1560"/>
      <c r="N331" s="1561"/>
      <c r="O331" s="1494"/>
      <c r="P331" s="1562"/>
      <c r="Q331" s="1473"/>
      <c r="R331" s="1474"/>
      <c r="S331" s="1475"/>
      <c r="T331" s="1570"/>
      <c r="U331" s="1570"/>
      <c r="V331" s="1571"/>
      <c r="W331" s="1508"/>
      <c r="X331" s="1572"/>
      <c r="Y331" s="1489"/>
      <c r="Z331" s="1584"/>
      <c r="AA331" s="1195"/>
      <c r="AB331" s="1195"/>
      <c r="AC331" s="1195"/>
      <c r="AD331" s="1195"/>
      <c r="AE331" s="1195"/>
      <c r="AF331" s="1195"/>
      <c r="AG331" s="1195"/>
      <c r="AH331" s="1195"/>
      <c r="AI331" s="1597"/>
      <c r="AJ331" s="1597"/>
      <c r="AK331" s="1598"/>
      <c r="AL331" s="1599" t="s">
        <v>3074</v>
      </c>
      <c r="AM331" s="1600"/>
      <c r="AN331" s="1600"/>
      <c r="AO331" s="1611"/>
      <c r="AP331" s="1599"/>
      <c r="AQ331" s="1612"/>
      <c r="AR331" s="1494"/>
      <c r="AS331" s="1613"/>
      <c r="AT331" s="1613"/>
      <c r="AU331" s="1614"/>
      <c r="AV331" s="1614"/>
      <c r="AW331" s="1618"/>
      <c r="AX331" s="1619"/>
      <c r="AY331" s="1613"/>
      <c r="AZ331" s="1613"/>
      <c r="BA331" s="1597"/>
      <c r="BB331" s="1597"/>
      <c r="BC331" s="1503"/>
      <c r="BD331" s="1618"/>
      <c r="BE331" s="1513"/>
      <c r="BF331" s="1513"/>
      <c r="BG331" s="1514"/>
      <c r="BH331" s="1621"/>
      <c r="BI331" s="1622"/>
      <c r="BJ331" s="1623"/>
      <c r="BK331" s="1624"/>
    </row>
    <row r="332" s="1056" customFormat="1" ht="31" customHeight="1" spans="1:63">
      <c r="A332" s="1549"/>
      <c r="B332" s="1550"/>
      <c r="C332" s="1551"/>
      <c r="D332" s="1552"/>
      <c r="E332" s="1553"/>
      <c r="F332" s="1550"/>
      <c r="G332" s="1550"/>
      <c r="H332" s="1552"/>
      <c r="I332" s="1563" t="s">
        <v>1441</v>
      </c>
      <c r="J332" s="1563">
        <f>SUM(J4:J331)</f>
        <v>516292</v>
      </c>
      <c r="K332" s="1552"/>
      <c r="L332" s="1552"/>
      <c r="M332" s="1560"/>
      <c r="N332" s="1564"/>
      <c r="O332" s="1560"/>
      <c r="P332" s="1562"/>
      <c r="Q332" s="1473"/>
      <c r="R332" s="1473"/>
      <c r="S332" s="1573"/>
      <c r="T332" s="1562"/>
      <c r="U332" s="1562"/>
      <c r="V332" s="1574"/>
      <c r="W332" s="1575"/>
      <c r="X332" s="1576"/>
      <c r="Y332" s="1585"/>
      <c r="Z332" s="1586">
        <f>SUM(Z4:Z331)*7.75</f>
        <v>9959972.299</v>
      </c>
      <c r="AA332" s="1587"/>
      <c r="AB332" s="1588"/>
      <c r="AC332" s="1588"/>
      <c r="AD332" s="1589"/>
      <c r="AE332" s="1587"/>
      <c r="AF332" s="1590"/>
      <c r="AG332" s="1560"/>
      <c r="AH332" s="1601">
        <f>SUM(AH3:AH331)</f>
        <v>182452.333333333</v>
      </c>
      <c r="AI332" s="1601">
        <f>SUM(AI3:AI331)</f>
        <v>167320.333333333</v>
      </c>
      <c r="AJ332" s="1601">
        <f>SUM(AJ3:AJ331)</f>
        <v>162447.333333333</v>
      </c>
      <c r="AK332" s="1602">
        <f>SUM(AK3:AK3)</f>
        <v>0</v>
      </c>
      <c r="AL332" s="1603">
        <f>SUM(AL3:AL331)</f>
        <v>0</v>
      </c>
      <c r="AM332" s="1603">
        <f>SUM(AM3:AM331)</f>
        <v>0</v>
      </c>
      <c r="AN332" s="1604">
        <f>SUM(AN3:AN3)</f>
        <v>0</v>
      </c>
      <c r="AO332" s="1603">
        <f t="shared" ref="AO332:BG332" si="101">SUM(AO3:AO331)</f>
        <v>0</v>
      </c>
      <c r="AP332" s="1603">
        <f t="shared" si="101"/>
        <v>0</v>
      </c>
      <c r="AQ332" s="1603">
        <f t="shared" si="101"/>
        <v>0</v>
      </c>
      <c r="AR332" s="1615">
        <f t="shared" si="101"/>
        <v>412476</v>
      </c>
      <c r="AS332" s="1603">
        <f t="shared" si="101"/>
        <v>0</v>
      </c>
      <c r="AT332" s="1603">
        <f t="shared" si="101"/>
        <v>0</v>
      </c>
      <c r="AU332" s="1603">
        <f t="shared" si="101"/>
        <v>0</v>
      </c>
      <c r="AV332" s="1603">
        <f t="shared" si="101"/>
        <v>0</v>
      </c>
      <c r="AW332" s="1615">
        <f t="shared" si="101"/>
        <v>267778</v>
      </c>
      <c r="AX332" s="1603">
        <f t="shared" si="101"/>
        <v>0</v>
      </c>
      <c r="AY332" s="1603">
        <f t="shared" si="101"/>
        <v>0</v>
      </c>
      <c r="AZ332" s="1603">
        <f t="shared" si="101"/>
        <v>0</v>
      </c>
      <c r="BA332" s="1615">
        <f t="shared" si="101"/>
        <v>75438</v>
      </c>
      <c r="BB332" s="1615">
        <f t="shared" si="101"/>
        <v>0</v>
      </c>
      <c r="BC332" s="1615">
        <f t="shared" si="101"/>
        <v>99216</v>
      </c>
      <c r="BD332" s="1615">
        <f t="shared" si="101"/>
        <v>3216</v>
      </c>
      <c r="BE332" s="1615">
        <f t="shared" si="101"/>
        <v>22400</v>
      </c>
      <c r="BF332" s="1615">
        <f t="shared" si="101"/>
        <v>143388</v>
      </c>
      <c r="BG332" s="1615">
        <f t="shared" si="101"/>
        <v>0</v>
      </c>
      <c r="BH332" s="1625"/>
      <c r="BI332" s="1626"/>
      <c r="BJ332" s="1082"/>
      <c r="BK332" s="1083"/>
    </row>
    <row r="333" s="1056" customFormat="1" customHeight="1" spans="1:63">
      <c r="A333" s="1554"/>
      <c r="B333" s="1052"/>
      <c r="C333" s="1555"/>
      <c r="D333" s="1050"/>
      <c r="E333" s="1052"/>
      <c r="F333" s="1052"/>
      <c r="G333" s="1052"/>
      <c r="H333" s="1050"/>
      <c r="I333" s="1050"/>
      <c r="J333" s="1050"/>
      <c r="K333" s="1050"/>
      <c r="L333" s="1050"/>
      <c r="M333" s="1554"/>
      <c r="N333" s="1565"/>
      <c r="O333" s="1554"/>
      <c r="P333" s="1566"/>
      <c r="Q333" s="1577"/>
      <c r="R333" s="1577"/>
      <c r="S333" s="1578"/>
      <c r="T333" s="1566"/>
      <c r="U333" s="1566"/>
      <c r="V333" s="1579"/>
      <c r="W333" s="1580"/>
      <c r="X333" s="1554"/>
      <c r="Y333" s="1591"/>
      <c r="Z333" s="1592"/>
      <c r="AA333" s="1593"/>
      <c r="AB333" s="1566"/>
      <c r="AC333" s="1566"/>
      <c r="AD333" s="1593"/>
      <c r="AE333" s="1593"/>
      <c r="AF333" s="1594"/>
      <c r="AG333" s="1554"/>
      <c r="AH333" s="1605">
        <v>4072440.33333333</v>
      </c>
      <c r="AI333" s="1605">
        <v>3145640.33333333</v>
      </c>
      <c r="AJ333" s="1605">
        <v>2961243.33333333</v>
      </c>
      <c r="AK333" s="1606"/>
      <c r="AL333" s="1606"/>
      <c r="AM333" s="1606"/>
      <c r="AN333" s="1607"/>
      <c r="AO333" s="1607"/>
      <c r="AP333" s="1607"/>
      <c r="AQ333" s="1607"/>
      <c r="AR333" s="1616"/>
      <c r="AS333" s="1606"/>
      <c r="AT333" s="1606"/>
      <c r="AU333" s="1606"/>
      <c r="AV333" s="1606"/>
      <c r="AW333" s="1620"/>
      <c r="AX333" s="1607"/>
      <c r="AY333" s="1607"/>
      <c r="AZ333" s="1607"/>
      <c r="BA333" s="1616"/>
      <c r="BB333" s="1605"/>
      <c r="BC333" s="1605"/>
      <c r="BD333" s="1620"/>
      <c r="BE333" s="1605"/>
      <c r="BF333" s="1627"/>
      <c r="BG333" s="1628"/>
      <c r="BH333" s="1060"/>
      <c r="BI333" s="1081"/>
      <c r="BJ333" s="1082"/>
      <c r="BK333" s="1083"/>
    </row>
    <row r="334" s="1057" customFormat="1" customHeight="1" spans="1:63">
      <c r="A334" s="1556"/>
      <c r="F334" s="1557"/>
      <c r="M334" s="1556"/>
      <c r="N334" s="1556"/>
      <c r="O334" s="1556"/>
      <c r="P334" s="1556"/>
      <c r="Q334" s="1556"/>
      <c r="R334" s="1556"/>
      <c r="S334" s="1581"/>
      <c r="T334" s="1556"/>
      <c r="U334" s="1556"/>
      <c r="V334" s="1556"/>
      <c r="W334" s="1568"/>
      <c r="X334" s="1556"/>
      <c r="Y334" s="1556"/>
      <c r="Z334" s="1556"/>
      <c r="AA334" s="1556"/>
      <c r="AB334" s="1556"/>
      <c r="AC334" s="1556"/>
      <c r="AD334" s="1556"/>
      <c r="AE334" s="1556"/>
      <c r="AF334" s="1556"/>
      <c r="AG334" s="1556"/>
      <c r="AH334" s="1608">
        <f>SUM(AH4:AH108)</f>
        <v>89709</v>
      </c>
      <c r="AI334" s="1608">
        <f>SUM(AI4:AI108)</f>
        <v>64005</v>
      </c>
      <c r="AJ334" s="1608">
        <f>SUM(AJ4:AJ108)</f>
        <v>64700</v>
      </c>
      <c r="AK334" s="1608">
        <f t="shared" ref="AI334:AR334" si="102">SUM(AK4:AK84)</f>
        <v>0</v>
      </c>
      <c r="AL334" s="1608">
        <f t="shared" si="102"/>
        <v>0</v>
      </c>
      <c r="AM334" s="1608">
        <f t="shared" si="102"/>
        <v>0</v>
      </c>
      <c r="AN334" s="1608">
        <f t="shared" si="102"/>
        <v>0</v>
      </c>
      <c r="AO334" s="1608">
        <f t="shared" si="102"/>
        <v>0</v>
      </c>
      <c r="AP334" s="1608">
        <f t="shared" si="102"/>
        <v>0</v>
      </c>
      <c r="AQ334" s="1608">
        <f t="shared" si="102"/>
        <v>0</v>
      </c>
      <c r="AR334" s="1608"/>
      <c r="AS334" s="1609"/>
      <c r="AT334" s="1609"/>
      <c r="AU334" s="1609"/>
      <c r="AV334" s="1609"/>
      <c r="AW334" s="1556"/>
      <c r="AX334" s="1609"/>
      <c r="AY334" s="1609"/>
      <c r="AZ334" s="1609"/>
      <c r="BA334" s="1556"/>
      <c r="BB334" s="1556"/>
      <c r="BC334" s="1556"/>
      <c r="BD334" s="1556"/>
      <c r="BE334" s="1556"/>
      <c r="BF334" s="1556"/>
      <c r="BG334" s="1556"/>
      <c r="BI334" s="1629"/>
      <c r="BJ334" s="1629"/>
      <c r="BK334" s="1629"/>
    </row>
    <row r="335" s="1057" customFormat="1" customHeight="1" spans="1:63">
      <c r="A335" s="1556"/>
      <c r="F335" s="1557"/>
      <c r="M335" s="1556"/>
      <c r="N335" s="1556"/>
      <c r="O335" s="1556"/>
      <c r="P335" s="1556"/>
      <c r="Q335" s="1556"/>
      <c r="R335" s="1556"/>
      <c r="S335" s="1581"/>
      <c r="T335" s="1556"/>
      <c r="U335" s="1556"/>
      <c r="V335" s="1556"/>
      <c r="W335" s="1568"/>
      <c r="X335" s="1556"/>
      <c r="Y335" s="1556"/>
      <c r="Z335" s="1556"/>
      <c r="AA335" s="1556"/>
      <c r="AB335" s="1556"/>
      <c r="AC335" s="1556"/>
      <c r="AD335" s="1556"/>
      <c r="AE335" s="1556"/>
      <c r="AF335" s="1556"/>
      <c r="AG335" s="1556"/>
      <c r="AH335" s="1556">
        <f>AH333+AH334</f>
        <v>4162149.33333333</v>
      </c>
      <c r="AI335" s="1556">
        <f>AI333+AI334</f>
        <v>3209645.33333333</v>
      </c>
      <c r="AJ335" s="1556">
        <f>AJ333+AJ334</f>
        <v>3025943.33333333</v>
      </c>
      <c r="AK335" s="1609"/>
      <c r="AL335" s="1609"/>
      <c r="AM335" s="1609"/>
      <c r="AN335" s="1609"/>
      <c r="AO335" s="1609"/>
      <c r="AP335" s="1609"/>
      <c r="AQ335" s="1609"/>
      <c r="AR335" s="1556"/>
      <c r="AS335" s="1609"/>
      <c r="AT335" s="1609"/>
      <c r="AU335" s="1609"/>
      <c r="AV335" s="1609"/>
      <c r="AW335" s="1556"/>
      <c r="AX335" s="1609"/>
      <c r="AY335" s="1609"/>
      <c r="AZ335" s="1609"/>
      <c r="BA335" s="1556"/>
      <c r="BB335" s="1556"/>
      <c r="BC335" s="1556"/>
      <c r="BD335" s="1556"/>
      <c r="BE335" s="1556"/>
      <c r="BF335" s="1556"/>
      <c r="BG335" s="1556"/>
      <c r="BI335" s="1629"/>
      <c r="BJ335" s="1629"/>
      <c r="BK335" s="1629"/>
    </row>
    <row r="336" s="1057" customFormat="1" customHeight="1" spans="1:63">
      <c r="A336" s="1556"/>
      <c r="M336" s="1556"/>
      <c r="N336" s="1556"/>
      <c r="O336" s="1556"/>
      <c r="P336" s="1556"/>
      <c r="Q336" s="1556"/>
      <c r="R336" s="1556"/>
      <c r="S336" s="1581"/>
      <c r="T336" s="1556"/>
      <c r="U336" s="1556"/>
      <c r="V336" s="1556"/>
      <c r="W336" s="1582"/>
      <c r="X336" s="1556"/>
      <c r="Y336" s="1556"/>
      <c r="Z336" s="1556"/>
      <c r="AA336" s="1556"/>
      <c r="AB336" s="1556"/>
      <c r="AC336" s="1556"/>
      <c r="AD336" s="1556"/>
      <c r="AE336" s="1556"/>
      <c r="AF336" s="1556"/>
      <c r="AG336" s="1556"/>
      <c r="AH336" s="1556"/>
      <c r="AI336" s="1556"/>
      <c r="AJ336" s="1556"/>
      <c r="AK336" s="1610"/>
      <c r="AL336" s="1610"/>
      <c r="AM336" s="1610"/>
      <c r="AN336" s="1610"/>
      <c r="AO336" s="1610"/>
      <c r="AP336" s="1610"/>
      <c r="AQ336" s="1610"/>
      <c r="AR336" s="1556"/>
      <c r="AS336" s="1610"/>
      <c r="AT336" s="1610"/>
      <c r="AU336" s="1610"/>
      <c r="AV336" s="1610"/>
      <c r="AW336" s="1556"/>
      <c r="AX336" s="1610"/>
      <c r="AY336" s="1610"/>
      <c r="AZ336" s="1610"/>
      <c r="BA336" s="1556"/>
      <c r="BB336" s="1556"/>
      <c r="BC336" s="1556"/>
      <c r="BD336" s="1556"/>
      <c r="BE336" s="1556"/>
      <c r="BF336" s="1556"/>
      <c r="BG336" s="1556"/>
      <c r="BI336" s="1629"/>
      <c r="BJ336" s="1629"/>
      <c r="BK336" s="1629"/>
    </row>
    <row r="337" s="291" customFormat="1" customHeight="1" spans="11:63">
      <c r="K337" s="291">
        <v>182612</v>
      </c>
      <c r="S337" s="1583"/>
      <c r="AK337"/>
      <c r="AL337"/>
      <c r="AM337"/>
      <c r="AN337"/>
      <c r="AO337"/>
      <c r="AP337"/>
      <c r="AQ337"/>
      <c r="AS337"/>
      <c r="AT337"/>
      <c r="AU337"/>
      <c r="AV337"/>
      <c r="AX337"/>
      <c r="AY337"/>
      <c r="AZ337"/>
      <c r="BI337"/>
      <c r="BJ337"/>
      <c r="BK337"/>
    </row>
    <row r="338" s="291" customFormat="1" customHeight="1" spans="19:63">
      <c r="S338" s="1583"/>
      <c r="AK338"/>
      <c r="AL338"/>
      <c r="AM338"/>
      <c r="AN338"/>
      <c r="AO338"/>
      <c r="AP338"/>
      <c r="AQ338"/>
      <c r="AS338"/>
      <c r="AT338"/>
      <c r="AU338"/>
      <c r="AV338"/>
      <c r="AX338"/>
      <c r="AY338"/>
      <c r="AZ338"/>
      <c r="BI338"/>
      <c r="BJ338"/>
      <c r="BK338"/>
    </row>
    <row r="339" s="1057" customFormat="1" customHeight="1" spans="1:63">
      <c r="A339" s="1556"/>
      <c r="M339" s="1556"/>
      <c r="N339" s="1556"/>
      <c r="O339" s="1556"/>
      <c r="P339" s="1556"/>
      <c r="Q339" s="1556"/>
      <c r="R339" s="1556"/>
      <c r="S339" s="1581"/>
      <c r="T339" s="1556"/>
      <c r="U339" s="1556"/>
      <c r="V339" s="1556"/>
      <c r="W339" s="1556"/>
      <c r="X339" s="1556"/>
      <c r="Y339" s="1556"/>
      <c r="Z339" s="1556"/>
      <c r="AA339" s="1556"/>
      <c r="AB339" s="1556"/>
      <c r="AC339" s="1556"/>
      <c r="AD339" s="1556"/>
      <c r="AE339" s="1556"/>
      <c r="AF339" s="1556"/>
      <c r="AG339" s="1556"/>
      <c r="AH339" s="1556"/>
      <c r="AI339" s="1556"/>
      <c r="AJ339" s="1556"/>
      <c r="AK339" s="1610"/>
      <c r="AL339" s="1610"/>
      <c r="AM339" s="1610"/>
      <c r="AN339" s="1610"/>
      <c r="AO339" s="1610"/>
      <c r="AP339" s="1610"/>
      <c r="AQ339" s="1610"/>
      <c r="AR339" s="1556"/>
      <c r="AS339" s="1610"/>
      <c r="AT339" s="1610"/>
      <c r="AU339" s="1610"/>
      <c r="AV339" s="1610"/>
      <c r="AW339" s="1556"/>
      <c r="AX339" s="1610"/>
      <c r="AY339" s="1610"/>
      <c r="AZ339" s="1610"/>
      <c r="BA339" s="1556"/>
      <c r="BB339" s="1556"/>
      <c r="BC339" s="1556"/>
      <c r="BD339" s="1556"/>
      <c r="BE339" s="1556"/>
      <c r="BF339" s="1556"/>
      <c r="BG339" s="1556"/>
      <c r="BI339" s="1629"/>
      <c r="BJ339" s="1629"/>
      <c r="BK339" s="1629"/>
    </row>
    <row r="340" s="1057" customFormat="1" customHeight="1" spans="1:63">
      <c r="A340" s="1556"/>
      <c r="M340" s="1556"/>
      <c r="N340" s="1556"/>
      <c r="O340" s="1556"/>
      <c r="P340" s="1556"/>
      <c r="Q340" s="1556"/>
      <c r="R340" s="1556"/>
      <c r="S340" s="1581"/>
      <c r="T340" s="1556"/>
      <c r="U340" s="1556"/>
      <c r="V340" s="1556"/>
      <c r="W340" s="1556"/>
      <c r="X340" s="1556"/>
      <c r="Y340" s="1556"/>
      <c r="Z340" s="1556"/>
      <c r="AA340" s="1556"/>
      <c r="AB340" s="1556"/>
      <c r="AC340" s="1556"/>
      <c r="AD340" s="1556"/>
      <c r="AE340" s="1556"/>
      <c r="AF340" s="1556"/>
      <c r="AG340" s="1556"/>
      <c r="AH340" s="1556"/>
      <c r="AI340" s="1556"/>
      <c r="AJ340" s="1556"/>
      <c r="AK340" s="1610"/>
      <c r="AL340" s="1610"/>
      <c r="AM340" s="1610"/>
      <c r="AN340" s="1610"/>
      <c r="AO340" s="1610"/>
      <c r="AP340" s="1610"/>
      <c r="AQ340" s="1610"/>
      <c r="AR340" s="1556"/>
      <c r="AS340" s="1610"/>
      <c r="AT340" s="1610"/>
      <c r="AU340" s="1610"/>
      <c r="AV340" s="1610"/>
      <c r="AW340" s="1556"/>
      <c r="AX340" s="1610"/>
      <c r="AY340" s="1610"/>
      <c r="AZ340" s="1610"/>
      <c r="BA340" s="1556"/>
      <c r="BB340" s="1556"/>
      <c r="BC340" s="1556"/>
      <c r="BD340" s="1556"/>
      <c r="BE340" s="1556"/>
      <c r="BF340" s="1556"/>
      <c r="BG340" s="1556"/>
      <c r="BI340" s="1629"/>
      <c r="BJ340" s="1629"/>
      <c r="BK340" s="1629"/>
    </row>
    <row r="341" s="1057" customFormat="1" customHeight="1" spans="1:63">
      <c r="A341" s="1556"/>
      <c r="M341" s="1556"/>
      <c r="N341" s="1556"/>
      <c r="O341" s="1556"/>
      <c r="P341" s="1556"/>
      <c r="Q341" s="1556"/>
      <c r="R341" s="1556"/>
      <c r="S341" s="1581"/>
      <c r="T341" s="1556"/>
      <c r="U341" s="1556"/>
      <c r="V341" s="1556"/>
      <c r="W341" s="1556"/>
      <c r="X341" s="1556"/>
      <c r="Y341" s="1556"/>
      <c r="Z341" s="1556"/>
      <c r="AA341" s="1556"/>
      <c r="AB341" s="1556"/>
      <c r="AC341" s="1556"/>
      <c r="AD341" s="1556"/>
      <c r="AE341" s="1556"/>
      <c r="AF341" s="1556"/>
      <c r="AG341" s="1556"/>
      <c r="AH341" s="1556"/>
      <c r="AI341" s="1556"/>
      <c r="AJ341" s="1556"/>
      <c r="AK341" s="1610"/>
      <c r="AL341" s="1610"/>
      <c r="AM341" s="1610"/>
      <c r="AN341" s="1610"/>
      <c r="AO341" s="1610"/>
      <c r="AP341" s="1610"/>
      <c r="AQ341" s="1610"/>
      <c r="AR341" s="1556"/>
      <c r="AS341" s="1610"/>
      <c r="AT341" s="1610"/>
      <c r="AU341" s="1610"/>
      <c r="AV341" s="1610"/>
      <c r="AW341" s="1556"/>
      <c r="AX341" s="1610"/>
      <c r="AY341" s="1610"/>
      <c r="AZ341" s="1610"/>
      <c r="BA341" s="1556"/>
      <c r="BB341" s="1556"/>
      <c r="BC341" s="1556"/>
      <c r="BD341" s="1556"/>
      <c r="BE341" s="1556"/>
      <c r="BF341" s="1556"/>
      <c r="BG341" s="1556"/>
      <c r="BI341" s="1629"/>
      <c r="BJ341" s="1629"/>
      <c r="BK341" s="1629"/>
    </row>
    <row r="342" s="1057" customFormat="1" customHeight="1" spans="1:63">
      <c r="A342" s="1556"/>
      <c r="M342" s="1556"/>
      <c r="N342" s="1556"/>
      <c r="O342" s="1556"/>
      <c r="P342" s="1556"/>
      <c r="Q342" s="1556"/>
      <c r="R342" s="1556"/>
      <c r="S342" s="1581"/>
      <c r="T342" s="1556"/>
      <c r="U342" s="1556"/>
      <c r="V342" s="1556"/>
      <c r="W342" s="1556"/>
      <c r="X342" s="1556"/>
      <c r="Y342" s="1556"/>
      <c r="Z342" s="1556"/>
      <c r="AA342" s="1556"/>
      <c r="AB342" s="1556"/>
      <c r="AC342" s="1556"/>
      <c r="AD342" s="1556"/>
      <c r="AE342" s="1556"/>
      <c r="AF342" s="1556"/>
      <c r="AG342" s="1556"/>
      <c r="AH342" s="1556"/>
      <c r="AI342" s="1556"/>
      <c r="AJ342" s="1556"/>
      <c r="AK342" s="1610"/>
      <c r="AL342" s="1610"/>
      <c r="AM342" s="1610"/>
      <c r="AN342" s="1610"/>
      <c r="AO342" s="1610"/>
      <c r="AP342" s="1610"/>
      <c r="AQ342" s="1610"/>
      <c r="AR342" s="1556"/>
      <c r="AS342" s="1610"/>
      <c r="AT342" s="1610"/>
      <c r="AU342" s="1610"/>
      <c r="AV342" s="1610"/>
      <c r="AW342" s="1556"/>
      <c r="AX342" s="1610"/>
      <c r="AY342" s="1610"/>
      <c r="AZ342" s="1610"/>
      <c r="BA342" s="1556"/>
      <c r="BB342" s="1556"/>
      <c r="BC342" s="1556"/>
      <c r="BD342" s="1556"/>
      <c r="BE342" s="1556"/>
      <c r="BF342" s="1556"/>
      <c r="BG342" s="1556"/>
      <c r="BI342" s="1629"/>
      <c r="BJ342" s="1629"/>
      <c r="BK342" s="1629"/>
    </row>
    <row r="343" s="1057" customFormat="1" customHeight="1" spans="1:63">
      <c r="A343" s="1556"/>
      <c r="M343" s="1556"/>
      <c r="N343" s="1556"/>
      <c r="O343" s="1556"/>
      <c r="P343" s="1556"/>
      <c r="Q343" s="1556"/>
      <c r="R343" s="1556"/>
      <c r="S343" s="1581"/>
      <c r="T343" s="1556"/>
      <c r="U343" s="1556"/>
      <c r="V343" s="1556"/>
      <c r="W343" s="1556"/>
      <c r="X343" s="1556"/>
      <c r="Y343" s="1556"/>
      <c r="Z343" s="1556"/>
      <c r="AA343" s="1556"/>
      <c r="AB343" s="1556"/>
      <c r="AC343" s="1556"/>
      <c r="AD343" s="1556"/>
      <c r="AE343" s="1556"/>
      <c r="AF343" s="1556"/>
      <c r="AG343" s="1556"/>
      <c r="AH343" s="1556"/>
      <c r="AI343" s="1556"/>
      <c r="AJ343" s="1556"/>
      <c r="AK343" s="1610"/>
      <c r="AL343" s="1610"/>
      <c r="AM343" s="1610"/>
      <c r="AN343" s="1610"/>
      <c r="AO343" s="1610"/>
      <c r="AP343" s="1610"/>
      <c r="AQ343" s="1610"/>
      <c r="AR343" s="1556"/>
      <c r="AS343" s="1610"/>
      <c r="AT343" s="1610"/>
      <c r="AU343" s="1610"/>
      <c r="AV343" s="1610"/>
      <c r="AW343" s="1556"/>
      <c r="AX343" s="1610"/>
      <c r="AY343" s="1610"/>
      <c r="AZ343" s="1610"/>
      <c r="BA343" s="1556"/>
      <c r="BB343" s="1556"/>
      <c r="BC343" s="1556"/>
      <c r="BD343" s="1556"/>
      <c r="BE343" s="1556"/>
      <c r="BF343" s="1556"/>
      <c r="BG343" s="1556"/>
      <c r="BI343" s="1629"/>
      <c r="BJ343" s="1629"/>
      <c r="BK343" s="1629"/>
    </row>
    <row r="344" s="1057" customFormat="1" customHeight="1" spans="1:63">
      <c r="A344" s="1556"/>
      <c r="M344" s="1556"/>
      <c r="N344" s="1556"/>
      <c r="O344" s="1556"/>
      <c r="P344" s="1556"/>
      <c r="Q344" s="1556"/>
      <c r="R344" s="1556"/>
      <c r="S344" s="1581"/>
      <c r="T344" s="1556"/>
      <c r="U344" s="1556"/>
      <c r="V344" s="1556"/>
      <c r="W344" s="1556"/>
      <c r="X344" s="1556"/>
      <c r="Y344" s="1556"/>
      <c r="Z344" s="1556"/>
      <c r="AA344" s="1556"/>
      <c r="AB344" s="1556"/>
      <c r="AC344" s="1556"/>
      <c r="AD344" s="1556"/>
      <c r="AE344" s="1556"/>
      <c r="AF344" s="1556"/>
      <c r="AG344" s="1556"/>
      <c r="AH344" s="1556"/>
      <c r="AI344" s="1556"/>
      <c r="AJ344" s="1556"/>
      <c r="AK344" s="1610"/>
      <c r="AL344" s="1610"/>
      <c r="AM344" s="1610"/>
      <c r="AN344" s="1610"/>
      <c r="AO344" s="1610"/>
      <c r="AP344" s="1610"/>
      <c r="AQ344" s="1610"/>
      <c r="AR344" s="1556"/>
      <c r="AS344" s="1610"/>
      <c r="AT344" s="1610"/>
      <c r="AU344" s="1610"/>
      <c r="AV344" s="1610"/>
      <c r="AW344" s="1556"/>
      <c r="AX344" s="1610"/>
      <c r="AY344" s="1610"/>
      <c r="AZ344" s="1610"/>
      <c r="BA344" s="1556"/>
      <c r="BB344" s="1556"/>
      <c r="BC344" s="1556"/>
      <c r="BD344" s="1556"/>
      <c r="BE344" s="1556"/>
      <c r="BF344" s="1556"/>
      <c r="BG344" s="1556"/>
      <c r="BI344" s="1629"/>
      <c r="BJ344" s="1629"/>
      <c r="BK344" s="1629"/>
    </row>
    <row r="345" s="1057" customFormat="1" customHeight="1" spans="1:63">
      <c r="A345" s="1556"/>
      <c r="I345" s="1567"/>
      <c r="M345" s="1556"/>
      <c r="N345" s="1556"/>
      <c r="O345" s="1556"/>
      <c r="P345" s="1556"/>
      <c r="Q345" s="1556"/>
      <c r="R345" s="1556"/>
      <c r="S345" s="1581"/>
      <c r="T345" s="1556"/>
      <c r="U345" s="1556"/>
      <c r="V345" s="1556"/>
      <c r="W345" s="1556"/>
      <c r="X345" s="1556"/>
      <c r="Y345" s="1556"/>
      <c r="Z345" s="1556"/>
      <c r="AA345" s="1556"/>
      <c r="AB345" s="1556"/>
      <c r="AC345" s="1556"/>
      <c r="AD345" s="1556"/>
      <c r="AE345" s="1556"/>
      <c r="AF345" s="1556"/>
      <c r="AG345" s="1556"/>
      <c r="AH345" s="1556"/>
      <c r="AI345" s="1556"/>
      <c r="AJ345" s="1556"/>
      <c r="AK345" s="1610"/>
      <c r="AL345" s="1610"/>
      <c r="AM345" s="1610"/>
      <c r="AN345" s="1610"/>
      <c r="AO345" s="1610"/>
      <c r="AP345" s="1610"/>
      <c r="AQ345" s="1610"/>
      <c r="AR345" s="1556"/>
      <c r="AS345" s="1610"/>
      <c r="AT345" s="1610"/>
      <c r="AU345" s="1610"/>
      <c r="AV345" s="1610"/>
      <c r="AW345" s="1556"/>
      <c r="AX345" s="1610"/>
      <c r="AY345" s="1610"/>
      <c r="AZ345" s="1610"/>
      <c r="BA345" s="1556"/>
      <c r="BB345" s="1556"/>
      <c r="BC345" s="1556"/>
      <c r="BD345" s="1556"/>
      <c r="BE345" s="1556"/>
      <c r="BF345" s="1556"/>
      <c r="BG345" s="1556"/>
      <c r="BI345" s="1629"/>
      <c r="BJ345" s="1629"/>
      <c r="BK345" s="1629"/>
    </row>
    <row r="346" s="1057" customFormat="1" customHeight="1" spans="1:63">
      <c r="A346" s="1556"/>
      <c r="F346" s="1557"/>
      <c r="M346" s="1556"/>
      <c r="N346" s="1556"/>
      <c r="O346" s="1556"/>
      <c r="P346" s="1556"/>
      <c r="Q346" s="1556"/>
      <c r="R346" s="1556"/>
      <c r="S346" s="1581"/>
      <c r="T346" s="1556"/>
      <c r="U346" s="1556"/>
      <c r="V346" s="1556"/>
      <c r="W346" s="1568"/>
      <c r="X346" s="1556"/>
      <c r="Y346" s="1556"/>
      <c r="Z346" s="1556"/>
      <c r="AA346" s="1556"/>
      <c r="AB346" s="1556"/>
      <c r="AC346" s="1556"/>
      <c r="AD346" s="1556"/>
      <c r="AE346" s="1556"/>
      <c r="AF346" s="1556"/>
      <c r="AG346" s="1556"/>
      <c r="AH346" s="1556"/>
      <c r="AI346" s="1556"/>
      <c r="AJ346" s="1556"/>
      <c r="AK346" s="1609"/>
      <c r="AL346" s="1609"/>
      <c r="AM346" s="1609"/>
      <c r="AN346" s="1609"/>
      <c r="AO346" s="1609"/>
      <c r="AP346" s="1609"/>
      <c r="AQ346" s="1609"/>
      <c r="AR346" s="1556"/>
      <c r="AS346" s="1609"/>
      <c r="AT346" s="1609"/>
      <c r="AU346" s="1609"/>
      <c r="AV346" s="1609"/>
      <c r="AW346" s="1556"/>
      <c r="AX346" s="1609"/>
      <c r="AY346" s="1609"/>
      <c r="AZ346" s="1609"/>
      <c r="BA346" s="1556"/>
      <c r="BB346" s="1556"/>
      <c r="BC346" s="1556"/>
      <c r="BD346" s="1556"/>
      <c r="BE346" s="1556"/>
      <c r="BF346" s="1556"/>
      <c r="BG346" s="1556"/>
      <c r="BI346" s="1629"/>
      <c r="BJ346" s="1629"/>
      <c r="BK346" s="1629"/>
    </row>
    <row r="347" s="1057" customFormat="1" customHeight="1" spans="1:63">
      <c r="A347" s="1556"/>
      <c r="M347" s="1556"/>
      <c r="N347" s="1556"/>
      <c r="O347" s="1556"/>
      <c r="P347" s="1556"/>
      <c r="Q347" s="1556"/>
      <c r="R347" s="1556"/>
      <c r="S347" s="1581"/>
      <c r="T347" s="1556"/>
      <c r="U347" s="1556"/>
      <c r="V347" s="1556"/>
      <c r="W347" s="1556"/>
      <c r="X347" s="1556"/>
      <c r="Y347" s="1556"/>
      <c r="Z347" s="1556"/>
      <c r="AA347" s="1556"/>
      <c r="AB347" s="1556"/>
      <c r="AC347" s="1556"/>
      <c r="AD347" s="1556"/>
      <c r="AE347" s="1556"/>
      <c r="AF347" s="1556"/>
      <c r="AG347" s="1556"/>
      <c r="AH347" s="1556"/>
      <c r="AI347" s="1556"/>
      <c r="AJ347" s="1556"/>
      <c r="AK347" s="1610"/>
      <c r="AL347" s="1610"/>
      <c r="AM347" s="1610"/>
      <c r="AN347" s="1610"/>
      <c r="AO347" s="1610"/>
      <c r="AP347" s="1610"/>
      <c r="AQ347" s="1610"/>
      <c r="AR347" s="1556"/>
      <c r="AS347" s="1610"/>
      <c r="AT347" s="1610"/>
      <c r="AU347" s="1610"/>
      <c r="AV347" s="1610"/>
      <c r="AW347" s="1556"/>
      <c r="AX347" s="1610"/>
      <c r="AY347" s="1610"/>
      <c r="AZ347" s="1610"/>
      <c r="BA347" s="1556"/>
      <c r="BB347" s="1556"/>
      <c r="BC347" s="1556"/>
      <c r="BD347" s="1556"/>
      <c r="BE347" s="1556"/>
      <c r="BF347" s="1556"/>
      <c r="BG347" s="1556"/>
      <c r="BI347" s="1629"/>
      <c r="BJ347" s="1629"/>
      <c r="BK347" s="1629"/>
    </row>
    <row r="348" s="1057" customFormat="1" customHeight="1" spans="1:63">
      <c r="A348" s="1556"/>
      <c r="M348" s="1556"/>
      <c r="N348" s="1556"/>
      <c r="O348" s="1556"/>
      <c r="P348" s="1556"/>
      <c r="Q348" s="1556"/>
      <c r="R348" s="1556"/>
      <c r="S348" s="1581"/>
      <c r="T348" s="1556"/>
      <c r="U348" s="1556"/>
      <c r="V348" s="1556"/>
      <c r="W348" s="1556"/>
      <c r="X348" s="1556"/>
      <c r="Y348" s="1556"/>
      <c r="Z348" s="1556"/>
      <c r="AA348" s="1556"/>
      <c r="AB348" s="1556"/>
      <c r="AC348" s="1556"/>
      <c r="AD348" s="1556"/>
      <c r="AE348" s="1556"/>
      <c r="AF348" s="1556"/>
      <c r="AG348" s="1556"/>
      <c r="AH348" s="1556"/>
      <c r="AI348" s="1556"/>
      <c r="AJ348" s="1556"/>
      <c r="AK348" s="1610"/>
      <c r="AL348" s="1610"/>
      <c r="AM348" s="1610"/>
      <c r="AN348" s="1610"/>
      <c r="AO348" s="1610"/>
      <c r="AP348" s="1610"/>
      <c r="AQ348" s="1610"/>
      <c r="AR348" s="1556"/>
      <c r="AS348" s="1610"/>
      <c r="AT348" s="1610"/>
      <c r="AU348" s="1610"/>
      <c r="AV348" s="1610"/>
      <c r="AW348" s="1556"/>
      <c r="AX348" s="1610"/>
      <c r="AY348" s="1610"/>
      <c r="AZ348" s="1610"/>
      <c r="BA348" s="1556"/>
      <c r="BB348" s="1556"/>
      <c r="BC348" s="1556"/>
      <c r="BD348" s="1556"/>
      <c r="BE348" s="1556"/>
      <c r="BF348" s="1556"/>
      <c r="BG348" s="1556"/>
      <c r="BI348" s="1629"/>
      <c r="BJ348" s="1629"/>
      <c r="BK348" s="1629"/>
    </row>
    <row r="349" s="1057" customFormat="1" customHeight="1" spans="1:63">
      <c r="A349" s="1556"/>
      <c r="F349" s="1557"/>
      <c r="H349" s="1557"/>
      <c r="M349" s="1556"/>
      <c r="N349" s="1556"/>
      <c r="O349" s="1556"/>
      <c r="P349" s="1556"/>
      <c r="Q349" s="1556"/>
      <c r="R349" s="1556"/>
      <c r="S349" s="1581"/>
      <c r="T349" s="1556"/>
      <c r="U349" s="1556"/>
      <c r="V349" s="1556"/>
      <c r="W349" s="1556"/>
      <c r="X349" s="1556"/>
      <c r="Y349" s="1556"/>
      <c r="Z349" s="1556"/>
      <c r="AA349" s="1556"/>
      <c r="AB349" s="1556"/>
      <c r="AC349" s="1556"/>
      <c r="AD349" s="1556"/>
      <c r="AE349" s="1556"/>
      <c r="AF349" s="1556"/>
      <c r="AG349" s="1556"/>
      <c r="AH349" s="1556"/>
      <c r="AI349" s="1556"/>
      <c r="AJ349" s="1556"/>
      <c r="AK349" s="1610"/>
      <c r="AL349" s="1610"/>
      <c r="AM349" s="1610"/>
      <c r="AN349" s="1610"/>
      <c r="AO349" s="1610"/>
      <c r="AP349" s="1610"/>
      <c r="AQ349" s="1610"/>
      <c r="AR349" s="1556"/>
      <c r="AS349" s="1610"/>
      <c r="AT349" s="1610"/>
      <c r="AU349" s="1610"/>
      <c r="AV349" s="1610"/>
      <c r="AW349" s="1556"/>
      <c r="AX349" s="1610"/>
      <c r="AY349" s="1610"/>
      <c r="AZ349" s="1610"/>
      <c r="BA349" s="1556"/>
      <c r="BB349" s="1556"/>
      <c r="BC349" s="1556"/>
      <c r="BD349" s="1556"/>
      <c r="BE349" s="1556"/>
      <c r="BF349" s="1556"/>
      <c r="BG349" s="1556"/>
      <c r="BI349" s="1629"/>
      <c r="BJ349" s="1629"/>
      <c r="BK349" s="1629"/>
    </row>
    <row r="350" s="1057" customFormat="1" customHeight="1" spans="1:63">
      <c r="A350" s="1556"/>
      <c r="F350" s="1557"/>
      <c r="M350" s="1556"/>
      <c r="N350" s="1568"/>
      <c r="O350" s="1568"/>
      <c r="P350" s="1556"/>
      <c r="Q350" s="1556"/>
      <c r="R350" s="1556"/>
      <c r="S350" s="1581"/>
      <c r="T350" s="1556"/>
      <c r="U350" s="1556"/>
      <c r="V350" s="1556"/>
      <c r="W350" s="1568"/>
      <c r="X350" s="1556"/>
      <c r="Y350" s="1556"/>
      <c r="Z350" s="1556"/>
      <c r="AA350" s="1556"/>
      <c r="AB350" s="1556"/>
      <c r="AC350" s="1556"/>
      <c r="AD350" s="1556"/>
      <c r="AE350" s="1556"/>
      <c r="AF350" s="1556"/>
      <c r="AG350" s="1556"/>
      <c r="AH350" s="1556"/>
      <c r="AI350" s="1556"/>
      <c r="AJ350" s="1556"/>
      <c r="AK350" s="1609"/>
      <c r="AL350" s="1609"/>
      <c r="AM350" s="1609"/>
      <c r="AN350" s="1609"/>
      <c r="AO350" s="1609"/>
      <c r="AP350" s="1609"/>
      <c r="AQ350" s="1609"/>
      <c r="AR350" s="1556"/>
      <c r="AS350" s="1609"/>
      <c r="AT350" s="1609"/>
      <c r="AU350" s="1609"/>
      <c r="AV350" s="1609"/>
      <c r="AW350" s="1556"/>
      <c r="AX350" s="1609"/>
      <c r="AY350" s="1609"/>
      <c r="AZ350" s="1609"/>
      <c r="BA350" s="1556"/>
      <c r="BB350" s="1556"/>
      <c r="BC350" s="1556"/>
      <c r="BD350" s="1556"/>
      <c r="BE350" s="1556"/>
      <c r="BF350" s="1556"/>
      <c r="BG350" s="1556"/>
      <c r="BI350" s="1629"/>
      <c r="BJ350" s="1629"/>
      <c r="BK350" s="1629"/>
    </row>
    <row r="351" s="1057" customFormat="1" customHeight="1" spans="1:63">
      <c r="A351" s="1556"/>
      <c r="F351" s="1557"/>
      <c r="M351" s="1556"/>
      <c r="N351" s="1556"/>
      <c r="O351" s="1556"/>
      <c r="P351" s="1556"/>
      <c r="Q351" s="1556"/>
      <c r="R351" s="1556"/>
      <c r="S351" s="1581"/>
      <c r="T351" s="1556"/>
      <c r="U351" s="1556"/>
      <c r="V351" s="1556"/>
      <c r="W351" s="1556"/>
      <c r="X351" s="1556"/>
      <c r="Y351" s="1556"/>
      <c r="Z351" s="1556"/>
      <c r="AA351" s="1556"/>
      <c r="AB351" s="1556"/>
      <c r="AC351" s="1556"/>
      <c r="AD351" s="1556"/>
      <c r="AE351" s="1556"/>
      <c r="AF351" s="1556"/>
      <c r="AG351" s="1556"/>
      <c r="AH351" s="1556"/>
      <c r="AI351" s="1556"/>
      <c r="AJ351" s="1556"/>
      <c r="AK351" s="1609"/>
      <c r="AL351" s="1609"/>
      <c r="AM351" s="1609"/>
      <c r="AN351" s="1609"/>
      <c r="AO351" s="1609"/>
      <c r="AP351" s="1609"/>
      <c r="AQ351" s="1609"/>
      <c r="AR351" s="1556"/>
      <c r="AS351" s="1609"/>
      <c r="AT351" s="1609"/>
      <c r="AU351" s="1609"/>
      <c r="AV351" s="1609"/>
      <c r="AW351" s="1556"/>
      <c r="AX351" s="1609"/>
      <c r="AY351" s="1609"/>
      <c r="AZ351" s="1609"/>
      <c r="BA351" s="1556"/>
      <c r="BB351" s="1556"/>
      <c r="BC351" s="1556"/>
      <c r="BD351" s="1556"/>
      <c r="BE351" s="1556"/>
      <c r="BF351" s="1556"/>
      <c r="BG351" s="1556"/>
      <c r="BI351" s="1629"/>
      <c r="BJ351" s="1629"/>
      <c r="BK351" s="1629"/>
    </row>
    <row r="352" s="1057" customFormat="1" customHeight="1" spans="1:63">
      <c r="A352" s="1556"/>
      <c r="F352" s="1557"/>
      <c r="M352" s="1556"/>
      <c r="N352" s="1556"/>
      <c r="O352" s="1556"/>
      <c r="P352" s="1556"/>
      <c r="Q352" s="1556"/>
      <c r="R352" s="1556"/>
      <c r="S352" s="1581"/>
      <c r="T352" s="1556"/>
      <c r="U352" s="1556"/>
      <c r="V352" s="1556"/>
      <c r="W352" s="1556"/>
      <c r="X352" s="1556"/>
      <c r="Y352" s="1556"/>
      <c r="Z352" s="1556"/>
      <c r="AA352" s="1556"/>
      <c r="AB352" s="1556"/>
      <c r="AC352" s="1556"/>
      <c r="AD352" s="1556"/>
      <c r="AE352" s="1556"/>
      <c r="AF352" s="1556"/>
      <c r="AG352" s="1556"/>
      <c r="AH352" s="1556"/>
      <c r="AI352" s="1556"/>
      <c r="AJ352" s="1556"/>
      <c r="AK352" s="1609"/>
      <c r="AL352" s="1609"/>
      <c r="AM352" s="1609"/>
      <c r="AN352" s="1609"/>
      <c r="AO352" s="1609"/>
      <c r="AP352" s="1609"/>
      <c r="AQ352" s="1609"/>
      <c r="AR352" s="1556"/>
      <c r="AS352" s="1609"/>
      <c r="AT352" s="1609"/>
      <c r="AU352" s="1609"/>
      <c r="AV352" s="1609"/>
      <c r="AW352" s="1556"/>
      <c r="AX352" s="1609"/>
      <c r="AY352" s="1609"/>
      <c r="AZ352" s="1609"/>
      <c r="BA352" s="1556"/>
      <c r="BB352" s="1556"/>
      <c r="BC352" s="1556"/>
      <c r="BD352" s="1556"/>
      <c r="BE352" s="1556"/>
      <c r="BF352" s="1556"/>
      <c r="BG352" s="1556"/>
      <c r="BI352" s="1629"/>
      <c r="BJ352" s="1629"/>
      <c r="BK352" s="1629"/>
    </row>
    <row r="353" s="1057" customFormat="1" customHeight="1" spans="1:63">
      <c r="A353" s="1556"/>
      <c r="F353" s="1557"/>
      <c r="M353" s="1556"/>
      <c r="N353" s="1556"/>
      <c r="O353" s="1556"/>
      <c r="P353" s="1556"/>
      <c r="Q353" s="1556"/>
      <c r="R353" s="1556"/>
      <c r="S353" s="1581"/>
      <c r="T353" s="1556"/>
      <c r="U353" s="1556"/>
      <c r="V353" s="1556"/>
      <c r="W353" s="1556"/>
      <c r="X353" s="1556"/>
      <c r="Y353" s="1556"/>
      <c r="Z353" s="1556"/>
      <c r="AA353" s="1556"/>
      <c r="AB353" s="1556"/>
      <c r="AC353" s="1556"/>
      <c r="AD353" s="1556"/>
      <c r="AE353" s="1556"/>
      <c r="AF353" s="1556"/>
      <c r="AG353" s="1556"/>
      <c r="AH353" s="1556"/>
      <c r="AI353" s="1556"/>
      <c r="AJ353" s="1556"/>
      <c r="AK353" s="1609"/>
      <c r="AL353" s="1609"/>
      <c r="AM353" s="1609"/>
      <c r="AN353" s="1609"/>
      <c r="AO353" s="1609"/>
      <c r="AP353" s="1609"/>
      <c r="AQ353" s="1609"/>
      <c r="AR353" s="1556"/>
      <c r="AS353" s="1609"/>
      <c r="AT353" s="1609"/>
      <c r="AU353" s="1609"/>
      <c r="AV353" s="1609"/>
      <c r="AW353" s="1556"/>
      <c r="AX353" s="1609"/>
      <c r="AY353" s="1609"/>
      <c r="AZ353" s="1609"/>
      <c r="BA353" s="1556"/>
      <c r="BB353" s="1556"/>
      <c r="BC353" s="1556"/>
      <c r="BD353" s="1556"/>
      <c r="BE353" s="1556"/>
      <c r="BF353" s="1556"/>
      <c r="BG353" s="1556"/>
      <c r="BI353" s="1629"/>
      <c r="BJ353" s="1629"/>
      <c r="BK353" s="1629"/>
    </row>
    <row r="354" s="1057" customFormat="1" customHeight="1" spans="1:63">
      <c r="A354" s="1556"/>
      <c r="F354" s="1557"/>
      <c r="M354" s="1556"/>
      <c r="N354" s="1556"/>
      <c r="O354" s="1556"/>
      <c r="P354" s="1556"/>
      <c r="Q354" s="1556"/>
      <c r="R354" s="1556"/>
      <c r="S354" s="1581"/>
      <c r="T354" s="1556"/>
      <c r="U354" s="1556"/>
      <c r="V354" s="1556"/>
      <c r="W354" s="1556"/>
      <c r="X354" s="1556"/>
      <c r="Y354" s="1556"/>
      <c r="Z354" s="1556"/>
      <c r="AA354" s="1556"/>
      <c r="AB354" s="1556"/>
      <c r="AC354" s="1556"/>
      <c r="AD354" s="1556"/>
      <c r="AE354" s="1556"/>
      <c r="AF354" s="1556"/>
      <c r="AG354" s="1556"/>
      <c r="AH354" s="1556"/>
      <c r="AI354" s="1556"/>
      <c r="AJ354" s="1556"/>
      <c r="AK354" s="1609"/>
      <c r="AL354" s="1609"/>
      <c r="AM354" s="1609"/>
      <c r="AN354" s="1609"/>
      <c r="AO354" s="1609"/>
      <c r="AP354" s="1609"/>
      <c r="AQ354" s="1609"/>
      <c r="AR354" s="1556"/>
      <c r="AS354" s="1609"/>
      <c r="AT354" s="1609"/>
      <c r="AU354" s="1609"/>
      <c r="AV354" s="1609"/>
      <c r="AW354" s="1556"/>
      <c r="AX354" s="1609"/>
      <c r="AY354" s="1609"/>
      <c r="AZ354" s="1609"/>
      <c r="BA354" s="1556"/>
      <c r="BB354" s="1556"/>
      <c r="BC354" s="1556"/>
      <c r="BD354" s="1556"/>
      <c r="BE354" s="1556"/>
      <c r="BF354" s="1556"/>
      <c r="BG354" s="1556"/>
      <c r="BI354" s="1629"/>
      <c r="BJ354" s="1629"/>
      <c r="BK354" s="1629"/>
    </row>
    <row r="355" s="1057" customFormat="1" customHeight="1" spans="1:63">
      <c r="A355" s="1556"/>
      <c r="F355" s="1557"/>
      <c r="M355" s="1568"/>
      <c r="N355" s="1568"/>
      <c r="O355" s="1556"/>
      <c r="P355" s="1556"/>
      <c r="Q355" s="1556"/>
      <c r="R355" s="1556"/>
      <c r="S355" s="1581"/>
      <c r="T355" s="1556"/>
      <c r="U355" s="1556"/>
      <c r="V355" s="1556"/>
      <c r="W355" s="1556"/>
      <c r="X355" s="1556"/>
      <c r="Y355" s="1556"/>
      <c r="Z355" s="1556"/>
      <c r="AA355" s="1556"/>
      <c r="AB355" s="1556"/>
      <c r="AC355" s="1556"/>
      <c r="AD355" s="1556"/>
      <c r="AE355" s="1556"/>
      <c r="AF355" s="1556"/>
      <c r="AG355" s="1556"/>
      <c r="AH355" s="1556"/>
      <c r="AI355" s="1556"/>
      <c r="AJ355" s="1556"/>
      <c r="AK355" s="1609"/>
      <c r="AL355" s="1609"/>
      <c r="AM355" s="1609"/>
      <c r="AN355" s="1609"/>
      <c r="AO355" s="1609"/>
      <c r="AP355" s="1609"/>
      <c r="AQ355" s="1609"/>
      <c r="AR355" s="1556"/>
      <c r="AS355" s="1609"/>
      <c r="AT355" s="1609"/>
      <c r="AU355" s="1609"/>
      <c r="AV355" s="1609"/>
      <c r="AW355" s="1556"/>
      <c r="AX355" s="1609"/>
      <c r="AY355" s="1609"/>
      <c r="AZ355" s="1609"/>
      <c r="BA355" s="1556"/>
      <c r="BB355" s="1556"/>
      <c r="BC355" s="1556"/>
      <c r="BD355" s="1556"/>
      <c r="BE355" s="1556"/>
      <c r="BF355" s="1556"/>
      <c r="BG355" s="1556"/>
      <c r="BI355" s="1629"/>
      <c r="BJ355" s="1629"/>
      <c r="BK355" s="1629"/>
    </row>
    <row r="356" s="1057" customFormat="1" customHeight="1" spans="1:63">
      <c r="A356" s="1556"/>
      <c r="F356" s="1557"/>
      <c r="I356" s="1557"/>
      <c r="J356" s="1557"/>
      <c r="M356" s="1556"/>
      <c r="N356" s="1556"/>
      <c r="O356" s="1556"/>
      <c r="P356" s="1556"/>
      <c r="Q356" s="1556"/>
      <c r="R356" s="1556"/>
      <c r="S356" s="1581"/>
      <c r="T356" s="1556"/>
      <c r="U356" s="1556"/>
      <c r="V356" s="1556"/>
      <c r="W356" s="1556"/>
      <c r="X356" s="1556"/>
      <c r="Y356" s="1556"/>
      <c r="Z356" s="1556"/>
      <c r="AA356" s="1556"/>
      <c r="AB356" s="1556"/>
      <c r="AC356" s="1556"/>
      <c r="AD356" s="1556"/>
      <c r="AE356" s="1556"/>
      <c r="AF356" s="1556"/>
      <c r="AG356" s="1556"/>
      <c r="AH356" s="1556"/>
      <c r="AI356" s="1556"/>
      <c r="AJ356" s="1556"/>
      <c r="AK356" s="1609"/>
      <c r="AL356" s="1609"/>
      <c r="AM356" s="1609"/>
      <c r="AN356" s="1609"/>
      <c r="AO356" s="1609"/>
      <c r="AP356" s="1609"/>
      <c r="AQ356" s="1609"/>
      <c r="AR356" s="1556"/>
      <c r="AS356" s="1609"/>
      <c r="AT356" s="1609"/>
      <c r="AU356" s="1609"/>
      <c r="AV356" s="1609"/>
      <c r="AW356" s="1556"/>
      <c r="AX356" s="1609"/>
      <c r="AY356" s="1609"/>
      <c r="AZ356" s="1609"/>
      <c r="BA356" s="1556"/>
      <c r="BB356" s="1556"/>
      <c r="BC356" s="1556"/>
      <c r="BD356" s="1556"/>
      <c r="BE356" s="1556"/>
      <c r="BF356" s="1556"/>
      <c r="BG356" s="1556"/>
      <c r="BI356" s="1629"/>
      <c r="BJ356" s="1629"/>
      <c r="BK356" s="1629"/>
    </row>
    <row r="357" s="1057" customFormat="1" customHeight="1" spans="1:63">
      <c r="A357" s="1556"/>
      <c r="F357" s="1557"/>
      <c r="M357" s="1556"/>
      <c r="N357" s="1556"/>
      <c r="O357" s="1556"/>
      <c r="P357" s="1556"/>
      <c r="Q357" s="1556"/>
      <c r="R357" s="1556"/>
      <c r="S357" s="1581"/>
      <c r="T357" s="1556"/>
      <c r="U357" s="1556"/>
      <c r="V357" s="1556"/>
      <c r="W357" s="1556"/>
      <c r="X357" s="1556"/>
      <c r="Y357" s="1556"/>
      <c r="Z357" s="1556"/>
      <c r="AA357" s="1556"/>
      <c r="AB357" s="1556"/>
      <c r="AC357" s="1556"/>
      <c r="AD357" s="1556"/>
      <c r="AE357" s="1556"/>
      <c r="AF357" s="1556"/>
      <c r="AG357" s="1556"/>
      <c r="AH357" s="1556"/>
      <c r="AI357" s="1556"/>
      <c r="AJ357" s="1556"/>
      <c r="AK357" s="1609"/>
      <c r="AL357" s="1609"/>
      <c r="AM357" s="1609"/>
      <c r="AN357" s="1609"/>
      <c r="AO357" s="1609"/>
      <c r="AP357" s="1609"/>
      <c r="AQ357" s="1609"/>
      <c r="AR357" s="1556"/>
      <c r="AS357" s="1609"/>
      <c r="AT357" s="1609"/>
      <c r="AU357" s="1609"/>
      <c r="AV357" s="1609"/>
      <c r="AW357" s="1556"/>
      <c r="AX357" s="1609"/>
      <c r="AY357" s="1609"/>
      <c r="AZ357" s="1609"/>
      <c r="BA357" s="1556"/>
      <c r="BB357" s="1556"/>
      <c r="BC357" s="1556"/>
      <c r="BD357" s="1556"/>
      <c r="BE357" s="1556"/>
      <c r="BF357" s="1556"/>
      <c r="BG357" s="1556"/>
      <c r="BI357" s="1629"/>
      <c r="BJ357" s="1629"/>
      <c r="BK357" s="1629"/>
    </row>
    <row r="358" s="1057" customFormat="1" customHeight="1" spans="1:63">
      <c r="A358" s="1556"/>
      <c r="F358" s="1557"/>
      <c r="M358" s="1556"/>
      <c r="N358" s="1556"/>
      <c r="O358" s="1556"/>
      <c r="P358" s="1556"/>
      <c r="Q358" s="1556"/>
      <c r="R358" s="1556"/>
      <c r="S358" s="1581"/>
      <c r="T358" s="1556"/>
      <c r="U358" s="1556"/>
      <c r="V358" s="1556"/>
      <c r="W358" s="1556"/>
      <c r="X358" s="1556"/>
      <c r="Y358" s="1556"/>
      <c r="Z358" s="1556"/>
      <c r="AA358" s="1556"/>
      <c r="AB358" s="1556"/>
      <c r="AC358" s="1556"/>
      <c r="AD358" s="1556"/>
      <c r="AE358" s="1556"/>
      <c r="AF358" s="1556"/>
      <c r="AG358" s="1556"/>
      <c r="AH358" s="1556"/>
      <c r="AI358" s="1556"/>
      <c r="AJ358" s="1556"/>
      <c r="AK358" s="1609"/>
      <c r="AL358" s="1609"/>
      <c r="AM358" s="1609"/>
      <c r="AN358" s="1609"/>
      <c r="AO358" s="1609"/>
      <c r="AP358" s="1609"/>
      <c r="AQ358" s="1609"/>
      <c r="AR358" s="1556"/>
      <c r="AS358" s="1609"/>
      <c r="AT358" s="1609"/>
      <c r="AU358" s="1609"/>
      <c r="AV358" s="1609"/>
      <c r="AW358" s="1556"/>
      <c r="AX358" s="1609"/>
      <c r="AY358" s="1609"/>
      <c r="AZ358" s="1609"/>
      <c r="BA358" s="1556"/>
      <c r="BB358" s="1556"/>
      <c r="BC358" s="1556"/>
      <c r="BD358" s="1556"/>
      <c r="BE358" s="1556"/>
      <c r="BF358" s="1556"/>
      <c r="BG358" s="1556"/>
      <c r="BI358" s="1629"/>
      <c r="BJ358" s="1629"/>
      <c r="BK358" s="1629"/>
    </row>
    <row r="359" s="1057" customFormat="1" customHeight="1" spans="1:63">
      <c r="A359" s="1556"/>
      <c r="F359" s="1557"/>
      <c r="M359" s="1556"/>
      <c r="N359" s="1556"/>
      <c r="O359" s="1556"/>
      <c r="P359" s="1556"/>
      <c r="Q359" s="1556"/>
      <c r="R359" s="1556"/>
      <c r="S359" s="1581"/>
      <c r="T359" s="1556"/>
      <c r="U359" s="1556"/>
      <c r="V359" s="1556"/>
      <c r="W359" s="1556"/>
      <c r="X359" s="1556"/>
      <c r="Y359" s="1556"/>
      <c r="Z359" s="1556"/>
      <c r="AA359" s="1556"/>
      <c r="AB359" s="1556"/>
      <c r="AC359" s="1556"/>
      <c r="AD359" s="1556"/>
      <c r="AE359" s="1556"/>
      <c r="AF359" s="1556"/>
      <c r="AG359" s="1556"/>
      <c r="AH359" s="1556"/>
      <c r="AI359" s="1556"/>
      <c r="AJ359" s="1556"/>
      <c r="AK359" s="1609"/>
      <c r="AL359" s="1609"/>
      <c r="AM359" s="1609"/>
      <c r="AN359" s="1609"/>
      <c r="AO359" s="1609"/>
      <c r="AP359" s="1609"/>
      <c r="AQ359" s="1609"/>
      <c r="AR359" s="1556"/>
      <c r="AS359" s="1609"/>
      <c r="AT359" s="1609"/>
      <c r="AU359" s="1609"/>
      <c r="AV359" s="1609"/>
      <c r="AW359" s="1556"/>
      <c r="AX359" s="1609"/>
      <c r="AY359" s="1609"/>
      <c r="AZ359" s="1609"/>
      <c r="BA359" s="1556"/>
      <c r="BB359" s="1556"/>
      <c r="BC359" s="1556"/>
      <c r="BD359" s="1556"/>
      <c r="BE359" s="1556"/>
      <c r="BF359" s="1556"/>
      <c r="BG359" s="1556"/>
      <c r="BI359" s="1629"/>
      <c r="BJ359" s="1629"/>
      <c r="BK359" s="1629"/>
    </row>
    <row r="360" s="1057" customFormat="1" customHeight="1" spans="1:63">
      <c r="A360" s="1556"/>
      <c r="F360" s="1557"/>
      <c r="M360" s="1556"/>
      <c r="N360" s="1556"/>
      <c r="O360" s="1556"/>
      <c r="P360" s="1556"/>
      <c r="Q360" s="1556"/>
      <c r="R360" s="1556"/>
      <c r="S360" s="1581"/>
      <c r="T360" s="1556"/>
      <c r="U360" s="1556"/>
      <c r="V360" s="1556"/>
      <c r="W360" s="1556"/>
      <c r="X360" s="1556"/>
      <c r="Y360" s="1556"/>
      <c r="Z360" s="1556"/>
      <c r="AA360" s="1556"/>
      <c r="AB360" s="1556"/>
      <c r="AC360" s="1556"/>
      <c r="AD360" s="1556"/>
      <c r="AE360" s="1556"/>
      <c r="AF360" s="1556"/>
      <c r="AG360" s="1556"/>
      <c r="AH360" s="1556"/>
      <c r="AI360" s="1556"/>
      <c r="AJ360" s="1556"/>
      <c r="AK360" s="1609"/>
      <c r="AL360" s="1609"/>
      <c r="AM360" s="1609"/>
      <c r="AN360" s="1609"/>
      <c r="AO360" s="1609"/>
      <c r="AP360" s="1609"/>
      <c r="AQ360" s="1609"/>
      <c r="AR360" s="1556"/>
      <c r="AS360" s="1609"/>
      <c r="AT360" s="1609"/>
      <c r="AU360" s="1609"/>
      <c r="AV360" s="1609"/>
      <c r="AW360" s="1556"/>
      <c r="AX360" s="1609"/>
      <c r="AY360" s="1609"/>
      <c r="AZ360" s="1609"/>
      <c r="BA360" s="1556"/>
      <c r="BB360" s="1556"/>
      <c r="BC360" s="1556"/>
      <c r="BD360" s="1556"/>
      <c r="BE360" s="1556"/>
      <c r="BF360" s="1556"/>
      <c r="BG360" s="1556"/>
      <c r="BI360" s="1629"/>
      <c r="BJ360" s="1629"/>
      <c r="BK360" s="1629"/>
    </row>
    <row r="361" s="1057" customFormat="1" customHeight="1" spans="1:63">
      <c r="A361" s="1556"/>
      <c r="F361" s="1557"/>
      <c r="M361" s="1556"/>
      <c r="N361" s="1556"/>
      <c r="O361" s="1556"/>
      <c r="P361" s="1556"/>
      <c r="Q361" s="1556"/>
      <c r="R361" s="1556"/>
      <c r="S361" s="1581"/>
      <c r="T361" s="1556"/>
      <c r="U361" s="1556"/>
      <c r="V361" s="1556"/>
      <c r="W361" s="1556"/>
      <c r="X361" s="1556"/>
      <c r="Y361" s="1556"/>
      <c r="Z361" s="1556"/>
      <c r="AA361" s="1556"/>
      <c r="AB361" s="1556"/>
      <c r="AC361" s="1556"/>
      <c r="AD361" s="1556"/>
      <c r="AE361" s="1556"/>
      <c r="AF361" s="1556"/>
      <c r="AG361" s="1556"/>
      <c r="AH361" s="1556"/>
      <c r="AI361" s="1556"/>
      <c r="AJ361" s="1556"/>
      <c r="AK361" s="1609"/>
      <c r="AL361" s="1609"/>
      <c r="AM361" s="1609"/>
      <c r="AN361" s="1609"/>
      <c r="AO361" s="1609"/>
      <c r="AP361" s="1609"/>
      <c r="AQ361" s="1609"/>
      <c r="AR361" s="1556"/>
      <c r="AS361" s="1609"/>
      <c r="AT361" s="1609"/>
      <c r="AU361" s="1609"/>
      <c r="AV361" s="1609"/>
      <c r="AW361" s="1556"/>
      <c r="AX361" s="1609"/>
      <c r="AY361" s="1609"/>
      <c r="AZ361" s="1609"/>
      <c r="BA361" s="1556"/>
      <c r="BB361" s="1556"/>
      <c r="BC361" s="1556"/>
      <c r="BD361" s="1556"/>
      <c r="BE361" s="1556"/>
      <c r="BF361" s="1556"/>
      <c r="BG361" s="1556"/>
      <c r="BI361" s="1629"/>
      <c r="BJ361" s="1629"/>
      <c r="BK361" s="1629"/>
    </row>
    <row r="362" s="1057" customFormat="1" customHeight="1" spans="1:63">
      <c r="A362" s="1556"/>
      <c r="F362" s="1557"/>
      <c r="M362" s="1556"/>
      <c r="N362" s="1556"/>
      <c r="O362" s="1556"/>
      <c r="P362" s="1556"/>
      <c r="Q362" s="1556"/>
      <c r="R362" s="1556"/>
      <c r="S362" s="1581"/>
      <c r="T362" s="1556"/>
      <c r="U362" s="1556"/>
      <c r="V362" s="1556"/>
      <c r="W362" s="1556"/>
      <c r="X362" s="1556"/>
      <c r="Y362" s="1556"/>
      <c r="Z362" s="1556"/>
      <c r="AA362" s="1556"/>
      <c r="AB362" s="1556"/>
      <c r="AC362" s="1556"/>
      <c r="AD362" s="1556"/>
      <c r="AE362" s="1556"/>
      <c r="AF362" s="1556"/>
      <c r="AG362" s="1556"/>
      <c r="AH362" s="1556"/>
      <c r="AI362" s="1556"/>
      <c r="AJ362" s="1556"/>
      <c r="AK362" s="1609"/>
      <c r="AL362" s="1609"/>
      <c r="AM362" s="1609"/>
      <c r="AN362" s="1609"/>
      <c r="AO362" s="1609"/>
      <c r="AP362" s="1609"/>
      <c r="AQ362" s="1609"/>
      <c r="AR362" s="1556"/>
      <c r="AS362" s="1609"/>
      <c r="AT362" s="1609"/>
      <c r="AU362" s="1609"/>
      <c r="AV362" s="1609"/>
      <c r="AW362" s="1556"/>
      <c r="AX362" s="1609"/>
      <c r="AY362" s="1609"/>
      <c r="AZ362" s="1609"/>
      <c r="BA362" s="1556"/>
      <c r="BB362" s="1556"/>
      <c r="BC362" s="1556"/>
      <c r="BD362" s="1556"/>
      <c r="BE362" s="1556"/>
      <c r="BF362" s="1556"/>
      <c r="BG362" s="1556"/>
      <c r="BI362" s="1629"/>
      <c r="BJ362" s="1629"/>
      <c r="BK362" s="1629"/>
    </row>
    <row r="363" s="1057" customFormat="1" customHeight="1" spans="1:63">
      <c r="A363" s="1556"/>
      <c r="F363" s="1557"/>
      <c r="M363" s="1556"/>
      <c r="N363" s="1556"/>
      <c r="O363" s="1556"/>
      <c r="P363" s="1556"/>
      <c r="Q363" s="1556"/>
      <c r="R363" s="1556"/>
      <c r="S363" s="1581"/>
      <c r="T363" s="1556"/>
      <c r="U363" s="1556"/>
      <c r="V363" s="1556"/>
      <c r="W363" s="1556"/>
      <c r="X363" s="1556"/>
      <c r="Y363" s="1556"/>
      <c r="Z363" s="1556"/>
      <c r="AA363" s="1556"/>
      <c r="AB363" s="1556"/>
      <c r="AC363" s="1556"/>
      <c r="AD363" s="1556"/>
      <c r="AE363" s="1556"/>
      <c r="AF363" s="1556"/>
      <c r="AG363" s="1556"/>
      <c r="AH363" s="1556"/>
      <c r="AI363" s="1556"/>
      <c r="AJ363" s="1556"/>
      <c r="AK363" s="1609"/>
      <c r="AL363" s="1609"/>
      <c r="AM363" s="1609"/>
      <c r="AN363" s="1609"/>
      <c r="AO363" s="1609"/>
      <c r="AP363" s="1609"/>
      <c r="AQ363" s="1609"/>
      <c r="AR363" s="1556"/>
      <c r="AS363" s="1609"/>
      <c r="AT363" s="1609"/>
      <c r="AU363" s="1609"/>
      <c r="AV363" s="1609"/>
      <c r="AW363" s="1556"/>
      <c r="AX363" s="1609"/>
      <c r="AY363" s="1609"/>
      <c r="AZ363" s="1609"/>
      <c r="BA363" s="1556"/>
      <c r="BB363" s="1556"/>
      <c r="BC363" s="1556"/>
      <c r="BD363" s="1556"/>
      <c r="BE363" s="1556"/>
      <c r="BF363" s="1556"/>
      <c r="BG363" s="1556"/>
      <c r="BI363" s="1629"/>
      <c r="BJ363" s="1629"/>
      <c r="BK363" s="1629"/>
    </row>
    <row r="364" s="1057" customFormat="1" customHeight="1" spans="1:63">
      <c r="A364" s="1556"/>
      <c r="F364" s="1557"/>
      <c r="M364" s="1556"/>
      <c r="N364" s="1556"/>
      <c r="O364" s="1556"/>
      <c r="P364" s="1556"/>
      <c r="Q364" s="1556"/>
      <c r="R364" s="1556"/>
      <c r="S364" s="1581"/>
      <c r="T364" s="1556"/>
      <c r="U364" s="1556"/>
      <c r="V364" s="1556"/>
      <c r="W364" s="1556"/>
      <c r="X364" s="1556"/>
      <c r="Y364" s="1556"/>
      <c r="Z364" s="1556"/>
      <c r="AA364" s="1556"/>
      <c r="AB364" s="1556"/>
      <c r="AC364" s="1556"/>
      <c r="AD364" s="1556"/>
      <c r="AE364" s="1556"/>
      <c r="AF364" s="1556"/>
      <c r="AG364" s="1556"/>
      <c r="AH364" s="1556"/>
      <c r="AI364" s="1556"/>
      <c r="AJ364" s="1556"/>
      <c r="AK364" s="1609"/>
      <c r="AL364" s="1609"/>
      <c r="AM364" s="1609"/>
      <c r="AN364" s="1609"/>
      <c r="AO364" s="1609"/>
      <c r="AP364" s="1609"/>
      <c r="AQ364" s="1609"/>
      <c r="AR364" s="1556"/>
      <c r="AS364" s="1609"/>
      <c r="AT364" s="1609"/>
      <c r="AU364" s="1609"/>
      <c r="AV364" s="1609"/>
      <c r="AW364" s="1556"/>
      <c r="AX364" s="1609"/>
      <c r="AY364" s="1609"/>
      <c r="AZ364" s="1609"/>
      <c r="BA364" s="1556"/>
      <c r="BB364" s="1556"/>
      <c r="BC364" s="1556"/>
      <c r="BD364" s="1556"/>
      <c r="BE364" s="1556"/>
      <c r="BF364" s="1556"/>
      <c r="BG364" s="1556"/>
      <c r="BI364" s="1629"/>
      <c r="BJ364" s="1629"/>
      <c r="BK364" s="1629"/>
    </row>
    <row r="365" s="1057" customFormat="1" customHeight="1" spans="1:63">
      <c r="A365" s="1556"/>
      <c r="F365" s="1557"/>
      <c r="M365" s="1556"/>
      <c r="N365" s="1556"/>
      <c r="O365" s="1556"/>
      <c r="P365" s="1556"/>
      <c r="Q365" s="1556"/>
      <c r="R365" s="1556"/>
      <c r="S365" s="1581"/>
      <c r="T365" s="1556"/>
      <c r="U365" s="1556"/>
      <c r="V365" s="1556"/>
      <c r="W365" s="1556"/>
      <c r="X365" s="1556"/>
      <c r="Y365" s="1556"/>
      <c r="Z365" s="1556"/>
      <c r="AA365" s="1556"/>
      <c r="AB365" s="1556"/>
      <c r="AC365" s="1556"/>
      <c r="AD365" s="1556"/>
      <c r="AE365" s="1556"/>
      <c r="AF365" s="1556"/>
      <c r="AG365" s="1556"/>
      <c r="AH365" s="1556"/>
      <c r="AI365" s="1556"/>
      <c r="AJ365" s="1556"/>
      <c r="AK365" s="1609"/>
      <c r="AL365" s="1609"/>
      <c r="AM365" s="1609"/>
      <c r="AN365" s="1609"/>
      <c r="AO365" s="1609"/>
      <c r="AP365" s="1609"/>
      <c r="AQ365" s="1609"/>
      <c r="AR365" s="1556"/>
      <c r="AS365" s="1609"/>
      <c r="AT365" s="1609"/>
      <c r="AU365" s="1609"/>
      <c r="AV365" s="1609"/>
      <c r="AW365" s="1556"/>
      <c r="AX365" s="1609"/>
      <c r="AY365" s="1609"/>
      <c r="AZ365" s="1609"/>
      <c r="BA365" s="1556"/>
      <c r="BB365" s="1556"/>
      <c r="BC365" s="1556"/>
      <c r="BD365" s="1556"/>
      <c r="BE365" s="1556"/>
      <c r="BF365" s="1556"/>
      <c r="BG365" s="1556"/>
      <c r="BI365" s="1629"/>
      <c r="BJ365" s="1629"/>
      <c r="BK365" s="1629"/>
    </row>
    <row r="366" s="1057" customFormat="1" customHeight="1" spans="1:63">
      <c r="A366" s="1556"/>
      <c r="F366" s="1557"/>
      <c r="M366" s="1556"/>
      <c r="N366" s="1556"/>
      <c r="O366" s="1556"/>
      <c r="P366" s="1556"/>
      <c r="Q366" s="1556"/>
      <c r="R366" s="1556"/>
      <c r="S366" s="1581"/>
      <c r="T366" s="1556"/>
      <c r="U366" s="1556"/>
      <c r="V366" s="1556"/>
      <c r="W366" s="1556"/>
      <c r="X366" s="1556"/>
      <c r="Y366" s="1556"/>
      <c r="Z366" s="1556"/>
      <c r="AA366" s="1556"/>
      <c r="AB366" s="1556"/>
      <c r="AC366" s="1556"/>
      <c r="AD366" s="1556"/>
      <c r="AE366" s="1556"/>
      <c r="AF366" s="1556"/>
      <c r="AG366" s="1556"/>
      <c r="AH366" s="1556"/>
      <c r="AI366" s="1556"/>
      <c r="AJ366" s="1556"/>
      <c r="AK366" s="1609"/>
      <c r="AL366" s="1609"/>
      <c r="AM366" s="1609"/>
      <c r="AN366" s="1609"/>
      <c r="AO366" s="1609"/>
      <c r="AP366" s="1609"/>
      <c r="AQ366" s="1609"/>
      <c r="AR366" s="1556"/>
      <c r="AS366" s="1609"/>
      <c r="AT366" s="1609"/>
      <c r="AU366" s="1609"/>
      <c r="AV366" s="1609"/>
      <c r="AW366" s="1556"/>
      <c r="AX366" s="1609"/>
      <c r="AY366" s="1609"/>
      <c r="AZ366" s="1609"/>
      <c r="BA366" s="1556"/>
      <c r="BB366" s="1556"/>
      <c r="BC366" s="1556"/>
      <c r="BD366" s="1556"/>
      <c r="BE366" s="1556"/>
      <c r="BF366" s="1556"/>
      <c r="BG366" s="1556"/>
      <c r="BI366" s="1629"/>
      <c r="BJ366" s="1629"/>
      <c r="BK366" s="1629"/>
    </row>
    <row r="367" s="1057" customFormat="1" customHeight="1" spans="1:63">
      <c r="A367" s="1556"/>
      <c r="F367" s="1557"/>
      <c r="M367" s="1556"/>
      <c r="N367" s="1556"/>
      <c r="O367" s="1556"/>
      <c r="P367" s="1556"/>
      <c r="Q367" s="1556"/>
      <c r="R367" s="1556"/>
      <c r="S367" s="1581"/>
      <c r="T367" s="1556"/>
      <c r="U367" s="1556"/>
      <c r="V367" s="1556"/>
      <c r="W367" s="1556"/>
      <c r="X367" s="1556"/>
      <c r="Y367" s="1556"/>
      <c r="Z367" s="1556"/>
      <c r="AA367" s="1556"/>
      <c r="AB367" s="1556"/>
      <c r="AC367" s="1556"/>
      <c r="AD367" s="1556"/>
      <c r="AE367" s="1556"/>
      <c r="AF367" s="1556"/>
      <c r="AG367" s="1556"/>
      <c r="AH367" s="1556"/>
      <c r="AI367" s="1556"/>
      <c r="AJ367" s="1556"/>
      <c r="AK367" s="1609"/>
      <c r="AL367" s="1609"/>
      <c r="AM367" s="1609"/>
      <c r="AN367" s="1609"/>
      <c r="AO367" s="1609"/>
      <c r="AP367" s="1609"/>
      <c r="AQ367" s="1609"/>
      <c r="AR367" s="1556"/>
      <c r="AS367" s="1609"/>
      <c r="AT367" s="1609"/>
      <c r="AU367" s="1609"/>
      <c r="AV367" s="1609"/>
      <c r="AW367" s="1556"/>
      <c r="AX367" s="1609"/>
      <c r="AY367" s="1609"/>
      <c r="AZ367" s="1609"/>
      <c r="BA367" s="1556"/>
      <c r="BB367" s="1556"/>
      <c r="BC367" s="1556"/>
      <c r="BD367" s="1556"/>
      <c r="BE367" s="1556"/>
      <c r="BF367" s="1556"/>
      <c r="BG367" s="1556"/>
      <c r="BI367" s="1629"/>
      <c r="BJ367" s="1629"/>
      <c r="BK367" s="1629"/>
    </row>
    <row r="368" s="1057" customFormat="1" customHeight="1" spans="1:63">
      <c r="A368" s="1556"/>
      <c r="F368" s="1557"/>
      <c r="M368" s="1556"/>
      <c r="N368" s="1556"/>
      <c r="O368" s="1556"/>
      <c r="P368" s="1556"/>
      <c r="Q368" s="1556"/>
      <c r="R368" s="1556"/>
      <c r="S368" s="1581"/>
      <c r="T368" s="1556"/>
      <c r="U368" s="1556"/>
      <c r="V368" s="1556"/>
      <c r="W368" s="1556"/>
      <c r="X368" s="1556"/>
      <c r="Y368" s="1556"/>
      <c r="Z368" s="1556"/>
      <c r="AA368" s="1556"/>
      <c r="AB368" s="1556"/>
      <c r="AC368" s="1556"/>
      <c r="AD368" s="1556"/>
      <c r="AE368" s="1556"/>
      <c r="AF368" s="1556"/>
      <c r="AG368" s="1556"/>
      <c r="AH368" s="1556"/>
      <c r="AI368" s="1556"/>
      <c r="AJ368" s="1556"/>
      <c r="AK368" s="1609"/>
      <c r="AL368" s="1609"/>
      <c r="AM368" s="1609"/>
      <c r="AN368" s="1609"/>
      <c r="AO368" s="1609"/>
      <c r="AP368" s="1609"/>
      <c r="AQ368" s="1609"/>
      <c r="AR368" s="1556"/>
      <c r="AS368" s="1609"/>
      <c r="AT368" s="1609"/>
      <c r="AU368" s="1609"/>
      <c r="AV368" s="1609"/>
      <c r="AW368" s="1556"/>
      <c r="AX368" s="1609"/>
      <c r="AY368" s="1609"/>
      <c r="AZ368" s="1609"/>
      <c r="BA368" s="1556"/>
      <c r="BB368" s="1556"/>
      <c r="BC368" s="1556"/>
      <c r="BD368" s="1556"/>
      <c r="BE368" s="1556"/>
      <c r="BF368" s="1556"/>
      <c r="BG368" s="1556"/>
      <c r="BI368" s="1629"/>
      <c r="BJ368" s="1629"/>
      <c r="BK368" s="1629"/>
    </row>
    <row r="369" s="1057" customFormat="1" customHeight="1" spans="1:63">
      <c r="A369" s="1556"/>
      <c r="F369" s="1557"/>
      <c r="M369" s="1556"/>
      <c r="N369" s="1556"/>
      <c r="O369" s="1556"/>
      <c r="P369" s="1556"/>
      <c r="Q369" s="1556"/>
      <c r="R369" s="1556"/>
      <c r="S369" s="1581"/>
      <c r="T369" s="1556"/>
      <c r="U369" s="1556"/>
      <c r="V369" s="1556"/>
      <c r="W369" s="1556"/>
      <c r="X369" s="1556"/>
      <c r="Y369" s="1556"/>
      <c r="Z369" s="1556"/>
      <c r="AA369" s="1556"/>
      <c r="AB369" s="1556"/>
      <c r="AC369" s="1556"/>
      <c r="AD369" s="1556"/>
      <c r="AE369" s="1556"/>
      <c r="AF369" s="1556"/>
      <c r="AG369" s="1556"/>
      <c r="AH369" s="1556"/>
      <c r="AI369" s="1556"/>
      <c r="AJ369" s="1556"/>
      <c r="AK369" s="1609"/>
      <c r="AL369" s="1609"/>
      <c r="AM369" s="1609"/>
      <c r="AN369" s="1609"/>
      <c r="AO369" s="1609"/>
      <c r="AP369" s="1609"/>
      <c r="AQ369" s="1609"/>
      <c r="AR369" s="1556"/>
      <c r="AS369" s="1609"/>
      <c r="AT369" s="1609"/>
      <c r="AU369" s="1609"/>
      <c r="AV369" s="1609"/>
      <c r="AW369" s="1556"/>
      <c r="AX369" s="1609"/>
      <c r="AY369" s="1609"/>
      <c r="AZ369" s="1609"/>
      <c r="BA369" s="1556"/>
      <c r="BB369" s="1556"/>
      <c r="BC369" s="1556"/>
      <c r="BD369" s="1556"/>
      <c r="BE369" s="1556"/>
      <c r="BF369" s="1556"/>
      <c r="BG369" s="1556"/>
      <c r="BI369" s="1629"/>
      <c r="BJ369" s="1629"/>
      <c r="BK369" s="1629"/>
    </row>
    <row r="370" s="1057" customFormat="1" customHeight="1" spans="1:63">
      <c r="A370" s="1556"/>
      <c r="F370" s="1557"/>
      <c r="M370" s="1556"/>
      <c r="N370" s="1556"/>
      <c r="O370" s="1556"/>
      <c r="P370" s="1556"/>
      <c r="Q370" s="1556"/>
      <c r="R370" s="1556"/>
      <c r="S370" s="1581"/>
      <c r="T370" s="1556"/>
      <c r="U370" s="1556"/>
      <c r="V370" s="1556"/>
      <c r="W370" s="1556"/>
      <c r="X370" s="1556"/>
      <c r="Y370" s="1556"/>
      <c r="Z370" s="1556"/>
      <c r="AA370" s="1556"/>
      <c r="AB370" s="1556"/>
      <c r="AC370" s="1556"/>
      <c r="AD370" s="1556"/>
      <c r="AE370" s="1556"/>
      <c r="AF370" s="1556"/>
      <c r="AG370" s="1556"/>
      <c r="AH370" s="1556"/>
      <c r="AI370" s="1556"/>
      <c r="AJ370" s="1556"/>
      <c r="AK370" s="1609"/>
      <c r="AL370" s="1609"/>
      <c r="AM370" s="1609"/>
      <c r="AN370" s="1609"/>
      <c r="AO370" s="1609"/>
      <c r="AP370" s="1609"/>
      <c r="AQ370" s="1609"/>
      <c r="AR370" s="1556"/>
      <c r="AS370" s="1609"/>
      <c r="AT370" s="1609"/>
      <c r="AU370" s="1609"/>
      <c r="AV370" s="1609"/>
      <c r="AW370" s="1556"/>
      <c r="AX370" s="1609"/>
      <c r="AY370" s="1609"/>
      <c r="AZ370" s="1609"/>
      <c r="BA370" s="1556"/>
      <c r="BB370" s="1556"/>
      <c r="BC370" s="1556"/>
      <c r="BD370" s="1556"/>
      <c r="BE370" s="1556"/>
      <c r="BF370" s="1556"/>
      <c r="BG370" s="1556"/>
      <c r="BI370" s="1629"/>
      <c r="BJ370" s="1629"/>
      <c r="BK370" s="1629"/>
    </row>
    <row r="371" s="1057" customFormat="1" customHeight="1" spans="1:63">
      <c r="A371" s="1556"/>
      <c r="F371" s="1557"/>
      <c r="M371" s="1556"/>
      <c r="N371" s="1556"/>
      <c r="O371" s="1556"/>
      <c r="P371" s="1556"/>
      <c r="Q371" s="1556"/>
      <c r="R371" s="1556"/>
      <c r="S371" s="1581"/>
      <c r="T371" s="1556"/>
      <c r="U371" s="1556"/>
      <c r="V371" s="1556"/>
      <c r="W371" s="1556"/>
      <c r="X371" s="1556"/>
      <c r="Y371" s="1556"/>
      <c r="Z371" s="1556"/>
      <c r="AA371" s="1556"/>
      <c r="AB371" s="1556"/>
      <c r="AC371" s="1556"/>
      <c r="AD371" s="1556"/>
      <c r="AE371" s="1556"/>
      <c r="AF371" s="1556"/>
      <c r="AG371" s="1556"/>
      <c r="AH371" s="1556"/>
      <c r="AI371" s="1556"/>
      <c r="AJ371" s="1556"/>
      <c r="AK371" s="1609"/>
      <c r="AL371" s="1609"/>
      <c r="AM371" s="1609"/>
      <c r="AN371" s="1609"/>
      <c r="AO371" s="1609"/>
      <c r="AP371" s="1609"/>
      <c r="AQ371" s="1609"/>
      <c r="AR371" s="1556"/>
      <c r="AS371" s="1609"/>
      <c r="AT371" s="1609"/>
      <c r="AU371" s="1609"/>
      <c r="AV371" s="1609"/>
      <c r="AW371" s="1556"/>
      <c r="AX371" s="1609"/>
      <c r="AY371" s="1609"/>
      <c r="AZ371" s="1609"/>
      <c r="BA371" s="1556"/>
      <c r="BB371" s="1556"/>
      <c r="BC371" s="1556"/>
      <c r="BD371" s="1556"/>
      <c r="BE371" s="1556"/>
      <c r="BF371" s="1556"/>
      <c r="BG371" s="1556"/>
      <c r="BI371" s="1629"/>
      <c r="BJ371" s="1629"/>
      <c r="BK371" s="1629"/>
    </row>
    <row r="372" s="1057" customFormat="1" customHeight="1" spans="1:63">
      <c r="A372" s="1556"/>
      <c r="F372" s="1557"/>
      <c r="M372" s="1556"/>
      <c r="N372" s="1556"/>
      <c r="O372" s="1556"/>
      <c r="P372" s="1556"/>
      <c r="Q372" s="1556"/>
      <c r="R372" s="1556"/>
      <c r="S372" s="1581"/>
      <c r="T372" s="1556"/>
      <c r="U372" s="1556"/>
      <c r="V372" s="1556"/>
      <c r="W372" s="1556"/>
      <c r="X372" s="1556"/>
      <c r="Y372" s="1556"/>
      <c r="Z372" s="1556"/>
      <c r="AA372" s="1556"/>
      <c r="AB372" s="1556"/>
      <c r="AC372" s="1556"/>
      <c r="AD372" s="1556"/>
      <c r="AE372" s="1556"/>
      <c r="AF372" s="1556"/>
      <c r="AG372" s="1556"/>
      <c r="AH372" s="1556"/>
      <c r="AI372" s="1556"/>
      <c r="AJ372" s="1556"/>
      <c r="AK372" s="1609"/>
      <c r="AL372" s="1609"/>
      <c r="AM372" s="1609"/>
      <c r="AN372" s="1609"/>
      <c r="AO372" s="1609"/>
      <c r="AP372" s="1609"/>
      <c r="AQ372" s="1609"/>
      <c r="AR372" s="1556"/>
      <c r="AS372" s="1609"/>
      <c r="AT372" s="1609"/>
      <c r="AU372" s="1609"/>
      <c r="AV372" s="1609"/>
      <c r="AW372" s="1556"/>
      <c r="AX372" s="1609"/>
      <c r="AY372" s="1609"/>
      <c r="AZ372" s="1609"/>
      <c r="BA372" s="1556"/>
      <c r="BB372" s="1556"/>
      <c r="BC372" s="1556"/>
      <c r="BD372" s="1556"/>
      <c r="BE372" s="1556"/>
      <c r="BF372" s="1556"/>
      <c r="BG372" s="1556"/>
      <c r="BI372" s="1629"/>
      <c r="BJ372" s="1629"/>
      <c r="BK372" s="1629"/>
    </row>
    <row r="373" s="1057" customFormat="1" customHeight="1" spans="1:63">
      <c r="A373" s="1556"/>
      <c r="F373" s="1557"/>
      <c r="M373" s="1556"/>
      <c r="N373" s="1556"/>
      <c r="O373" s="1556"/>
      <c r="P373" s="1556"/>
      <c r="Q373" s="1556"/>
      <c r="R373" s="1556"/>
      <c r="S373" s="1581"/>
      <c r="T373" s="1556"/>
      <c r="U373" s="1556"/>
      <c r="V373" s="1556"/>
      <c r="W373" s="1556"/>
      <c r="X373" s="1556"/>
      <c r="Y373" s="1556"/>
      <c r="Z373" s="1556"/>
      <c r="AA373" s="1556"/>
      <c r="AB373" s="1556"/>
      <c r="AC373" s="1556"/>
      <c r="AD373" s="1556"/>
      <c r="AE373" s="1556"/>
      <c r="AF373" s="1556"/>
      <c r="AG373" s="1556"/>
      <c r="AH373" s="1556"/>
      <c r="AI373" s="1556"/>
      <c r="AJ373" s="1556"/>
      <c r="AK373" s="1609"/>
      <c r="AL373" s="1609"/>
      <c r="AM373" s="1609"/>
      <c r="AN373" s="1609"/>
      <c r="AO373" s="1609"/>
      <c r="AP373" s="1609"/>
      <c r="AQ373" s="1609"/>
      <c r="AR373" s="1556"/>
      <c r="AS373" s="1609"/>
      <c r="AT373" s="1609"/>
      <c r="AU373" s="1609"/>
      <c r="AV373" s="1609"/>
      <c r="AW373" s="1556"/>
      <c r="AX373" s="1609"/>
      <c r="AY373" s="1609"/>
      <c r="AZ373" s="1609"/>
      <c r="BA373" s="1556"/>
      <c r="BB373" s="1556"/>
      <c r="BC373" s="1556"/>
      <c r="BD373" s="1556"/>
      <c r="BE373" s="1556"/>
      <c r="BF373" s="1556"/>
      <c r="BG373" s="1556"/>
      <c r="BI373" s="1629"/>
      <c r="BJ373" s="1629"/>
      <c r="BK373" s="1629"/>
    </row>
    <row r="374" s="1057" customFormat="1" customHeight="1" spans="1:63">
      <c r="A374" s="1556"/>
      <c r="F374" s="1557"/>
      <c r="M374" s="1556"/>
      <c r="N374" s="1556"/>
      <c r="O374" s="1556"/>
      <c r="P374" s="1556"/>
      <c r="Q374" s="1556"/>
      <c r="R374" s="1556"/>
      <c r="S374" s="1581"/>
      <c r="T374" s="1556"/>
      <c r="U374" s="1556"/>
      <c r="V374" s="1556"/>
      <c r="W374" s="1556"/>
      <c r="X374" s="1556"/>
      <c r="Y374" s="1556"/>
      <c r="Z374" s="1556"/>
      <c r="AA374" s="1556"/>
      <c r="AB374" s="1556"/>
      <c r="AC374" s="1556"/>
      <c r="AD374" s="1556"/>
      <c r="AE374" s="1556"/>
      <c r="AF374" s="1556"/>
      <c r="AG374" s="1556"/>
      <c r="AH374" s="1556"/>
      <c r="AI374" s="1556"/>
      <c r="AJ374" s="1556"/>
      <c r="AK374" s="1609"/>
      <c r="AL374" s="1609"/>
      <c r="AM374" s="1609"/>
      <c r="AN374" s="1609"/>
      <c r="AO374" s="1609"/>
      <c r="AP374" s="1609"/>
      <c r="AQ374" s="1609"/>
      <c r="AR374" s="1556"/>
      <c r="AS374" s="1609"/>
      <c r="AT374" s="1609"/>
      <c r="AU374" s="1609"/>
      <c r="AV374" s="1609"/>
      <c r="AW374" s="1556"/>
      <c r="AX374" s="1609"/>
      <c r="AY374" s="1609"/>
      <c r="AZ374" s="1609"/>
      <c r="BA374" s="1556"/>
      <c r="BB374" s="1556"/>
      <c r="BC374" s="1556"/>
      <c r="BD374" s="1556"/>
      <c r="BE374" s="1556"/>
      <c r="BF374" s="1556"/>
      <c r="BG374" s="1556"/>
      <c r="BI374" s="1629"/>
      <c r="BJ374" s="1629"/>
      <c r="BK374" s="1629"/>
    </row>
    <row r="375" s="1057" customFormat="1" customHeight="1" spans="1:63">
      <c r="A375" s="1556"/>
      <c r="F375" s="1557"/>
      <c r="M375" s="1556"/>
      <c r="N375" s="1556"/>
      <c r="O375" s="1556"/>
      <c r="P375" s="1556"/>
      <c r="Q375" s="1556"/>
      <c r="R375" s="1556"/>
      <c r="S375" s="1581"/>
      <c r="T375" s="1556"/>
      <c r="U375" s="1556"/>
      <c r="V375" s="1556"/>
      <c r="W375" s="1556"/>
      <c r="X375" s="1556"/>
      <c r="Y375" s="1556"/>
      <c r="Z375" s="1556"/>
      <c r="AA375" s="1556"/>
      <c r="AB375" s="1556"/>
      <c r="AC375" s="1556"/>
      <c r="AD375" s="1556"/>
      <c r="AE375" s="1556"/>
      <c r="AF375" s="1556"/>
      <c r="AG375" s="1556"/>
      <c r="AH375" s="1556"/>
      <c r="AI375" s="1556"/>
      <c r="AJ375" s="1556"/>
      <c r="AK375" s="1609"/>
      <c r="AL375" s="1609"/>
      <c r="AM375" s="1609"/>
      <c r="AN375" s="1609"/>
      <c r="AO375" s="1609"/>
      <c r="AP375" s="1609"/>
      <c r="AQ375" s="1609"/>
      <c r="AR375" s="1556"/>
      <c r="AS375" s="1609"/>
      <c r="AT375" s="1609"/>
      <c r="AU375" s="1609"/>
      <c r="AV375" s="1609"/>
      <c r="AW375" s="1556"/>
      <c r="AX375" s="1609"/>
      <c r="AY375" s="1609"/>
      <c r="AZ375" s="1609"/>
      <c r="BA375" s="1556"/>
      <c r="BB375" s="1556"/>
      <c r="BC375" s="1556"/>
      <c r="BD375" s="1556"/>
      <c r="BE375" s="1556"/>
      <c r="BF375" s="1556"/>
      <c r="BG375" s="1556"/>
      <c r="BI375" s="1629"/>
      <c r="BJ375" s="1629"/>
      <c r="BK375" s="1629"/>
    </row>
    <row r="376" s="1057" customFormat="1" customHeight="1" spans="1:63">
      <c r="A376" s="1556"/>
      <c r="F376" s="1557"/>
      <c r="M376" s="1556"/>
      <c r="N376" s="1556"/>
      <c r="O376" s="1556"/>
      <c r="P376" s="1556"/>
      <c r="Q376" s="1556"/>
      <c r="R376" s="1556"/>
      <c r="S376" s="1581"/>
      <c r="T376" s="1556"/>
      <c r="U376" s="1556"/>
      <c r="V376" s="1556"/>
      <c r="W376" s="1556"/>
      <c r="X376" s="1556"/>
      <c r="Y376" s="1556"/>
      <c r="Z376" s="1556"/>
      <c r="AA376" s="1556"/>
      <c r="AB376" s="1556"/>
      <c r="AC376" s="1556"/>
      <c r="AD376" s="1556"/>
      <c r="AE376" s="1556"/>
      <c r="AF376" s="1556"/>
      <c r="AG376" s="1556"/>
      <c r="AH376" s="1556"/>
      <c r="AI376" s="1556"/>
      <c r="AJ376" s="1556"/>
      <c r="AK376" s="1609"/>
      <c r="AL376" s="1609"/>
      <c r="AM376" s="1609"/>
      <c r="AN376" s="1609"/>
      <c r="AO376" s="1609"/>
      <c r="AP376" s="1609"/>
      <c r="AQ376" s="1609"/>
      <c r="AR376" s="1556"/>
      <c r="AS376" s="1609"/>
      <c r="AT376" s="1609"/>
      <c r="AU376" s="1609"/>
      <c r="AV376" s="1609"/>
      <c r="AW376" s="1556"/>
      <c r="AX376" s="1609"/>
      <c r="AY376" s="1609"/>
      <c r="AZ376" s="1609"/>
      <c r="BA376" s="1556"/>
      <c r="BB376" s="1556"/>
      <c r="BC376" s="1556"/>
      <c r="BD376" s="1556"/>
      <c r="BE376" s="1556"/>
      <c r="BF376" s="1556"/>
      <c r="BG376" s="1556"/>
      <c r="BI376" s="1629"/>
      <c r="BJ376" s="1629"/>
      <c r="BK376" s="1629"/>
    </row>
    <row r="377" s="1057" customFormat="1" customHeight="1" spans="1:63">
      <c r="A377" s="1556"/>
      <c r="F377" s="1557"/>
      <c r="M377" s="1556"/>
      <c r="N377" s="1556"/>
      <c r="O377" s="1556"/>
      <c r="P377" s="1556"/>
      <c r="Q377" s="1556"/>
      <c r="R377" s="1556"/>
      <c r="S377" s="1581"/>
      <c r="T377" s="1556"/>
      <c r="U377" s="1556"/>
      <c r="V377" s="1556"/>
      <c r="W377" s="1556"/>
      <c r="X377" s="1556"/>
      <c r="Y377" s="1556"/>
      <c r="Z377" s="1556"/>
      <c r="AA377" s="1556"/>
      <c r="AB377" s="1556"/>
      <c r="AC377" s="1556"/>
      <c r="AD377" s="1556"/>
      <c r="AE377" s="1556"/>
      <c r="AF377" s="1556"/>
      <c r="AG377" s="1556"/>
      <c r="AH377" s="1556"/>
      <c r="AI377" s="1556"/>
      <c r="AJ377" s="1556"/>
      <c r="AK377" s="1609"/>
      <c r="AL377" s="1609"/>
      <c r="AM377" s="1609"/>
      <c r="AN377" s="1609"/>
      <c r="AO377" s="1609"/>
      <c r="AP377" s="1609"/>
      <c r="AQ377" s="1609"/>
      <c r="AR377" s="1556"/>
      <c r="AS377" s="1609"/>
      <c r="AT377" s="1609"/>
      <c r="AU377" s="1609"/>
      <c r="AV377" s="1609"/>
      <c r="AW377" s="1556"/>
      <c r="AX377" s="1609"/>
      <c r="AY377" s="1609"/>
      <c r="AZ377" s="1609"/>
      <c r="BA377" s="1556"/>
      <c r="BB377" s="1556"/>
      <c r="BC377" s="1556"/>
      <c r="BD377" s="1556"/>
      <c r="BE377" s="1556"/>
      <c r="BF377" s="1556"/>
      <c r="BG377" s="1556"/>
      <c r="BI377" s="1629"/>
      <c r="BJ377" s="1629"/>
      <c r="BK377" s="1629"/>
    </row>
    <row r="378" s="1057" customFormat="1" customHeight="1" spans="1:63">
      <c r="A378" s="1556"/>
      <c r="F378" s="1557"/>
      <c r="M378" s="1556"/>
      <c r="N378" s="1556"/>
      <c r="O378" s="1556"/>
      <c r="P378" s="1556"/>
      <c r="Q378" s="1556"/>
      <c r="R378" s="1556"/>
      <c r="S378" s="1581"/>
      <c r="T378" s="1556"/>
      <c r="U378" s="1556"/>
      <c r="V378" s="1556"/>
      <c r="W378" s="1556"/>
      <c r="X378" s="1556"/>
      <c r="Y378" s="1556"/>
      <c r="Z378" s="1556"/>
      <c r="AA378" s="1556"/>
      <c r="AB378" s="1556"/>
      <c r="AC378" s="1556"/>
      <c r="AD378" s="1556"/>
      <c r="AE378" s="1556"/>
      <c r="AF378" s="1556"/>
      <c r="AG378" s="1556"/>
      <c r="AH378" s="1556"/>
      <c r="AI378" s="1556"/>
      <c r="AJ378" s="1556"/>
      <c r="AK378" s="1609"/>
      <c r="AL378" s="1609"/>
      <c r="AM378" s="1609"/>
      <c r="AN378" s="1609"/>
      <c r="AO378" s="1609"/>
      <c r="AP378" s="1609"/>
      <c r="AQ378" s="1609"/>
      <c r="AR378" s="1556"/>
      <c r="AS378" s="1609"/>
      <c r="AT378" s="1609"/>
      <c r="AU378" s="1609"/>
      <c r="AV378" s="1609"/>
      <c r="AW378" s="1556"/>
      <c r="AX378" s="1609"/>
      <c r="AY378" s="1609"/>
      <c r="AZ378" s="1609"/>
      <c r="BA378" s="1556"/>
      <c r="BB378" s="1556"/>
      <c r="BC378" s="1556"/>
      <c r="BD378" s="1556"/>
      <c r="BE378" s="1556"/>
      <c r="BF378" s="1556"/>
      <c r="BG378" s="1556"/>
      <c r="BI378" s="1629"/>
      <c r="BJ378" s="1629"/>
      <c r="BK378" s="1629"/>
    </row>
    <row r="379" s="1057" customFormat="1" customHeight="1" spans="1:63">
      <c r="A379" s="1556"/>
      <c r="F379" s="1557"/>
      <c r="M379" s="1556"/>
      <c r="N379" s="1556"/>
      <c r="O379" s="1556"/>
      <c r="P379" s="1556"/>
      <c r="Q379" s="1556"/>
      <c r="R379" s="1556"/>
      <c r="S379" s="1581"/>
      <c r="T379" s="1556"/>
      <c r="U379" s="1556"/>
      <c r="V379" s="1556"/>
      <c r="W379" s="1556"/>
      <c r="X379" s="1556"/>
      <c r="Y379" s="1556"/>
      <c r="Z379" s="1556"/>
      <c r="AA379" s="1556"/>
      <c r="AB379" s="1556"/>
      <c r="AC379" s="1556"/>
      <c r="AD379" s="1556"/>
      <c r="AE379" s="1556"/>
      <c r="AF379" s="1556"/>
      <c r="AG379" s="1556"/>
      <c r="AH379" s="1556"/>
      <c r="AI379" s="1556"/>
      <c r="AJ379" s="1556"/>
      <c r="AK379" s="1609"/>
      <c r="AL379" s="1609"/>
      <c r="AM379" s="1609"/>
      <c r="AN379" s="1609"/>
      <c r="AO379" s="1609"/>
      <c r="AP379" s="1609"/>
      <c r="AQ379" s="1609"/>
      <c r="AR379" s="1556"/>
      <c r="AS379" s="1609"/>
      <c r="AT379" s="1609"/>
      <c r="AU379" s="1609"/>
      <c r="AV379" s="1609"/>
      <c r="AW379" s="1556"/>
      <c r="AX379" s="1609"/>
      <c r="AY379" s="1609"/>
      <c r="AZ379" s="1609"/>
      <c r="BA379" s="1556"/>
      <c r="BB379" s="1556"/>
      <c r="BC379" s="1556"/>
      <c r="BD379" s="1556"/>
      <c r="BE379" s="1556"/>
      <c r="BF379" s="1556"/>
      <c r="BG379" s="1556"/>
      <c r="BI379" s="1629"/>
      <c r="BJ379" s="1629"/>
      <c r="BK379" s="1629"/>
    </row>
    <row r="380" s="1057" customFormat="1" customHeight="1" spans="1:63">
      <c r="A380" s="1556"/>
      <c r="F380" s="1557"/>
      <c r="M380" s="1556"/>
      <c r="N380" s="1556"/>
      <c r="O380" s="1556"/>
      <c r="P380" s="1556"/>
      <c r="Q380" s="1556"/>
      <c r="R380" s="1556"/>
      <c r="S380" s="1581"/>
      <c r="T380" s="1556"/>
      <c r="U380" s="1556"/>
      <c r="V380" s="1556"/>
      <c r="W380" s="1556"/>
      <c r="X380" s="1556"/>
      <c r="Y380" s="1556"/>
      <c r="Z380" s="1556"/>
      <c r="AA380" s="1556"/>
      <c r="AB380" s="1556"/>
      <c r="AC380" s="1556"/>
      <c r="AD380" s="1556"/>
      <c r="AE380" s="1556"/>
      <c r="AF380" s="1556"/>
      <c r="AG380" s="1556"/>
      <c r="AH380" s="1556"/>
      <c r="AI380" s="1556"/>
      <c r="AJ380" s="1556"/>
      <c r="AK380" s="1609"/>
      <c r="AL380" s="1609"/>
      <c r="AM380" s="1609"/>
      <c r="AN380" s="1609"/>
      <c r="AO380" s="1609"/>
      <c r="AP380" s="1609"/>
      <c r="AQ380" s="1609"/>
      <c r="AR380" s="1556"/>
      <c r="AS380" s="1609"/>
      <c r="AT380" s="1609"/>
      <c r="AU380" s="1609"/>
      <c r="AV380" s="1609"/>
      <c r="AW380" s="1556"/>
      <c r="AX380" s="1609"/>
      <c r="AY380" s="1609"/>
      <c r="AZ380" s="1609"/>
      <c r="BA380" s="1556"/>
      <c r="BB380" s="1556"/>
      <c r="BC380" s="1556"/>
      <c r="BD380" s="1556"/>
      <c r="BE380" s="1556"/>
      <c r="BF380" s="1556"/>
      <c r="BG380" s="1556"/>
      <c r="BI380" s="1629"/>
      <c r="BJ380" s="1629"/>
      <c r="BK380" s="1629"/>
    </row>
    <row r="381" s="1057" customFormat="1" customHeight="1" spans="1:63">
      <c r="A381" s="1556"/>
      <c r="F381" s="1557"/>
      <c r="M381" s="1556"/>
      <c r="N381" s="1556"/>
      <c r="O381" s="1556"/>
      <c r="P381" s="1556"/>
      <c r="Q381" s="1556"/>
      <c r="R381" s="1556"/>
      <c r="S381" s="1581"/>
      <c r="T381" s="1556"/>
      <c r="U381" s="1556"/>
      <c r="V381" s="1556"/>
      <c r="W381" s="1556"/>
      <c r="X381" s="1556"/>
      <c r="Y381" s="1556"/>
      <c r="Z381" s="1556"/>
      <c r="AA381" s="1556"/>
      <c r="AB381" s="1556"/>
      <c r="AC381" s="1556"/>
      <c r="AD381" s="1556"/>
      <c r="AE381" s="1556"/>
      <c r="AF381" s="1556"/>
      <c r="AG381" s="1556"/>
      <c r="AH381" s="1556"/>
      <c r="AI381" s="1556"/>
      <c r="AJ381" s="1556"/>
      <c r="AK381" s="1609"/>
      <c r="AL381" s="1609"/>
      <c r="AM381" s="1609"/>
      <c r="AN381" s="1609"/>
      <c r="AO381" s="1609"/>
      <c r="AP381" s="1609"/>
      <c r="AQ381" s="1609"/>
      <c r="AR381" s="1556"/>
      <c r="AS381" s="1609"/>
      <c r="AT381" s="1609"/>
      <c r="AU381" s="1609"/>
      <c r="AV381" s="1609"/>
      <c r="AW381" s="1556"/>
      <c r="AX381" s="1609"/>
      <c r="AY381" s="1609"/>
      <c r="AZ381" s="1609"/>
      <c r="BA381" s="1556"/>
      <c r="BB381" s="1556"/>
      <c r="BC381" s="1556"/>
      <c r="BD381" s="1556"/>
      <c r="BE381" s="1556"/>
      <c r="BF381" s="1556"/>
      <c r="BG381" s="1556"/>
      <c r="BI381" s="1629"/>
      <c r="BJ381" s="1629"/>
      <c r="BK381" s="1629"/>
    </row>
    <row r="382" s="1057" customFormat="1" customHeight="1" spans="1:63">
      <c r="A382" s="1556"/>
      <c r="F382" s="1557"/>
      <c r="M382" s="1556"/>
      <c r="N382" s="1556"/>
      <c r="O382" s="1556"/>
      <c r="P382" s="1556"/>
      <c r="Q382" s="1556"/>
      <c r="R382" s="1556"/>
      <c r="S382" s="1581"/>
      <c r="T382" s="1556"/>
      <c r="U382" s="1556"/>
      <c r="V382" s="1556"/>
      <c r="W382" s="1556"/>
      <c r="X382" s="1556"/>
      <c r="Y382" s="1556"/>
      <c r="Z382" s="1556"/>
      <c r="AA382" s="1556"/>
      <c r="AB382" s="1556"/>
      <c r="AC382" s="1556"/>
      <c r="AD382" s="1556"/>
      <c r="AE382" s="1556"/>
      <c r="AF382" s="1556"/>
      <c r="AG382" s="1556"/>
      <c r="AH382" s="1556"/>
      <c r="AI382" s="1556"/>
      <c r="AJ382" s="1556"/>
      <c r="AK382" s="1609"/>
      <c r="AL382" s="1609"/>
      <c r="AM382" s="1609"/>
      <c r="AN382" s="1609"/>
      <c r="AO382" s="1609"/>
      <c r="AP382" s="1609"/>
      <c r="AQ382" s="1609"/>
      <c r="AR382" s="1556"/>
      <c r="AS382" s="1609"/>
      <c r="AT382" s="1609"/>
      <c r="AU382" s="1609"/>
      <c r="AV382" s="1609"/>
      <c r="AW382" s="1556"/>
      <c r="AX382" s="1609"/>
      <c r="AY382" s="1609"/>
      <c r="AZ382" s="1609"/>
      <c r="BA382" s="1556"/>
      <c r="BB382" s="1556"/>
      <c r="BC382" s="1556"/>
      <c r="BD382" s="1556"/>
      <c r="BE382" s="1556"/>
      <c r="BF382" s="1556"/>
      <c r="BG382" s="1556"/>
      <c r="BI382" s="1629"/>
      <c r="BJ382" s="1629"/>
      <c r="BK382" s="1629"/>
    </row>
    <row r="383" s="1057" customFormat="1" customHeight="1" spans="1:63">
      <c r="A383" s="1556"/>
      <c r="F383" s="1557"/>
      <c r="M383" s="1556"/>
      <c r="N383" s="1556"/>
      <c r="O383" s="1556"/>
      <c r="P383" s="1556"/>
      <c r="Q383" s="1556"/>
      <c r="R383" s="1556"/>
      <c r="S383" s="1581"/>
      <c r="T383" s="1556"/>
      <c r="U383" s="1556"/>
      <c r="V383" s="1556"/>
      <c r="W383" s="1556"/>
      <c r="X383" s="1556"/>
      <c r="Y383" s="1556"/>
      <c r="Z383" s="1556"/>
      <c r="AA383" s="1556"/>
      <c r="AB383" s="1556"/>
      <c r="AC383" s="1556"/>
      <c r="AD383" s="1556"/>
      <c r="AE383" s="1556"/>
      <c r="AF383" s="1556"/>
      <c r="AG383" s="1556"/>
      <c r="AH383" s="1556"/>
      <c r="AI383" s="1556"/>
      <c r="AJ383" s="1556"/>
      <c r="AK383" s="1609"/>
      <c r="AL383" s="1609"/>
      <c r="AM383" s="1609"/>
      <c r="AN383" s="1609"/>
      <c r="AO383" s="1609"/>
      <c r="AP383" s="1609"/>
      <c r="AQ383" s="1609"/>
      <c r="AR383" s="1556"/>
      <c r="AS383" s="1609"/>
      <c r="AT383" s="1609"/>
      <c r="AU383" s="1609"/>
      <c r="AV383" s="1609"/>
      <c r="AW383" s="1556"/>
      <c r="AX383" s="1609"/>
      <c r="AY383" s="1609"/>
      <c r="AZ383" s="1609"/>
      <c r="BA383" s="1556"/>
      <c r="BB383" s="1556"/>
      <c r="BC383" s="1556"/>
      <c r="BD383" s="1556"/>
      <c r="BE383" s="1556"/>
      <c r="BF383" s="1556"/>
      <c r="BG383" s="1556"/>
      <c r="BI383" s="1629"/>
      <c r="BJ383" s="1629"/>
      <c r="BK383" s="1629"/>
    </row>
    <row r="384" s="1057" customFormat="1" customHeight="1" spans="1:63">
      <c r="A384" s="1556"/>
      <c r="F384" s="1557"/>
      <c r="M384" s="1556"/>
      <c r="N384" s="1556"/>
      <c r="O384" s="1556"/>
      <c r="P384" s="1556"/>
      <c r="Q384" s="1556"/>
      <c r="R384" s="1556"/>
      <c r="S384" s="1581"/>
      <c r="T384" s="1556"/>
      <c r="U384" s="1556"/>
      <c r="V384" s="1556"/>
      <c r="W384" s="1556"/>
      <c r="X384" s="1556"/>
      <c r="Y384" s="1556"/>
      <c r="Z384" s="1556"/>
      <c r="AA384" s="1556"/>
      <c r="AB384" s="1556"/>
      <c r="AC384" s="1556"/>
      <c r="AD384" s="1556"/>
      <c r="AE384" s="1556"/>
      <c r="AF384" s="1556"/>
      <c r="AG384" s="1556"/>
      <c r="AH384" s="1556"/>
      <c r="AI384" s="1556"/>
      <c r="AJ384" s="1556"/>
      <c r="AK384" s="1609"/>
      <c r="AL384" s="1609"/>
      <c r="AM384" s="1609"/>
      <c r="AN384" s="1609"/>
      <c r="AO384" s="1609"/>
      <c r="AP384" s="1609"/>
      <c r="AQ384" s="1609"/>
      <c r="AR384" s="1556"/>
      <c r="AS384" s="1609"/>
      <c r="AT384" s="1609"/>
      <c r="AU384" s="1609"/>
      <c r="AV384" s="1609"/>
      <c r="AW384" s="1556"/>
      <c r="AX384" s="1609"/>
      <c r="AY384" s="1609"/>
      <c r="AZ384" s="1609"/>
      <c r="BA384" s="1556"/>
      <c r="BB384" s="1556"/>
      <c r="BC384" s="1556"/>
      <c r="BD384" s="1556"/>
      <c r="BE384" s="1556"/>
      <c r="BF384" s="1556"/>
      <c r="BG384" s="1556"/>
      <c r="BI384" s="1629"/>
      <c r="BJ384" s="1629"/>
      <c r="BK384" s="1629"/>
    </row>
    <row r="385" s="1057" customFormat="1" customHeight="1" spans="1:63">
      <c r="A385" s="1556"/>
      <c r="F385" s="1557"/>
      <c r="M385" s="1556"/>
      <c r="N385" s="1556"/>
      <c r="O385" s="1556"/>
      <c r="P385" s="1556"/>
      <c r="Q385" s="1556"/>
      <c r="R385" s="1556"/>
      <c r="S385" s="1581"/>
      <c r="T385" s="1556"/>
      <c r="U385" s="1556"/>
      <c r="V385" s="1556"/>
      <c r="W385" s="1556"/>
      <c r="X385" s="1556"/>
      <c r="Y385" s="1556"/>
      <c r="Z385" s="1556"/>
      <c r="AA385" s="1556"/>
      <c r="AB385" s="1556"/>
      <c r="AC385" s="1556"/>
      <c r="AD385" s="1556"/>
      <c r="AE385" s="1556"/>
      <c r="AF385" s="1556"/>
      <c r="AG385" s="1556"/>
      <c r="AH385" s="1556"/>
      <c r="AI385" s="1556"/>
      <c r="AJ385" s="1556"/>
      <c r="AK385" s="1609"/>
      <c r="AL385" s="1609"/>
      <c r="AM385" s="1609"/>
      <c r="AN385" s="1609"/>
      <c r="AO385" s="1609"/>
      <c r="AP385" s="1609"/>
      <c r="AQ385" s="1609"/>
      <c r="AR385" s="1556"/>
      <c r="AS385" s="1609"/>
      <c r="AT385" s="1609"/>
      <c r="AU385" s="1609"/>
      <c r="AV385" s="1609"/>
      <c r="AW385" s="1556"/>
      <c r="AX385" s="1609"/>
      <c r="AY385" s="1609"/>
      <c r="AZ385" s="1609"/>
      <c r="BA385" s="1556"/>
      <c r="BB385" s="1556"/>
      <c r="BC385" s="1556"/>
      <c r="BD385" s="1556"/>
      <c r="BE385" s="1556"/>
      <c r="BF385" s="1556"/>
      <c r="BG385" s="1556"/>
      <c r="BI385" s="1629"/>
      <c r="BJ385" s="1629"/>
      <c r="BK385" s="1629"/>
    </row>
    <row r="386" s="1057" customFormat="1" customHeight="1" spans="1:63">
      <c r="A386" s="1556"/>
      <c r="F386" s="1557"/>
      <c r="M386" s="1556"/>
      <c r="N386" s="1556"/>
      <c r="O386" s="1556"/>
      <c r="P386" s="1556"/>
      <c r="Q386" s="1556"/>
      <c r="R386" s="1556"/>
      <c r="S386" s="1581"/>
      <c r="T386" s="1556"/>
      <c r="U386" s="1556"/>
      <c r="V386" s="1556"/>
      <c r="W386" s="1556"/>
      <c r="X386" s="1556"/>
      <c r="Y386" s="1556"/>
      <c r="Z386" s="1556"/>
      <c r="AA386" s="1556"/>
      <c r="AB386" s="1556"/>
      <c r="AC386" s="1556"/>
      <c r="AD386" s="1556"/>
      <c r="AE386" s="1556"/>
      <c r="AF386" s="1556"/>
      <c r="AG386" s="1556"/>
      <c r="AH386" s="1556"/>
      <c r="AI386" s="1556"/>
      <c r="AJ386" s="1556"/>
      <c r="AK386" s="1609"/>
      <c r="AL386" s="1609"/>
      <c r="AM386" s="1609"/>
      <c r="AN386" s="1609"/>
      <c r="AO386" s="1609"/>
      <c r="AP386" s="1609"/>
      <c r="AQ386" s="1609"/>
      <c r="AR386" s="1556"/>
      <c r="AS386" s="1609"/>
      <c r="AT386" s="1609"/>
      <c r="AU386" s="1609"/>
      <c r="AV386" s="1609"/>
      <c r="AW386" s="1556"/>
      <c r="AX386" s="1609"/>
      <c r="AY386" s="1609"/>
      <c r="AZ386" s="1609"/>
      <c r="BA386" s="1556"/>
      <c r="BB386" s="1556"/>
      <c r="BC386" s="1556"/>
      <c r="BD386" s="1556"/>
      <c r="BE386" s="1556"/>
      <c r="BF386" s="1556"/>
      <c r="BG386" s="1556"/>
      <c r="BI386" s="1629"/>
      <c r="BJ386" s="1629"/>
      <c r="BK386" s="1629"/>
    </row>
    <row r="387" s="1057" customFormat="1" customHeight="1" spans="1:63">
      <c r="A387" s="1556"/>
      <c r="F387" s="1557"/>
      <c r="M387" s="1556"/>
      <c r="N387" s="1556"/>
      <c r="O387" s="1556"/>
      <c r="P387" s="1556"/>
      <c r="Q387" s="1556"/>
      <c r="R387" s="1556"/>
      <c r="S387" s="1581"/>
      <c r="T387" s="1556"/>
      <c r="U387" s="1556"/>
      <c r="V387" s="1556"/>
      <c r="W387" s="1556"/>
      <c r="X387" s="1556"/>
      <c r="Y387" s="1556"/>
      <c r="Z387" s="1556"/>
      <c r="AA387" s="1556"/>
      <c r="AB387" s="1556"/>
      <c r="AC387" s="1556"/>
      <c r="AD387" s="1556"/>
      <c r="AE387" s="1556"/>
      <c r="AF387" s="1556"/>
      <c r="AG387" s="1556"/>
      <c r="AH387" s="1556"/>
      <c r="AI387" s="1556"/>
      <c r="AJ387" s="1556"/>
      <c r="AK387" s="1609"/>
      <c r="AL387" s="1609"/>
      <c r="AM387" s="1609"/>
      <c r="AN387" s="1609"/>
      <c r="AO387" s="1609"/>
      <c r="AP387" s="1609"/>
      <c r="AQ387" s="1609"/>
      <c r="AR387" s="1556"/>
      <c r="AS387" s="1609"/>
      <c r="AT387" s="1609"/>
      <c r="AU387" s="1609"/>
      <c r="AV387" s="1609"/>
      <c r="AW387" s="1556"/>
      <c r="AX387" s="1609"/>
      <c r="AY387" s="1609"/>
      <c r="AZ387" s="1609"/>
      <c r="BA387" s="1556"/>
      <c r="BB387" s="1556"/>
      <c r="BC387" s="1556"/>
      <c r="BD387" s="1556"/>
      <c r="BE387" s="1556"/>
      <c r="BF387" s="1556"/>
      <c r="BG387" s="1556"/>
      <c r="BI387" s="1629"/>
      <c r="BJ387" s="1629"/>
      <c r="BK387" s="1629"/>
    </row>
    <row r="388" s="1057" customFormat="1" customHeight="1" spans="1:63">
      <c r="A388" s="1556"/>
      <c r="F388" s="1557"/>
      <c r="M388" s="1556"/>
      <c r="N388" s="1556"/>
      <c r="O388" s="1556"/>
      <c r="P388" s="1556"/>
      <c r="Q388" s="1556"/>
      <c r="R388" s="1556"/>
      <c r="S388" s="1581"/>
      <c r="T388" s="1556"/>
      <c r="U388" s="1556"/>
      <c r="V388" s="1556"/>
      <c r="W388" s="1556"/>
      <c r="X388" s="1556"/>
      <c r="Y388" s="1556"/>
      <c r="Z388" s="1556"/>
      <c r="AA388" s="1556"/>
      <c r="AB388" s="1556"/>
      <c r="AC388" s="1556"/>
      <c r="AD388" s="1556"/>
      <c r="AE388" s="1556"/>
      <c r="AF388" s="1556"/>
      <c r="AG388" s="1556"/>
      <c r="AH388" s="1556"/>
      <c r="AI388" s="1556"/>
      <c r="AJ388" s="1556"/>
      <c r="AK388" s="1609"/>
      <c r="AL388" s="1609"/>
      <c r="AM388" s="1609"/>
      <c r="AN388" s="1609"/>
      <c r="AO388" s="1609"/>
      <c r="AP388" s="1609"/>
      <c r="AQ388" s="1609"/>
      <c r="AR388" s="1556"/>
      <c r="AS388" s="1609"/>
      <c r="AT388" s="1609"/>
      <c r="AU388" s="1609"/>
      <c r="AV388" s="1609"/>
      <c r="AW388" s="1556"/>
      <c r="AX388" s="1609"/>
      <c r="AY388" s="1609"/>
      <c r="AZ388" s="1609"/>
      <c r="BA388" s="1556"/>
      <c r="BB388" s="1556"/>
      <c r="BC388" s="1556"/>
      <c r="BD388" s="1556"/>
      <c r="BE388" s="1556"/>
      <c r="BF388" s="1556"/>
      <c r="BG388" s="1556"/>
      <c r="BI388" s="1629"/>
      <c r="BJ388" s="1629"/>
      <c r="BK388" s="1629"/>
    </row>
    <row r="389" s="1057" customFormat="1" customHeight="1" spans="1:63">
      <c r="A389" s="1556"/>
      <c r="F389" s="1557"/>
      <c r="M389" s="1556"/>
      <c r="N389" s="1556"/>
      <c r="O389" s="1556"/>
      <c r="P389" s="1556"/>
      <c r="Q389" s="1556"/>
      <c r="R389" s="1556"/>
      <c r="S389" s="1581"/>
      <c r="T389" s="1556"/>
      <c r="U389" s="1556"/>
      <c r="V389" s="1556"/>
      <c r="W389" s="1556"/>
      <c r="X389" s="1556"/>
      <c r="Y389" s="1556"/>
      <c r="Z389" s="1556"/>
      <c r="AA389" s="1556"/>
      <c r="AB389" s="1556"/>
      <c r="AC389" s="1556"/>
      <c r="AD389" s="1556"/>
      <c r="AE389" s="1556"/>
      <c r="AF389" s="1556"/>
      <c r="AG389" s="1556"/>
      <c r="AH389" s="1556"/>
      <c r="AI389" s="1556"/>
      <c r="AJ389" s="1556"/>
      <c r="AK389" s="1609"/>
      <c r="AL389" s="1609"/>
      <c r="AM389" s="1609"/>
      <c r="AN389" s="1609"/>
      <c r="AO389" s="1609"/>
      <c r="AP389" s="1609"/>
      <c r="AQ389" s="1609"/>
      <c r="AR389" s="1556"/>
      <c r="AS389" s="1609"/>
      <c r="AT389" s="1609"/>
      <c r="AU389" s="1609"/>
      <c r="AV389" s="1609"/>
      <c r="AW389" s="1556"/>
      <c r="AX389" s="1609"/>
      <c r="AY389" s="1609"/>
      <c r="AZ389" s="1609"/>
      <c r="BA389" s="1556"/>
      <c r="BB389" s="1556"/>
      <c r="BC389" s="1556"/>
      <c r="BD389" s="1556"/>
      <c r="BE389" s="1556"/>
      <c r="BF389" s="1556"/>
      <c r="BG389" s="1556"/>
      <c r="BI389" s="1629"/>
      <c r="BJ389" s="1629"/>
      <c r="BK389" s="1629"/>
    </row>
    <row r="390" s="1057" customFormat="1" customHeight="1" spans="1:63">
      <c r="A390" s="1556"/>
      <c r="F390" s="1557"/>
      <c r="M390" s="1556"/>
      <c r="N390" s="1556"/>
      <c r="O390" s="1556"/>
      <c r="P390" s="1556"/>
      <c r="Q390" s="1556"/>
      <c r="R390" s="1556"/>
      <c r="S390" s="1581"/>
      <c r="T390" s="1556"/>
      <c r="U390" s="1556"/>
      <c r="V390" s="1556"/>
      <c r="W390" s="1556"/>
      <c r="X390" s="1556"/>
      <c r="Y390" s="1556"/>
      <c r="Z390" s="1556"/>
      <c r="AA390" s="1556"/>
      <c r="AB390" s="1556"/>
      <c r="AC390" s="1556"/>
      <c r="AD390" s="1556"/>
      <c r="AE390" s="1556"/>
      <c r="AF390" s="1556"/>
      <c r="AG390" s="1556"/>
      <c r="AH390" s="1556"/>
      <c r="AI390" s="1556"/>
      <c r="AJ390" s="1556"/>
      <c r="AK390" s="1609"/>
      <c r="AL390" s="1609"/>
      <c r="AM390" s="1609"/>
      <c r="AN390" s="1609"/>
      <c r="AO390" s="1609"/>
      <c r="AP390" s="1609"/>
      <c r="AQ390" s="1609"/>
      <c r="AR390" s="1556"/>
      <c r="AS390" s="1609"/>
      <c r="AT390" s="1609"/>
      <c r="AU390" s="1609"/>
      <c r="AV390" s="1609"/>
      <c r="AW390" s="1556"/>
      <c r="AX390" s="1609"/>
      <c r="AY390" s="1609"/>
      <c r="AZ390" s="1609"/>
      <c r="BA390" s="1556"/>
      <c r="BB390" s="1556"/>
      <c r="BC390" s="1556"/>
      <c r="BD390" s="1556"/>
      <c r="BE390" s="1556"/>
      <c r="BF390" s="1556"/>
      <c r="BG390" s="1556"/>
      <c r="BI390" s="1629"/>
      <c r="BJ390" s="1629"/>
      <c r="BK390" s="1629"/>
    </row>
    <row r="391" s="1057" customFormat="1" customHeight="1" spans="1:63">
      <c r="A391" s="1556"/>
      <c r="F391" s="1557"/>
      <c r="M391" s="1556"/>
      <c r="N391" s="1556"/>
      <c r="O391" s="1556"/>
      <c r="P391" s="1556"/>
      <c r="Q391" s="1556"/>
      <c r="R391" s="1556"/>
      <c r="S391" s="1581"/>
      <c r="T391" s="1556"/>
      <c r="U391" s="1556"/>
      <c r="V391" s="1556"/>
      <c r="W391" s="1556"/>
      <c r="X391" s="1556"/>
      <c r="Y391" s="1556"/>
      <c r="Z391" s="1556"/>
      <c r="AA391" s="1556"/>
      <c r="AB391" s="1556"/>
      <c r="AC391" s="1556"/>
      <c r="AD391" s="1556"/>
      <c r="AE391" s="1556"/>
      <c r="AF391" s="1556"/>
      <c r="AG391" s="1556"/>
      <c r="AH391" s="1556"/>
      <c r="AI391" s="1556"/>
      <c r="AJ391" s="1556"/>
      <c r="AK391" s="1609"/>
      <c r="AL391" s="1609"/>
      <c r="AM391" s="1609"/>
      <c r="AN391" s="1609"/>
      <c r="AO391" s="1609"/>
      <c r="AP391" s="1609"/>
      <c r="AQ391" s="1609"/>
      <c r="AR391" s="1556"/>
      <c r="AS391" s="1609"/>
      <c r="AT391" s="1609"/>
      <c r="AU391" s="1609"/>
      <c r="AV391" s="1609"/>
      <c r="AW391" s="1556"/>
      <c r="AX391" s="1609"/>
      <c r="AY391" s="1609"/>
      <c r="AZ391" s="1609"/>
      <c r="BA391" s="1556"/>
      <c r="BB391" s="1556"/>
      <c r="BC391" s="1556"/>
      <c r="BD391" s="1556"/>
      <c r="BE391" s="1556"/>
      <c r="BF391" s="1556"/>
      <c r="BG391" s="1556"/>
      <c r="BI391" s="1629"/>
      <c r="BJ391" s="1629"/>
      <c r="BK391" s="1629"/>
    </row>
    <row r="392" s="1057" customFormat="1" customHeight="1" spans="1:63">
      <c r="A392" s="1556"/>
      <c r="F392" s="1557"/>
      <c r="M392" s="1556"/>
      <c r="N392" s="1556"/>
      <c r="O392" s="1556"/>
      <c r="P392" s="1556"/>
      <c r="Q392" s="1556"/>
      <c r="R392" s="1556"/>
      <c r="S392" s="1581"/>
      <c r="T392" s="1556"/>
      <c r="U392" s="1556"/>
      <c r="V392" s="1556"/>
      <c r="W392" s="1556"/>
      <c r="X392" s="1556"/>
      <c r="Y392" s="1556"/>
      <c r="Z392" s="1556"/>
      <c r="AA392" s="1556"/>
      <c r="AB392" s="1556"/>
      <c r="AC392" s="1556"/>
      <c r="AD392" s="1556"/>
      <c r="AE392" s="1556"/>
      <c r="AF392" s="1556"/>
      <c r="AG392" s="1556"/>
      <c r="AH392" s="1556"/>
      <c r="AI392" s="1556"/>
      <c r="AJ392" s="1556"/>
      <c r="AK392" s="1609"/>
      <c r="AL392" s="1609"/>
      <c r="AM392" s="1609"/>
      <c r="AN392" s="1609"/>
      <c r="AO392" s="1609"/>
      <c r="AP392" s="1609"/>
      <c r="AQ392" s="1609"/>
      <c r="AR392" s="1556"/>
      <c r="AS392" s="1609"/>
      <c r="AT392" s="1609"/>
      <c r="AU392" s="1609"/>
      <c r="AV392" s="1609"/>
      <c r="AW392" s="1556"/>
      <c r="AX392" s="1609"/>
      <c r="AY392" s="1609"/>
      <c r="AZ392" s="1609"/>
      <c r="BA392" s="1556"/>
      <c r="BB392" s="1556"/>
      <c r="BC392" s="1556"/>
      <c r="BD392" s="1556"/>
      <c r="BE392" s="1556"/>
      <c r="BF392" s="1556"/>
      <c r="BG392" s="1556"/>
      <c r="BI392" s="1629"/>
      <c r="BJ392" s="1629"/>
      <c r="BK392" s="1629"/>
    </row>
    <row r="393" s="1057" customFormat="1" customHeight="1" spans="1:63">
      <c r="A393" s="1556"/>
      <c r="F393" s="1557"/>
      <c r="M393" s="1556"/>
      <c r="N393" s="1556"/>
      <c r="O393" s="1556"/>
      <c r="P393" s="1556"/>
      <c r="Q393" s="1556"/>
      <c r="R393" s="1556"/>
      <c r="S393" s="1581"/>
      <c r="T393" s="1556"/>
      <c r="U393" s="1556"/>
      <c r="V393" s="1556"/>
      <c r="W393" s="1556"/>
      <c r="X393" s="1556"/>
      <c r="Y393" s="1556"/>
      <c r="Z393" s="1556"/>
      <c r="AA393" s="1556"/>
      <c r="AB393" s="1556"/>
      <c r="AC393" s="1556"/>
      <c r="AD393" s="1556"/>
      <c r="AE393" s="1556"/>
      <c r="AF393" s="1556"/>
      <c r="AG393" s="1556"/>
      <c r="AH393" s="1556"/>
      <c r="AI393" s="1556"/>
      <c r="AJ393" s="1556"/>
      <c r="AK393" s="1609"/>
      <c r="AL393" s="1609"/>
      <c r="AM393" s="1609"/>
      <c r="AN393" s="1609"/>
      <c r="AO393" s="1609"/>
      <c r="AP393" s="1609"/>
      <c r="AQ393" s="1609"/>
      <c r="AR393" s="1556"/>
      <c r="AS393" s="1609"/>
      <c r="AT393" s="1609"/>
      <c r="AU393" s="1609"/>
      <c r="AV393" s="1609"/>
      <c r="AW393" s="1556"/>
      <c r="AX393" s="1609"/>
      <c r="AY393" s="1609"/>
      <c r="AZ393" s="1609"/>
      <c r="BA393" s="1556"/>
      <c r="BB393" s="1556"/>
      <c r="BC393" s="1556"/>
      <c r="BD393" s="1556"/>
      <c r="BE393" s="1556"/>
      <c r="BF393" s="1556"/>
      <c r="BG393" s="1556"/>
      <c r="BI393" s="1629"/>
      <c r="BJ393" s="1629"/>
      <c r="BK393" s="1629"/>
    </row>
    <row r="394" s="1057" customFormat="1" customHeight="1" spans="1:63">
      <c r="A394" s="1556"/>
      <c r="F394" s="1557"/>
      <c r="M394" s="1556"/>
      <c r="N394" s="1556"/>
      <c r="O394" s="1556"/>
      <c r="P394" s="1556"/>
      <c r="Q394" s="1556"/>
      <c r="R394" s="1556"/>
      <c r="S394" s="1581"/>
      <c r="T394" s="1556"/>
      <c r="U394" s="1556"/>
      <c r="V394" s="1556"/>
      <c r="W394" s="1556"/>
      <c r="X394" s="1556"/>
      <c r="Y394" s="1556"/>
      <c r="Z394" s="1556"/>
      <c r="AA394" s="1556"/>
      <c r="AB394" s="1556"/>
      <c r="AC394" s="1556"/>
      <c r="AD394" s="1556"/>
      <c r="AE394" s="1556"/>
      <c r="AF394" s="1556"/>
      <c r="AG394" s="1556"/>
      <c r="AH394" s="1556"/>
      <c r="AI394" s="1556"/>
      <c r="AJ394" s="1556"/>
      <c r="AK394" s="1609"/>
      <c r="AL394" s="1609"/>
      <c r="AM394" s="1609"/>
      <c r="AN394" s="1609"/>
      <c r="AO394" s="1609"/>
      <c r="AP394" s="1609"/>
      <c r="AQ394" s="1609"/>
      <c r="AR394" s="1556"/>
      <c r="AS394" s="1609"/>
      <c r="AT394" s="1609"/>
      <c r="AU394" s="1609"/>
      <c r="AV394" s="1609"/>
      <c r="AW394" s="1556"/>
      <c r="AX394" s="1609"/>
      <c r="AY394" s="1609"/>
      <c r="AZ394" s="1609"/>
      <c r="BA394" s="1556"/>
      <c r="BB394" s="1556"/>
      <c r="BC394" s="1556"/>
      <c r="BD394" s="1556"/>
      <c r="BE394" s="1556"/>
      <c r="BF394" s="1556"/>
      <c r="BG394" s="1556"/>
      <c r="BI394" s="1629"/>
      <c r="BJ394" s="1629"/>
      <c r="BK394" s="1629"/>
    </row>
    <row r="395" s="1057" customFormat="1" customHeight="1" spans="1:63">
      <c r="A395" s="1556"/>
      <c r="F395" s="1557"/>
      <c r="M395" s="1556"/>
      <c r="N395" s="1556"/>
      <c r="O395" s="1556"/>
      <c r="P395" s="1556"/>
      <c r="Q395" s="1556"/>
      <c r="R395" s="1556"/>
      <c r="S395" s="1581"/>
      <c r="T395" s="1556"/>
      <c r="U395" s="1556"/>
      <c r="V395" s="1556"/>
      <c r="W395" s="1556"/>
      <c r="X395" s="1556"/>
      <c r="Y395" s="1556"/>
      <c r="Z395" s="1556"/>
      <c r="AA395" s="1556"/>
      <c r="AB395" s="1556"/>
      <c r="AC395" s="1556"/>
      <c r="AD395" s="1556"/>
      <c r="AE395" s="1556"/>
      <c r="AF395" s="1556"/>
      <c r="AG395" s="1556"/>
      <c r="AH395" s="1556"/>
      <c r="AI395" s="1556"/>
      <c r="AJ395" s="1556"/>
      <c r="AK395" s="1609"/>
      <c r="AL395" s="1609"/>
      <c r="AM395" s="1609"/>
      <c r="AN395" s="1609"/>
      <c r="AO395" s="1609"/>
      <c r="AP395" s="1609"/>
      <c r="AQ395" s="1609"/>
      <c r="AR395" s="1556"/>
      <c r="AS395" s="1609"/>
      <c r="AT395" s="1609"/>
      <c r="AU395" s="1609"/>
      <c r="AV395" s="1609"/>
      <c r="AW395" s="1556"/>
      <c r="AX395" s="1609"/>
      <c r="AY395" s="1609"/>
      <c r="AZ395" s="1609"/>
      <c r="BA395" s="1556"/>
      <c r="BB395" s="1556"/>
      <c r="BC395" s="1556"/>
      <c r="BD395" s="1556"/>
      <c r="BE395" s="1556"/>
      <c r="BF395" s="1556"/>
      <c r="BG395" s="1556"/>
      <c r="BI395" s="1629"/>
      <c r="BJ395" s="1629"/>
      <c r="BK395" s="1629"/>
    </row>
    <row r="396" s="1057" customFormat="1" customHeight="1" spans="1:63">
      <c r="A396" s="1556"/>
      <c r="F396" s="1557"/>
      <c r="M396" s="1556"/>
      <c r="N396" s="1556"/>
      <c r="O396" s="1556"/>
      <c r="P396" s="1556"/>
      <c r="Q396" s="1556"/>
      <c r="R396" s="1556"/>
      <c r="S396" s="1581"/>
      <c r="T396" s="1556"/>
      <c r="U396" s="1556"/>
      <c r="V396" s="1556"/>
      <c r="W396" s="1556"/>
      <c r="X396" s="1556"/>
      <c r="Y396" s="1556"/>
      <c r="Z396" s="1556"/>
      <c r="AA396" s="1556"/>
      <c r="AB396" s="1556"/>
      <c r="AC396" s="1556"/>
      <c r="AD396" s="1556"/>
      <c r="AE396" s="1556"/>
      <c r="AF396" s="1556"/>
      <c r="AG396" s="1556"/>
      <c r="AH396" s="1556"/>
      <c r="AI396" s="1556"/>
      <c r="AJ396" s="1556"/>
      <c r="AK396" s="1609"/>
      <c r="AL396" s="1609"/>
      <c r="AM396" s="1609"/>
      <c r="AN396" s="1609"/>
      <c r="AO396" s="1609"/>
      <c r="AP396" s="1609"/>
      <c r="AQ396" s="1609"/>
      <c r="AR396" s="1556"/>
      <c r="AS396" s="1609"/>
      <c r="AT396" s="1609"/>
      <c r="AU396" s="1609"/>
      <c r="AV396" s="1609"/>
      <c r="AW396" s="1556"/>
      <c r="AX396" s="1609"/>
      <c r="AY396" s="1609"/>
      <c r="AZ396" s="1609"/>
      <c r="BA396" s="1556"/>
      <c r="BB396" s="1556"/>
      <c r="BC396" s="1556"/>
      <c r="BD396" s="1556"/>
      <c r="BE396" s="1556"/>
      <c r="BF396" s="1556"/>
      <c r="BG396" s="1556"/>
      <c r="BI396" s="1629"/>
      <c r="BJ396" s="1629"/>
      <c r="BK396" s="1629"/>
    </row>
    <row r="397" s="1057" customFormat="1" customHeight="1" spans="1:63">
      <c r="A397" s="1556"/>
      <c r="F397" s="1557"/>
      <c r="M397" s="1556"/>
      <c r="N397" s="1556"/>
      <c r="O397" s="1556"/>
      <c r="P397" s="1556"/>
      <c r="Q397" s="1556"/>
      <c r="R397" s="1556"/>
      <c r="S397" s="1581"/>
      <c r="T397" s="1556"/>
      <c r="U397" s="1556"/>
      <c r="V397" s="1556"/>
      <c r="W397" s="1556"/>
      <c r="X397" s="1556"/>
      <c r="Y397" s="1556"/>
      <c r="Z397" s="1556"/>
      <c r="AA397" s="1556"/>
      <c r="AB397" s="1556"/>
      <c r="AC397" s="1556"/>
      <c r="AD397" s="1556"/>
      <c r="AE397" s="1556"/>
      <c r="AF397" s="1556"/>
      <c r="AG397" s="1556"/>
      <c r="AH397" s="1556"/>
      <c r="AI397" s="1556"/>
      <c r="AJ397" s="1556"/>
      <c r="AK397" s="1609"/>
      <c r="AL397" s="1609"/>
      <c r="AM397" s="1609"/>
      <c r="AN397" s="1609"/>
      <c r="AO397" s="1609"/>
      <c r="AP397" s="1609"/>
      <c r="AQ397" s="1609"/>
      <c r="AR397" s="1556"/>
      <c r="AS397" s="1609"/>
      <c r="AT397" s="1609"/>
      <c r="AU397" s="1609"/>
      <c r="AV397" s="1609"/>
      <c r="AW397" s="1556"/>
      <c r="AX397" s="1609"/>
      <c r="AY397" s="1609"/>
      <c r="AZ397" s="1609"/>
      <c r="BA397" s="1556"/>
      <c r="BB397" s="1556"/>
      <c r="BC397" s="1556"/>
      <c r="BD397" s="1556"/>
      <c r="BE397" s="1556"/>
      <c r="BF397" s="1556"/>
      <c r="BG397" s="1556"/>
      <c r="BI397" s="1629"/>
      <c r="BJ397" s="1629"/>
      <c r="BK397" s="1629"/>
    </row>
    <row r="398" s="1057" customFormat="1" customHeight="1" spans="1:63">
      <c r="A398" s="1556"/>
      <c r="F398" s="1557"/>
      <c r="M398" s="1556"/>
      <c r="N398" s="1556"/>
      <c r="O398" s="1556"/>
      <c r="P398" s="1556"/>
      <c r="Q398" s="1556"/>
      <c r="R398" s="1556"/>
      <c r="S398" s="1581"/>
      <c r="T398" s="1556"/>
      <c r="U398" s="1556"/>
      <c r="V398" s="1556"/>
      <c r="W398" s="1556"/>
      <c r="X398" s="1556"/>
      <c r="Y398" s="1556"/>
      <c r="Z398" s="1556"/>
      <c r="AA398" s="1556"/>
      <c r="AB398" s="1556"/>
      <c r="AC398" s="1556"/>
      <c r="AD398" s="1556"/>
      <c r="AE398" s="1556"/>
      <c r="AF398" s="1556"/>
      <c r="AG398" s="1556"/>
      <c r="AH398" s="1556"/>
      <c r="AI398" s="1556"/>
      <c r="AJ398" s="1556"/>
      <c r="AK398" s="1609"/>
      <c r="AL398" s="1609"/>
      <c r="AM398" s="1609"/>
      <c r="AN398" s="1609"/>
      <c r="AO398" s="1609"/>
      <c r="AP398" s="1609"/>
      <c r="AQ398" s="1609"/>
      <c r="AR398" s="1556"/>
      <c r="AS398" s="1609"/>
      <c r="AT398" s="1609"/>
      <c r="AU398" s="1609"/>
      <c r="AV398" s="1609"/>
      <c r="AW398" s="1556"/>
      <c r="AX398" s="1609"/>
      <c r="AY398" s="1609"/>
      <c r="AZ398" s="1609"/>
      <c r="BA398" s="1556"/>
      <c r="BB398" s="1556"/>
      <c r="BC398" s="1556"/>
      <c r="BD398" s="1556"/>
      <c r="BE398" s="1556"/>
      <c r="BF398" s="1556"/>
      <c r="BG398" s="1556"/>
      <c r="BI398" s="1629"/>
      <c r="BJ398" s="1629"/>
      <c r="BK398" s="1629"/>
    </row>
    <row r="399" s="1057" customFormat="1" customHeight="1" spans="1:63">
      <c r="A399" s="1556"/>
      <c r="F399" s="1557"/>
      <c r="M399" s="1556"/>
      <c r="N399" s="1556"/>
      <c r="O399" s="1556"/>
      <c r="P399" s="1556"/>
      <c r="Q399" s="1556"/>
      <c r="R399" s="1556"/>
      <c r="S399" s="1581"/>
      <c r="T399" s="1556"/>
      <c r="U399" s="1556"/>
      <c r="V399" s="1556"/>
      <c r="W399" s="1556"/>
      <c r="X399" s="1556"/>
      <c r="Y399" s="1556"/>
      <c r="Z399" s="1556"/>
      <c r="AA399" s="1556"/>
      <c r="AB399" s="1556"/>
      <c r="AC399" s="1556"/>
      <c r="AD399" s="1556"/>
      <c r="AE399" s="1556"/>
      <c r="AF399" s="1556"/>
      <c r="AG399" s="1556"/>
      <c r="AH399" s="1556"/>
      <c r="AI399" s="1556"/>
      <c r="AJ399" s="1556"/>
      <c r="AK399" s="1609"/>
      <c r="AL399" s="1609"/>
      <c r="AM399" s="1609"/>
      <c r="AN399" s="1609"/>
      <c r="AO399" s="1609"/>
      <c r="AP399" s="1609"/>
      <c r="AQ399" s="1609"/>
      <c r="AR399" s="1556"/>
      <c r="AS399" s="1609"/>
      <c r="AT399" s="1609"/>
      <c r="AU399" s="1609"/>
      <c r="AV399" s="1609"/>
      <c r="AW399" s="1556"/>
      <c r="AX399" s="1609"/>
      <c r="AY399" s="1609"/>
      <c r="AZ399" s="1609"/>
      <c r="BA399" s="1556"/>
      <c r="BB399" s="1556"/>
      <c r="BC399" s="1556"/>
      <c r="BD399" s="1556"/>
      <c r="BE399" s="1556"/>
      <c r="BF399" s="1556"/>
      <c r="BG399" s="1556"/>
      <c r="BI399" s="1629"/>
      <c r="BJ399" s="1629"/>
      <c r="BK399" s="1629"/>
    </row>
    <row r="400" s="1057" customFormat="1" customHeight="1" spans="1:63">
      <c r="A400" s="1556"/>
      <c r="F400" s="1557"/>
      <c r="M400" s="1556"/>
      <c r="N400" s="1556"/>
      <c r="O400" s="1556"/>
      <c r="P400" s="1556"/>
      <c r="Q400" s="1556"/>
      <c r="R400" s="1556"/>
      <c r="S400" s="1581"/>
      <c r="T400" s="1556"/>
      <c r="U400" s="1556"/>
      <c r="V400" s="1556"/>
      <c r="W400" s="1556"/>
      <c r="X400" s="1556"/>
      <c r="Y400" s="1556"/>
      <c r="Z400" s="1556"/>
      <c r="AA400" s="1556"/>
      <c r="AB400" s="1556"/>
      <c r="AC400" s="1556"/>
      <c r="AD400" s="1556"/>
      <c r="AE400" s="1556"/>
      <c r="AF400" s="1556"/>
      <c r="AG400" s="1556"/>
      <c r="AH400" s="1556"/>
      <c r="AI400" s="1556"/>
      <c r="AJ400" s="1556"/>
      <c r="AK400" s="1609"/>
      <c r="AL400" s="1609"/>
      <c r="AM400" s="1609"/>
      <c r="AN400" s="1609"/>
      <c r="AO400" s="1609"/>
      <c r="AP400" s="1609"/>
      <c r="AQ400" s="1609"/>
      <c r="AR400" s="1556"/>
      <c r="AS400" s="1609"/>
      <c r="AT400" s="1609"/>
      <c r="AU400" s="1609"/>
      <c r="AV400" s="1609"/>
      <c r="AW400" s="1556"/>
      <c r="AX400" s="1609"/>
      <c r="AY400" s="1609"/>
      <c r="AZ400" s="1609"/>
      <c r="BA400" s="1556"/>
      <c r="BB400" s="1556"/>
      <c r="BC400" s="1556"/>
      <c r="BD400" s="1556"/>
      <c r="BE400" s="1556"/>
      <c r="BF400" s="1556"/>
      <c r="BG400" s="1556"/>
      <c r="BI400" s="1629"/>
      <c r="BJ400" s="1629"/>
      <c r="BK400" s="1629"/>
    </row>
    <row r="401" s="1057" customFormat="1" customHeight="1" spans="1:63">
      <c r="A401" s="1556"/>
      <c r="F401" s="1557"/>
      <c r="M401" s="1556"/>
      <c r="N401" s="1556"/>
      <c r="O401" s="1556"/>
      <c r="P401" s="1556"/>
      <c r="Q401" s="1556"/>
      <c r="R401" s="1556"/>
      <c r="S401" s="1581"/>
      <c r="T401" s="1556"/>
      <c r="U401" s="1556"/>
      <c r="V401" s="1556"/>
      <c r="W401" s="1556"/>
      <c r="X401" s="1556"/>
      <c r="Y401" s="1556"/>
      <c r="Z401" s="1556"/>
      <c r="AA401" s="1556"/>
      <c r="AB401" s="1556"/>
      <c r="AC401" s="1556"/>
      <c r="AD401" s="1556"/>
      <c r="AE401" s="1556"/>
      <c r="AF401" s="1556"/>
      <c r="AG401" s="1556"/>
      <c r="AH401" s="1556"/>
      <c r="AI401" s="1556"/>
      <c r="AJ401" s="1556"/>
      <c r="AK401" s="1609"/>
      <c r="AL401" s="1609"/>
      <c r="AM401" s="1609"/>
      <c r="AN401" s="1609"/>
      <c r="AO401" s="1609"/>
      <c r="AP401" s="1609"/>
      <c r="AQ401" s="1609"/>
      <c r="AR401" s="1556"/>
      <c r="AS401" s="1609"/>
      <c r="AT401" s="1609"/>
      <c r="AU401" s="1609"/>
      <c r="AV401" s="1609"/>
      <c r="AW401" s="1556"/>
      <c r="AX401" s="1609"/>
      <c r="AY401" s="1609"/>
      <c r="AZ401" s="1609"/>
      <c r="BA401" s="1556"/>
      <c r="BB401" s="1556"/>
      <c r="BC401" s="1556"/>
      <c r="BD401" s="1556"/>
      <c r="BE401" s="1556"/>
      <c r="BF401" s="1556"/>
      <c r="BG401" s="1556"/>
      <c r="BI401" s="1629"/>
      <c r="BJ401" s="1629"/>
      <c r="BK401" s="1629"/>
    </row>
    <row r="402" s="1057" customFormat="1" customHeight="1" spans="1:63">
      <c r="A402" s="1556"/>
      <c r="F402" s="1557"/>
      <c r="M402" s="1556"/>
      <c r="N402" s="1556"/>
      <c r="O402" s="1556"/>
      <c r="P402" s="1556"/>
      <c r="Q402" s="1556"/>
      <c r="R402" s="1556"/>
      <c r="S402" s="1581"/>
      <c r="T402" s="1556"/>
      <c r="U402" s="1556"/>
      <c r="V402" s="1556"/>
      <c r="W402" s="1556"/>
      <c r="X402" s="1556"/>
      <c r="Y402" s="1556"/>
      <c r="Z402" s="1556"/>
      <c r="AA402" s="1556"/>
      <c r="AB402" s="1556"/>
      <c r="AC402" s="1556"/>
      <c r="AD402" s="1556"/>
      <c r="AE402" s="1556"/>
      <c r="AF402" s="1556"/>
      <c r="AG402" s="1556"/>
      <c r="AH402" s="1556"/>
      <c r="AI402" s="1556"/>
      <c r="AJ402" s="1556"/>
      <c r="AK402" s="1609"/>
      <c r="AL402" s="1609"/>
      <c r="AM402" s="1609"/>
      <c r="AN402" s="1609"/>
      <c r="AO402" s="1609"/>
      <c r="AP402" s="1609"/>
      <c r="AQ402" s="1609"/>
      <c r="AR402" s="1556"/>
      <c r="AS402" s="1609"/>
      <c r="AT402" s="1609"/>
      <c r="AU402" s="1609"/>
      <c r="AV402" s="1609"/>
      <c r="AW402" s="1556"/>
      <c r="AX402" s="1609"/>
      <c r="AY402" s="1609"/>
      <c r="AZ402" s="1609"/>
      <c r="BA402" s="1556"/>
      <c r="BB402" s="1556"/>
      <c r="BC402" s="1556"/>
      <c r="BD402" s="1556"/>
      <c r="BE402" s="1556"/>
      <c r="BF402" s="1556"/>
      <c r="BG402" s="1556"/>
      <c r="BI402" s="1629"/>
      <c r="BJ402" s="1629"/>
      <c r="BK402" s="1629"/>
    </row>
    <row r="403" s="1057" customFormat="1" customHeight="1" spans="1:63">
      <c r="A403" s="1556"/>
      <c r="F403" s="1557"/>
      <c r="M403" s="1556"/>
      <c r="N403" s="1556"/>
      <c r="O403" s="1556"/>
      <c r="P403" s="1556"/>
      <c r="Q403" s="1556"/>
      <c r="R403" s="1556"/>
      <c r="S403" s="1581"/>
      <c r="T403" s="1556"/>
      <c r="U403" s="1556"/>
      <c r="V403" s="1556"/>
      <c r="W403" s="1556"/>
      <c r="X403" s="1556"/>
      <c r="Y403" s="1556"/>
      <c r="Z403" s="1556"/>
      <c r="AA403" s="1556"/>
      <c r="AB403" s="1556"/>
      <c r="AC403" s="1556"/>
      <c r="AD403" s="1556"/>
      <c r="AE403" s="1556"/>
      <c r="AF403" s="1556"/>
      <c r="AG403" s="1556"/>
      <c r="AH403" s="1556"/>
      <c r="AI403" s="1556"/>
      <c r="AJ403" s="1556"/>
      <c r="AK403" s="1609"/>
      <c r="AL403" s="1609"/>
      <c r="AM403" s="1609"/>
      <c r="AN403" s="1609"/>
      <c r="AO403" s="1609"/>
      <c r="AP403" s="1609"/>
      <c r="AQ403" s="1609"/>
      <c r="AR403" s="1556"/>
      <c r="AS403" s="1609"/>
      <c r="AT403" s="1609"/>
      <c r="AU403" s="1609"/>
      <c r="AV403" s="1609"/>
      <c r="AW403" s="1556"/>
      <c r="AX403" s="1609"/>
      <c r="AY403" s="1609"/>
      <c r="AZ403" s="1609"/>
      <c r="BA403" s="1556"/>
      <c r="BB403" s="1556"/>
      <c r="BC403" s="1556"/>
      <c r="BD403" s="1556"/>
      <c r="BE403" s="1556"/>
      <c r="BF403" s="1556"/>
      <c r="BG403" s="1556"/>
      <c r="BI403" s="1629"/>
      <c r="BJ403" s="1629"/>
      <c r="BK403" s="1629"/>
    </row>
    <row r="404" s="1057" customFormat="1" customHeight="1" spans="1:63">
      <c r="A404" s="1556"/>
      <c r="F404" s="1557"/>
      <c r="M404" s="1556"/>
      <c r="N404" s="1556"/>
      <c r="O404" s="1556"/>
      <c r="P404" s="1556"/>
      <c r="Q404" s="1556"/>
      <c r="R404" s="1556"/>
      <c r="S404" s="1581"/>
      <c r="T404" s="1556"/>
      <c r="U404" s="1556"/>
      <c r="V404" s="1556"/>
      <c r="W404" s="1556"/>
      <c r="X404" s="1556"/>
      <c r="Y404" s="1556"/>
      <c r="Z404" s="1556"/>
      <c r="AA404" s="1556"/>
      <c r="AB404" s="1556"/>
      <c r="AC404" s="1556"/>
      <c r="AD404" s="1556"/>
      <c r="AE404" s="1556"/>
      <c r="AF404" s="1556"/>
      <c r="AG404" s="1556"/>
      <c r="AH404" s="1556"/>
      <c r="AI404" s="1556"/>
      <c r="AJ404" s="1556"/>
      <c r="AK404" s="1609"/>
      <c r="AL404" s="1609"/>
      <c r="AM404" s="1609"/>
      <c r="AN404" s="1609"/>
      <c r="AO404" s="1609"/>
      <c r="AP404" s="1609"/>
      <c r="AQ404" s="1609"/>
      <c r="AR404" s="1556"/>
      <c r="AS404" s="1609"/>
      <c r="AT404" s="1609"/>
      <c r="AU404" s="1609"/>
      <c r="AV404" s="1609"/>
      <c r="AW404" s="1556"/>
      <c r="AX404" s="1609"/>
      <c r="AY404" s="1609"/>
      <c r="AZ404" s="1609"/>
      <c r="BA404" s="1556"/>
      <c r="BB404" s="1556"/>
      <c r="BC404" s="1556"/>
      <c r="BD404" s="1556"/>
      <c r="BE404" s="1556"/>
      <c r="BF404" s="1556"/>
      <c r="BG404" s="1556"/>
      <c r="BI404" s="1629"/>
      <c r="BJ404" s="1629"/>
      <c r="BK404" s="1629"/>
    </row>
    <row r="405" s="1057" customFormat="1" customHeight="1" spans="1:63">
      <c r="A405" s="1556"/>
      <c r="F405" s="1557"/>
      <c r="M405" s="1556"/>
      <c r="N405" s="1556"/>
      <c r="O405" s="1556"/>
      <c r="P405" s="1556"/>
      <c r="Q405" s="1556"/>
      <c r="R405" s="1556"/>
      <c r="S405" s="1581"/>
      <c r="T405" s="1556"/>
      <c r="U405" s="1556"/>
      <c r="V405" s="1556"/>
      <c r="W405" s="1556"/>
      <c r="X405" s="1556"/>
      <c r="Y405" s="1556"/>
      <c r="Z405" s="1556"/>
      <c r="AA405" s="1556"/>
      <c r="AB405" s="1556"/>
      <c r="AC405" s="1556"/>
      <c r="AD405" s="1556"/>
      <c r="AE405" s="1556"/>
      <c r="AF405" s="1556"/>
      <c r="AG405" s="1556"/>
      <c r="AH405" s="1556"/>
      <c r="AI405" s="1556"/>
      <c r="AJ405" s="1556"/>
      <c r="AK405" s="1609"/>
      <c r="AL405" s="1609"/>
      <c r="AM405" s="1609"/>
      <c r="AN405" s="1609"/>
      <c r="AO405" s="1609"/>
      <c r="AP405" s="1609"/>
      <c r="AQ405" s="1609"/>
      <c r="AR405" s="1556"/>
      <c r="AS405" s="1609"/>
      <c r="AT405" s="1609"/>
      <c r="AU405" s="1609"/>
      <c r="AV405" s="1609"/>
      <c r="AW405" s="1556"/>
      <c r="AX405" s="1609"/>
      <c r="AY405" s="1609"/>
      <c r="AZ405" s="1609"/>
      <c r="BA405" s="1556"/>
      <c r="BB405" s="1556"/>
      <c r="BC405" s="1556"/>
      <c r="BD405" s="1556"/>
      <c r="BE405" s="1556"/>
      <c r="BF405" s="1556"/>
      <c r="BG405" s="1556"/>
      <c r="BI405" s="1629"/>
      <c r="BJ405" s="1629"/>
      <c r="BK405" s="1629"/>
    </row>
    <row r="406" s="1057" customFormat="1" customHeight="1" spans="1:63">
      <c r="A406" s="1556"/>
      <c r="F406" s="1557"/>
      <c r="M406" s="1556"/>
      <c r="N406" s="1556"/>
      <c r="O406" s="1556"/>
      <c r="P406" s="1556"/>
      <c r="Q406" s="1556"/>
      <c r="R406" s="1556"/>
      <c r="S406" s="1581"/>
      <c r="T406" s="1556"/>
      <c r="U406" s="1556"/>
      <c r="V406" s="1556"/>
      <c r="W406" s="1556"/>
      <c r="X406" s="1556"/>
      <c r="Y406" s="1556"/>
      <c r="Z406" s="1556"/>
      <c r="AA406" s="1556"/>
      <c r="AB406" s="1556"/>
      <c r="AC406" s="1556"/>
      <c r="AD406" s="1556"/>
      <c r="AE406" s="1556"/>
      <c r="AF406" s="1556"/>
      <c r="AG406" s="1556"/>
      <c r="AH406" s="1556"/>
      <c r="AI406" s="1556"/>
      <c r="AJ406" s="1556"/>
      <c r="AK406" s="1609"/>
      <c r="AL406" s="1609"/>
      <c r="AM406" s="1609"/>
      <c r="AN406" s="1609"/>
      <c r="AO406" s="1609"/>
      <c r="AP406" s="1609"/>
      <c r="AQ406" s="1609"/>
      <c r="AR406" s="1556"/>
      <c r="AS406" s="1609"/>
      <c r="AT406" s="1609"/>
      <c r="AU406" s="1609"/>
      <c r="AV406" s="1609"/>
      <c r="AW406" s="1556"/>
      <c r="AX406" s="1609"/>
      <c r="AY406" s="1609"/>
      <c r="AZ406" s="1609"/>
      <c r="BA406" s="1556"/>
      <c r="BB406" s="1556"/>
      <c r="BC406" s="1556"/>
      <c r="BD406" s="1556"/>
      <c r="BE406" s="1556"/>
      <c r="BF406" s="1556"/>
      <c r="BG406" s="1556"/>
      <c r="BI406" s="1629"/>
      <c r="BJ406" s="1629"/>
      <c r="BK406" s="1629"/>
    </row>
    <row r="407" s="1057" customFormat="1" customHeight="1" spans="1:63">
      <c r="A407" s="1556"/>
      <c r="F407" s="1557"/>
      <c r="M407" s="1556"/>
      <c r="N407" s="1556"/>
      <c r="O407" s="1556"/>
      <c r="P407" s="1556"/>
      <c r="Q407" s="1556"/>
      <c r="R407" s="1556"/>
      <c r="S407" s="1581"/>
      <c r="T407" s="1556"/>
      <c r="U407" s="1556"/>
      <c r="V407" s="1556"/>
      <c r="W407" s="1556"/>
      <c r="X407" s="1556"/>
      <c r="Y407" s="1556"/>
      <c r="Z407" s="1556"/>
      <c r="AA407" s="1556"/>
      <c r="AB407" s="1556"/>
      <c r="AC407" s="1556"/>
      <c r="AD407" s="1556"/>
      <c r="AE407" s="1556"/>
      <c r="AF407" s="1556"/>
      <c r="AG407" s="1556"/>
      <c r="AH407" s="1556"/>
      <c r="AI407" s="1556"/>
      <c r="AJ407" s="1556"/>
      <c r="AK407" s="1609"/>
      <c r="AL407" s="1609"/>
      <c r="AM407" s="1609"/>
      <c r="AN407" s="1609"/>
      <c r="AO407" s="1609"/>
      <c r="AP407" s="1609"/>
      <c r="AQ407" s="1609"/>
      <c r="AR407" s="1556"/>
      <c r="AS407" s="1609"/>
      <c r="AT407" s="1609"/>
      <c r="AU407" s="1609"/>
      <c r="AV407" s="1609"/>
      <c r="AW407" s="1556"/>
      <c r="AX407" s="1609"/>
      <c r="AY407" s="1609"/>
      <c r="AZ407" s="1609"/>
      <c r="BA407" s="1556"/>
      <c r="BB407" s="1556"/>
      <c r="BC407" s="1556"/>
      <c r="BD407" s="1556"/>
      <c r="BE407" s="1556"/>
      <c r="BF407" s="1556"/>
      <c r="BG407" s="1556"/>
      <c r="BI407" s="1629"/>
      <c r="BJ407" s="1629"/>
      <c r="BK407" s="1629"/>
    </row>
    <row r="408" s="1057" customFormat="1" customHeight="1" spans="1:63">
      <c r="A408" s="1556"/>
      <c r="F408" s="1557"/>
      <c r="M408" s="1556"/>
      <c r="N408" s="1556"/>
      <c r="O408" s="1556"/>
      <c r="P408" s="1556"/>
      <c r="Q408" s="1556"/>
      <c r="R408" s="1556"/>
      <c r="S408" s="1581"/>
      <c r="T408" s="1556"/>
      <c r="U408" s="1556"/>
      <c r="V408" s="1556"/>
      <c r="W408" s="1556"/>
      <c r="X408" s="1556"/>
      <c r="Y408" s="1556"/>
      <c r="Z408" s="1556"/>
      <c r="AA408" s="1556"/>
      <c r="AB408" s="1556"/>
      <c r="AC408" s="1556"/>
      <c r="AD408" s="1556"/>
      <c r="AE408" s="1556"/>
      <c r="AF408" s="1556"/>
      <c r="AG408" s="1556"/>
      <c r="AH408" s="1556"/>
      <c r="AI408" s="1556"/>
      <c r="AJ408" s="1556"/>
      <c r="AK408" s="1609"/>
      <c r="AL408" s="1609"/>
      <c r="AM408" s="1609"/>
      <c r="AN408" s="1609"/>
      <c r="AO408" s="1609"/>
      <c r="AP408" s="1609"/>
      <c r="AQ408" s="1609"/>
      <c r="AR408" s="1556"/>
      <c r="AS408" s="1609"/>
      <c r="AT408" s="1609"/>
      <c r="AU408" s="1609"/>
      <c r="AV408" s="1609"/>
      <c r="AW408" s="1556"/>
      <c r="AX408" s="1609"/>
      <c r="AY408" s="1609"/>
      <c r="AZ408" s="1609"/>
      <c r="BA408" s="1556"/>
      <c r="BB408" s="1556"/>
      <c r="BC408" s="1556"/>
      <c r="BD408" s="1556"/>
      <c r="BE408" s="1556"/>
      <c r="BF408" s="1556"/>
      <c r="BG408" s="1556"/>
      <c r="BI408" s="1629"/>
      <c r="BJ408" s="1629"/>
      <c r="BK408" s="1629"/>
    </row>
    <row r="409" s="1057" customFormat="1" customHeight="1" spans="1:63">
      <c r="A409" s="1556"/>
      <c r="F409" s="1557"/>
      <c r="M409" s="1556"/>
      <c r="N409" s="1556"/>
      <c r="O409" s="1556"/>
      <c r="P409" s="1556"/>
      <c r="Q409" s="1556"/>
      <c r="R409" s="1556"/>
      <c r="S409" s="1581"/>
      <c r="T409" s="1556"/>
      <c r="U409" s="1556"/>
      <c r="V409" s="1556"/>
      <c r="W409" s="1556"/>
      <c r="X409" s="1556"/>
      <c r="Y409" s="1556"/>
      <c r="Z409" s="1556"/>
      <c r="AA409" s="1556"/>
      <c r="AB409" s="1556"/>
      <c r="AC409" s="1556"/>
      <c r="AD409" s="1556"/>
      <c r="AE409" s="1556"/>
      <c r="AF409" s="1556"/>
      <c r="AG409" s="1556"/>
      <c r="AH409" s="1556"/>
      <c r="AI409" s="1556"/>
      <c r="AJ409" s="1556"/>
      <c r="AK409" s="1609"/>
      <c r="AL409" s="1609"/>
      <c r="AM409" s="1609"/>
      <c r="AN409" s="1609"/>
      <c r="AO409" s="1609"/>
      <c r="AP409" s="1609"/>
      <c r="AQ409" s="1609"/>
      <c r="AR409" s="1556"/>
      <c r="AS409" s="1609"/>
      <c r="AT409" s="1609"/>
      <c r="AU409" s="1609"/>
      <c r="AV409" s="1609"/>
      <c r="AW409" s="1556"/>
      <c r="AX409" s="1609"/>
      <c r="AY409" s="1609"/>
      <c r="AZ409" s="1609"/>
      <c r="BA409" s="1556"/>
      <c r="BB409" s="1556"/>
      <c r="BC409" s="1556"/>
      <c r="BD409" s="1556"/>
      <c r="BE409" s="1556"/>
      <c r="BF409" s="1556"/>
      <c r="BG409" s="1556"/>
      <c r="BI409" s="1629"/>
      <c r="BJ409" s="1629"/>
      <c r="BK409" s="1629"/>
    </row>
    <row r="410" s="1057" customFormat="1" customHeight="1" spans="1:63">
      <c r="A410" s="1556"/>
      <c r="F410" s="1557"/>
      <c r="M410" s="1556"/>
      <c r="N410" s="1556"/>
      <c r="O410" s="1556"/>
      <c r="P410" s="1556"/>
      <c r="Q410" s="1556"/>
      <c r="R410" s="1556"/>
      <c r="S410" s="1581"/>
      <c r="T410" s="1556"/>
      <c r="U410" s="1556"/>
      <c r="V410" s="1556"/>
      <c r="W410" s="1556"/>
      <c r="X410" s="1556"/>
      <c r="Y410" s="1556"/>
      <c r="Z410" s="1556"/>
      <c r="AA410" s="1556"/>
      <c r="AB410" s="1556"/>
      <c r="AC410" s="1556"/>
      <c r="AD410" s="1556"/>
      <c r="AE410" s="1556"/>
      <c r="AF410" s="1556"/>
      <c r="AG410" s="1556"/>
      <c r="AH410" s="1556"/>
      <c r="AI410" s="1556"/>
      <c r="AJ410" s="1556"/>
      <c r="AK410" s="1609"/>
      <c r="AL410" s="1609"/>
      <c r="AM410" s="1609"/>
      <c r="AN410" s="1609"/>
      <c r="AO410" s="1609"/>
      <c r="AP410" s="1609"/>
      <c r="AQ410" s="1609"/>
      <c r="AR410" s="1556"/>
      <c r="AS410" s="1609"/>
      <c r="AT410" s="1609"/>
      <c r="AU410" s="1609"/>
      <c r="AV410" s="1609"/>
      <c r="AW410" s="1556"/>
      <c r="AX410" s="1609"/>
      <c r="AY410" s="1609"/>
      <c r="AZ410" s="1609"/>
      <c r="BA410" s="1556"/>
      <c r="BB410" s="1556"/>
      <c r="BC410" s="1556"/>
      <c r="BD410" s="1556"/>
      <c r="BE410" s="1556"/>
      <c r="BF410" s="1556"/>
      <c r="BG410" s="1556"/>
      <c r="BI410" s="1629"/>
      <c r="BJ410" s="1629"/>
      <c r="BK410" s="1629"/>
    </row>
    <row r="411" s="1057" customFormat="1" customHeight="1" spans="1:63">
      <c r="A411" s="1556"/>
      <c r="F411" s="1557"/>
      <c r="M411" s="1556"/>
      <c r="N411" s="1556"/>
      <c r="O411" s="1556"/>
      <c r="P411" s="1556"/>
      <c r="Q411" s="1556"/>
      <c r="R411" s="1556"/>
      <c r="S411" s="1581"/>
      <c r="T411" s="1556"/>
      <c r="U411" s="1556"/>
      <c r="V411" s="1556"/>
      <c r="W411" s="1556"/>
      <c r="X411" s="1556"/>
      <c r="Y411" s="1556"/>
      <c r="Z411" s="1556"/>
      <c r="AA411" s="1556"/>
      <c r="AB411" s="1556"/>
      <c r="AC411" s="1556"/>
      <c r="AD411" s="1556"/>
      <c r="AE411" s="1556"/>
      <c r="AF411" s="1556"/>
      <c r="AG411" s="1556"/>
      <c r="AH411" s="1556"/>
      <c r="AI411" s="1556"/>
      <c r="AJ411" s="1556"/>
      <c r="AK411" s="1609"/>
      <c r="AL411" s="1609"/>
      <c r="AM411" s="1609"/>
      <c r="AN411" s="1609"/>
      <c r="AO411" s="1609"/>
      <c r="AP411" s="1609"/>
      <c r="AQ411" s="1609"/>
      <c r="AR411" s="1556"/>
      <c r="AS411" s="1609"/>
      <c r="AT411" s="1609"/>
      <c r="AU411" s="1609"/>
      <c r="AV411" s="1609"/>
      <c r="AW411" s="1556"/>
      <c r="AX411" s="1609"/>
      <c r="AY411" s="1609"/>
      <c r="AZ411" s="1609"/>
      <c r="BA411" s="1556"/>
      <c r="BB411" s="1556"/>
      <c r="BC411" s="1556"/>
      <c r="BD411" s="1556"/>
      <c r="BE411" s="1556"/>
      <c r="BF411" s="1556"/>
      <c r="BG411" s="1556"/>
      <c r="BI411" s="1629"/>
      <c r="BJ411" s="1629"/>
      <c r="BK411" s="1629"/>
    </row>
    <row r="412" s="1057" customFormat="1" customHeight="1" spans="1:63">
      <c r="A412" s="1556"/>
      <c r="F412" s="1557"/>
      <c r="M412" s="1556"/>
      <c r="N412" s="1556"/>
      <c r="O412" s="1556"/>
      <c r="P412" s="1556"/>
      <c r="Q412" s="1556"/>
      <c r="R412" s="1556"/>
      <c r="S412" s="1581"/>
      <c r="T412" s="1556"/>
      <c r="U412" s="1556"/>
      <c r="V412" s="1556"/>
      <c r="W412" s="1556"/>
      <c r="X412" s="1556"/>
      <c r="Y412" s="1556"/>
      <c r="Z412" s="1556"/>
      <c r="AA412" s="1556"/>
      <c r="AB412" s="1556"/>
      <c r="AC412" s="1556"/>
      <c r="AD412" s="1556"/>
      <c r="AE412" s="1556"/>
      <c r="AF412" s="1556"/>
      <c r="AG412" s="1556"/>
      <c r="AH412" s="1556"/>
      <c r="AI412" s="1556"/>
      <c r="AJ412" s="1556"/>
      <c r="AK412" s="1609"/>
      <c r="AL412" s="1609"/>
      <c r="AM412" s="1609"/>
      <c r="AN412" s="1609"/>
      <c r="AO412" s="1609"/>
      <c r="AP412" s="1609"/>
      <c r="AQ412" s="1609"/>
      <c r="AR412" s="1556"/>
      <c r="AS412" s="1609"/>
      <c r="AT412" s="1609"/>
      <c r="AU412" s="1609"/>
      <c r="AV412" s="1609"/>
      <c r="AW412" s="1556"/>
      <c r="AX412" s="1609"/>
      <c r="AY412" s="1609"/>
      <c r="AZ412" s="1609"/>
      <c r="BA412" s="1556"/>
      <c r="BB412" s="1556"/>
      <c r="BC412" s="1556"/>
      <c r="BD412" s="1556"/>
      <c r="BE412" s="1556"/>
      <c r="BF412" s="1556"/>
      <c r="BG412" s="1556"/>
      <c r="BI412" s="1629"/>
      <c r="BJ412" s="1629"/>
      <c r="BK412" s="1629"/>
    </row>
    <row r="413" s="1057" customFormat="1" customHeight="1" spans="1:63">
      <c r="A413" s="1556"/>
      <c r="F413" s="1557"/>
      <c r="M413" s="1556"/>
      <c r="N413" s="1556"/>
      <c r="O413" s="1556"/>
      <c r="P413" s="1556"/>
      <c r="Q413" s="1556"/>
      <c r="R413" s="1556"/>
      <c r="S413" s="1581"/>
      <c r="T413" s="1556"/>
      <c r="U413" s="1556"/>
      <c r="V413" s="1556"/>
      <c r="W413" s="1556"/>
      <c r="X413" s="1556"/>
      <c r="Y413" s="1556"/>
      <c r="Z413" s="1556"/>
      <c r="AA413" s="1556"/>
      <c r="AB413" s="1556"/>
      <c r="AC413" s="1556"/>
      <c r="AD413" s="1556"/>
      <c r="AE413" s="1556"/>
      <c r="AF413" s="1556"/>
      <c r="AG413" s="1556"/>
      <c r="AH413" s="1556"/>
      <c r="AI413" s="1556"/>
      <c r="AJ413" s="1556"/>
      <c r="AK413" s="1609"/>
      <c r="AL413" s="1609"/>
      <c r="AM413" s="1609"/>
      <c r="AN413" s="1609"/>
      <c r="AO413" s="1609"/>
      <c r="AP413" s="1609"/>
      <c r="AQ413" s="1609"/>
      <c r="AR413" s="1556"/>
      <c r="AS413" s="1609"/>
      <c r="AT413" s="1609"/>
      <c r="AU413" s="1609"/>
      <c r="AV413" s="1609"/>
      <c r="AW413" s="1556"/>
      <c r="AX413" s="1609"/>
      <c r="AY413" s="1609"/>
      <c r="AZ413" s="1609"/>
      <c r="BA413" s="1556"/>
      <c r="BB413" s="1556"/>
      <c r="BC413" s="1556"/>
      <c r="BD413" s="1556"/>
      <c r="BE413" s="1556"/>
      <c r="BF413" s="1556"/>
      <c r="BG413" s="1556"/>
      <c r="BI413" s="1659"/>
      <c r="BJ413" s="1659"/>
      <c r="BK413" s="1659"/>
    </row>
    <row r="414" s="1057" customFormat="1" customHeight="1" spans="1:63">
      <c r="A414" s="1556"/>
      <c r="F414" s="1557"/>
      <c r="M414" s="1556"/>
      <c r="N414" s="1556"/>
      <c r="O414" s="1556"/>
      <c r="P414" s="1556"/>
      <c r="Q414" s="1556"/>
      <c r="R414" s="1556"/>
      <c r="S414" s="1581"/>
      <c r="T414" s="1556"/>
      <c r="U414" s="1556"/>
      <c r="V414" s="1556"/>
      <c r="W414" s="1556"/>
      <c r="X414" s="1556"/>
      <c r="Y414" s="1556"/>
      <c r="Z414" s="1556"/>
      <c r="AA414" s="1556"/>
      <c r="AB414" s="1556"/>
      <c r="AC414" s="1556"/>
      <c r="AD414" s="1556"/>
      <c r="AE414" s="1556"/>
      <c r="AF414" s="1556"/>
      <c r="AG414" s="1556"/>
      <c r="AH414" s="1556"/>
      <c r="AI414" s="1556"/>
      <c r="AJ414" s="1556"/>
      <c r="AK414" s="1609"/>
      <c r="AL414" s="1609"/>
      <c r="AM414" s="1609"/>
      <c r="AN414" s="1609"/>
      <c r="AO414" s="1609"/>
      <c r="AP414" s="1609"/>
      <c r="AQ414" s="1609"/>
      <c r="AR414" s="1556"/>
      <c r="AS414" s="1609"/>
      <c r="AT414" s="1609"/>
      <c r="AU414" s="1609"/>
      <c r="AV414" s="1609"/>
      <c r="AW414" s="1556"/>
      <c r="AX414" s="1609"/>
      <c r="AY414" s="1609"/>
      <c r="AZ414" s="1609"/>
      <c r="BA414" s="1556"/>
      <c r="BB414" s="1556"/>
      <c r="BC414" s="1556"/>
      <c r="BD414" s="1556"/>
      <c r="BE414" s="1556"/>
      <c r="BF414" s="1556"/>
      <c r="BG414" s="1556"/>
      <c r="BI414" s="1659"/>
      <c r="BJ414" s="1659"/>
      <c r="BK414" s="1659"/>
    </row>
    <row r="415" s="1057" customFormat="1" customHeight="1" spans="1:63">
      <c r="A415" s="1556"/>
      <c r="F415" s="1557"/>
      <c r="M415" s="1556"/>
      <c r="N415" s="1556"/>
      <c r="O415" s="1556"/>
      <c r="P415" s="1556"/>
      <c r="Q415" s="1556"/>
      <c r="R415" s="1556"/>
      <c r="S415" s="1581"/>
      <c r="T415" s="1556"/>
      <c r="U415" s="1556"/>
      <c r="V415" s="1556"/>
      <c r="W415" s="1556"/>
      <c r="X415" s="1556"/>
      <c r="Y415" s="1556"/>
      <c r="Z415" s="1556"/>
      <c r="AA415" s="1556"/>
      <c r="AB415" s="1556"/>
      <c r="AC415" s="1556"/>
      <c r="AD415" s="1556"/>
      <c r="AE415" s="1556"/>
      <c r="AF415" s="1556"/>
      <c r="AG415" s="1556"/>
      <c r="AH415" s="1556"/>
      <c r="AI415" s="1556"/>
      <c r="AJ415" s="1556"/>
      <c r="AK415" s="1609"/>
      <c r="AL415" s="1609"/>
      <c r="AM415" s="1609"/>
      <c r="AN415" s="1609"/>
      <c r="AO415" s="1609"/>
      <c r="AP415" s="1609"/>
      <c r="AQ415" s="1609"/>
      <c r="AR415" s="1556"/>
      <c r="AS415" s="1609"/>
      <c r="AT415" s="1609"/>
      <c r="AU415" s="1609"/>
      <c r="AV415" s="1609"/>
      <c r="AW415" s="1556"/>
      <c r="AX415" s="1609"/>
      <c r="AY415" s="1609"/>
      <c r="AZ415" s="1609"/>
      <c r="BA415" s="1556"/>
      <c r="BB415" s="1556"/>
      <c r="BC415" s="1556"/>
      <c r="BD415" s="1556"/>
      <c r="BE415" s="1556"/>
      <c r="BF415" s="1556"/>
      <c r="BG415" s="1556"/>
      <c r="BI415" s="1659"/>
      <c r="BJ415" s="1659"/>
      <c r="BK415" s="1659"/>
    </row>
    <row r="416" s="1057" customFormat="1" customHeight="1" spans="1:63">
      <c r="A416" s="1556"/>
      <c r="F416" s="1557"/>
      <c r="M416" s="1556"/>
      <c r="N416" s="1556"/>
      <c r="O416" s="1556"/>
      <c r="P416" s="1556"/>
      <c r="Q416" s="1556"/>
      <c r="R416" s="1556"/>
      <c r="S416" s="1581"/>
      <c r="T416" s="1556"/>
      <c r="U416" s="1556"/>
      <c r="V416" s="1556"/>
      <c r="W416" s="1556"/>
      <c r="X416" s="1556"/>
      <c r="Y416" s="1556"/>
      <c r="Z416" s="1556"/>
      <c r="AA416" s="1556"/>
      <c r="AB416" s="1556"/>
      <c r="AC416" s="1556"/>
      <c r="AD416" s="1556"/>
      <c r="AE416" s="1556"/>
      <c r="AF416" s="1556"/>
      <c r="AG416" s="1556"/>
      <c r="AH416" s="1556"/>
      <c r="AI416" s="1556"/>
      <c r="AJ416" s="1556"/>
      <c r="AK416" s="1609"/>
      <c r="AL416" s="1609"/>
      <c r="AM416" s="1609"/>
      <c r="AN416" s="1609"/>
      <c r="AO416" s="1609"/>
      <c r="AP416" s="1609"/>
      <c r="AQ416" s="1609"/>
      <c r="AR416" s="1556"/>
      <c r="AS416" s="1609"/>
      <c r="AT416" s="1609"/>
      <c r="AU416" s="1609"/>
      <c r="AV416" s="1609"/>
      <c r="AW416" s="1556"/>
      <c r="AX416" s="1609"/>
      <c r="AY416" s="1609"/>
      <c r="AZ416" s="1609"/>
      <c r="BA416" s="1556"/>
      <c r="BB416" s="1556"/>
      <c r="BC416" s="1556"/>
      <c r="BD416" s="1556"/>
      <c r="BE416" s="1556"/>
      <c r="BF416" s="1556"/>
      <c r="BG416" s="1556"/>
      <c r="BI416" s="1659"/>
      <c r="BJ416" s="1659"/>
      <c r="BK416" s="1659"/>
    </row>
    <row r="417" s="1057" customFormat="1" customHeight="1" spans="1:63">
      <c r="A417" s="1556"/>
      <c r="F417" s="1557"/>
      <c r="M417" s="1556"/>
      <c r="N417" s="1556"/>
      <c r="O417" s="1556"/>
      <c r="P417" s="1556"/>
      <c r="Q417" s="1556"/>
      <c r="R417" s="1556"/>
      <c r="S417" s="1581"/>
      <c r="T417" s="1556"/>
      <c r="U417" s="1556"/>
      <c r="V417" s="1556"/>
      <c r="W417" s="1556"/>
      <c r="X417" s="1556"/>
      <c r="Y417" s="1556"/>
      <c r="Z417" s="1556"/>
      <c r="AA417" s="1556"/>
      <c r="AB417" s="1556"/>
      <c r="AC417" s="1556"/>
      <c r="AD417" s="1556"/>
      <c r="AE417" s="1556"/>
      <c r="AF417" s="1556"/>
      <c r="AG417" s="1556"/>
      <c r="AH417" s="1556"/>
      <c r="AI417" s="1556"/>
      <c r="AJ417" s="1556"/>
      <c r="AK417" s="1609"/>
      <c r="AL417" s="1609"/>
      <c r="AM417" s="1609"/>
      <c r="AN417" s="1609"/>
      <c r="AO417" s="1609"/>
      <c r="AP417" s="1609"/>
      <c r="AQ417" s="1609"/>
      <c r="AR417" s="1556"/>
      <c r="AS417" s="1609"/>
      <c r="AT417" s="1609"/>
      <c r="AU417" s="1609"/>
      <c r="AV417" s="1609"/>
      <c r="AW417" s="1556"/>
      <c r="AX417" s="1609"/>
      <c r="AY417" s="1609"/>
      <c r="AZ417" s="1609"/>
      <c r="BA417" s="1556"/>
      <c r="BB417" s="1556"/>
      <c r="BC417" s="1556"/>
      <c r="BD417" s="1556"/>
      <c r="BE417" s="1556"/>
      <c r="BF417" s="1556"/>
      <c r="BG417" s="1556"/>
      <c r="BI417" s="1659"/>
      <c r="BJ417" s="1659"/>
      <c r="BK417" s="1659"/>
    </row>
    <row r="418" s="1057" customFormat="1" customHeight="1" spans="1:63">
      <c r="A418" s="1556"/>
      <c r="F418" s="1557"/>
      <c r="M418" s="1556"/>
      <c r="N418" s="1556"/>
      <c r="O418" s="1556"/>
      <c r="P418" s="1556"/>
      <c r="Q418" s="1556"/>
      <c r="R418" s="1556"/>
      <c r="S418" s="1581"/>
      <c r="T418" s="1556"/>
      <c r="U418" s="1556"/>
      <c r="V418" s="1556"/>
      <c r="W418" s="1556"/>
      <c r="X418" s="1556"/>
      <c r="Y418" s="1556"/>
      <c r="Z418" s="1556"/>
      <c r="AA418" s="1556"/>
      <c r="AB418" s="1556"/>
      <c r="AC418" s="1556"/>
      <c r="AD418" s="1556"/>
      <c r="AE418" s="1556"/>
      <c r="AF418" s="1556"/>
      <c r="AG418" s="1556"/>
      <c r="AH418" s="1556"/>
      <c r="AI418" s="1556"/>
      <c r="AJ418" s="1556"/>
      <c r="AK418" s="1609"/>
      <c r="AL418" s="1609"/>
      <c r="AM418" s="1609"/>
      <c r="AN418" s="1609"/>
      <c r="AO418" s="1609"/>
      <c r="AP418" s="1609"/>
      <c r="AQ418" s="1609"/>
      <c r="AR418" s="1556"/>
      <c r="AS418" s="1609"/>
      <c r="AT418" s="1609"/>
      <c r="AU418" s="1609"/>
      <c r="AV418" s="1609"/>
      <c r="AW418" s="1556"/>
      <c r="AX418" s="1609"/>
      <c r="AY418" s="1609"/>
      <c r="AZ418" s="1609"/>
      <c r="BA418" s="1556"/>
      <c r="BB418" s="1556"/>
      <c r="BC418" s="1556"/>
      <c r="BD418" s="1556"/>
      <c r="BE418" s="1556"/>
      <c r="BF418" s="1556"/>
      <c r="BG418" s="1556"/>
      <c r="BI418" s="1659"/>
      <c r="BJ418" s="1659"/>
      <c r="BK418" s="1659"/>
    </row>
    <row r="419" s="1057" customFormat="1" customHeight="1" spans="1:63">
      <c r="A419" s="1556"/>
      <c r="F419" s="1557"/>
      <c r="M419" s="1556"/>
      <c r="N419" s="1556"/>
      <c r="O419" s="1556"/>
      <c r="P419" s="1556"/>
      <c r="Q419" s="1556"/>
      <c r="R419" s="1556"/>
      <c r="S419" s="1581"/>
      <c r="T419" s="1556"/>
      <c r="U419" s="1556"/>
      <c r="V419" s="1556"/>
      <c r="W419" s="1556"/>
      <c r="X419" s="1556"/>
      <c r="Y419" s="1556"/>
      <c r="Z419" s="1556"/>
      <c r="AA419" s="1556"/>
      <c r="AB419" s="1556"/>
      <c r="AC419" s="1556"/>
      <c r="AD419" s="1556"/>
      <c r="AE419" s="1556"/>
      <c r="AF419" s="1556"/>
      <c r="AG419" s="1556"/>
      <c r="AH419" s="1556"/>
      <c r="AI419" s="1556"/>
      <c r="AJ419" s="1556"/>
      <c r="AK419" s="1609"/>
      <c r="AL419" s="1609"/>
      <c r="AM419" s="1609"/>
      <c r="AN419" s="1609"/>
      <c r="AO419" s="1609"/>
      <c r="AP419" s="1609"/>
      <c r="AQ419" s="1609"/>
      <c r="AR419" s="1556"/>
      <c r="AS419" s="1609"/>
      <c r="AT419" s="1609"/>
      <c r="AU419" s="1609"/>
      <c r="AV419" s="1609"/>
      <c r="AW419" s="1556"/>
      <c r="AX419" s="1609"/>
      <c r="AY419" s="1609"/>
      <c r="AZ419" s="1609"/>
      <c r="BA419" s="1556"/>
      <c r="BB419" s="1556"/>
      <c r="BC419" s="1556"/>
      <c r="BD419" s="1556"/>
      <c r="BE419" s="1556"/>
      <c r="BF419" s="1556"/>
      <c r="BG419" s="1556"/>
      <c r="BI419" s="1659"/>
      <c r="BJ419" s="1659"/>
      <c r="BK419" s="1659"/>
    </row>
    <row r="420" s="1057" customFormat="1" customHeight="1" spans="1:63">
      <c r="A420" s="1556"/>
      <c r="F420" s="1557"/>
      <c r="M420" s="1556"/>
      <c r="N420" s="1556"/>
      <c r="O420" s="1556"/>
      <c r="P420" s="1556"/>
      <c r="Q420" s="1556"/>
      <c r="R420" s="1556"/>
      <c r="S420" s="1581"/>
      <c r="T420" s="1556"/>
      <c r="U420" s="1556"/>
      <c r="V420" s="1556"/>
      <c r="W420" s="1556"/>
      <c r="X420" s="1556"/>
      <c r="Y420" s="1556"/>
      <c r="Z420" s="1556"/>
      <c r="AA420" s="1556"/>
      <c r="AB420" s="1556"/>
      <c r="AC420" s="1556"/>
      <c r="AD420" s="1556"/>
      <c r="AE420" s="1556"/>
      <c r="AF420" s="1556"/>
      <c r="AG420" s="1556"/>
      <c r="AH420" s="1556"/>
      <c r="AI420" s="1556"/>
      <c r="AJ420" s="1556"/>
      <c r="AK420" s="1609"/>
      <c r="AL420" s="1609"/>
      <c r="AM420" s="1609"/>
      <c r="AN420" s="1609"/>
      <c r="AO420" s="1609"/>
      <c r="AP420" s="1609"/>
      <c r="AQ420" s="1609"/>
      <c r="AR420" s="1556"/>
      <c r="AS420" s="1609"/>
      <c r="AT420" s="1609"/>
      <c r="AU420" s="1609"/>
      <c r="AV420" s="1609"/>
      <c r="AW420" s="1556"/>
      <c r="AX420" s="1609"/>
      <c r="AY420" s="1609"/>
      <c r="AZ420" s="1609"/>
      <c r="BA420" s="1556"/>
      <c r="BB420" s="1556"/>
      <c r="BC420" s="1556"/>
      <c r="BD420" s="1556"/>
      <c r="BE420" s="1556"/>
      <c r="BF420" s="1556"/>
      <c r="BG420" s="1556"/>
      <c r="BI420" s="1659"/>
      <c r="BJ420" s="1659"/>
      <c r="BK420" s="1659"/>
    </row>
    <row r="421" customHeight="1" spans="13:61">
      <c r="M421" s="1058"/>
      <c r="N421" s="1218"/>
      <c r="O421" s="1643"/>
      <c r="P421" s="1644"/>
      <c r="Q421" s="1645"/>
      <c r="R421" s="1645"/>
      <c r="S421" s="1646"/>
      <c r="T421" s="1644"/>
      <c r="U421" s="1644"/>
      <c r="V421" s="1647"/>
      <c r="W421" s="1648"/>
      <c r="X421" s="1058"/>
      <c r="Y421" s="1649"/>
      <c r="Z421" s="1650"/>
      <c r="AA421" s="1651"/>
      <c r="AB421" s="1644"/>
      <c r="AC421" s="1644"/>
      <c r="AD421" s="1652"/>
      <c r="AE421" s="1652"/>
      <c r="AF421" s="1653"/>
      <c r="AG421" s="1643"/>
      <c r="AH421" s="1628"/>
      <c r="AI421" s="1628"/>
      <c r="AJ421" s="1628"/>
      <c r="AK421" s="1654"/>
      <c r="AL421" s="1655"/>
      <c r="AM421" s="1654"/>
      <c r="AN421" s="1656"/>
      <c r="AO421" s="1657"/>
      <c r="AP421" s="1656"/>
      <c r="AQ421" s="1656"/>
      <c r="AR421" s="1616"/>
      <c r="AS421" s="1654"/>
      <c r="AT421" s="1655"/>
      <c r="AU421" s="1654"/>
      <c r="AV421" s="1654"/>
      <c r="AW421" s="1620"/>
      <c r="AX421" s="1656"/>
      <c r="AY421" s="1657"/>
      <c r="AZ421" s="1657"/>
      <c r="BA421" s="1658"/>
      <c r="BB421" s="1628"/>
      <c r="BC421" s="1628"/>
      <c r="BD421" s="1620"/>
      <c r="BE421" s="1628"/>
      <c r="BF421" s="1627"/>
      <c r="BG421" s="1628"/>
      <c r="BI421" s="1082"/>
    </row>
    <row r="422" customHeight="1" spans="9:60">
      <c r="I422" s="1060" t="s">
        <v>3075</v>
      </c>
      <c r="M422" s="1058"/>
      <c r="N422" s="1218"/>
      <c r="O422" s="1643"/>
      <c r="P422" s="1644"/>
      <c r="Q422" s="1645"/>
      <c r="R422" s="1645"/>
      <c r="S422" s="1646"/>
      <c r="T422" s="1644"/>
      <c r="U422" s="1644"/>
      <c r="V422" s="1647"/>
      <c r="W422" s="1648"/>
      <c r="X422" s="1058"/>
      <c r="Y422" s="1649"/>
      <c r="Z422" s="1650"/>
      <c r="AA422" s="1651"/>
      <c r="AB422" s="1644"/>
      <c r="AC422" s="1644"/>
      <c r="AD422" s="1652"/>
      <c r="AE422" s="1652"/>
      <c r="AF422" s="1653"/>
      <c r="AG422" s="1643"/>
      <c r="AH422" s="1628"/>
      <c r="AI422" s="1628"/>
      <c r="AJ422" s="1628"/>
      <c r="AK422" s="1654"/>
      <c r="AL422" s="1655"/>
      <c r="AM422" s="1654"/>
      <c r="AN422" s="1656"/>
      <c r="AO422" s="1657"/>
      <c r="AP422" s="1656"/>
      <c r="AQ422" s="1656"/>
      <c r="AR422" s="1616"/>
      <c r="AS422" s="1654"/>
      <c r="AT422" s="1655"/>
      <c r="AU422" s="1654"/>
      <c r="AV422" s="1654"/>
      <c r="AW422" s="1620"/>
      <c r="AX422" s="1656"/>
      <c r="AY422" s="1657"/>
      <c r="AZ422" s="1657"/>
      <c r="BA422" s="1658"/>
      <c r="BB422" s="1628"/>
      <c r="BC422" s="1628"/>
      <c r="BD422" s="1620"/>
      <c r="BE422" s="1628"/>
      <c r="BF422" s="1660"/>
      <c r="BG422" s="1661"/>
      <c r="BH422" s="1056"/>
    </row>
    <row r="423" customHeight="1" spans="13:59">
      <c r="M423" s="1058"/>
      <c r="N423" s="1218"/>
      <c r="O423" s="1643"/>
      <c r="P423" s="1644"/>
      <c r="Q423" s="1645"/>
      <c r="R423" s="1645"/>
      <c r="S423" s="1646"/>
      <c r="T423" s="1644"/>
      <c r="U423" s="1644"/>
      <c r="V423" s="1647"/>
      <c r="W423" s="1648"/>
      <c r="X423" s="1058"/>
      <c r="Y423" s="1649"/>
      <c r="Z423" s="1650"/>
      <c r="AA423" s="1651"/>
      <c r="AB423" s="1644"/>
      <c r="AC423" s="1644"/>
      <c r="AD423" s="1652"/>
      <c r="AE423" s="1652"/>
      <c r="AF423" s="1653"/>
      <c r="AG423" s="1643"/>
      <c r="AH423" s="1628"/>
      <c r="AI423" s="1628"/>
      <c r="AJ423" s="1628"/>
      <c r="AK423" s="1654"/>
      <c r="AL423" s="1655"/>
      <c r="AM423" s="1654"/>
      <c r="AN423" s="1656"/>
      <c r="AO423" s="1657"/>
      <c r="AP423" s="1656"/>
      <c r="AQ423" s="1656"/>
      <c r="AR423" s="1616"/>
      <c r="AS423" s="1654"/>
      <c r="AT423" s="1655"/>
      <c r="AU423" s="1654"/>
      <c r="AV423" s="1654"/>
      <c r="AW423" s="1620"/>
      <c r="AX423" s="1656"/>
      <c r="AY423" s="1657"/>
      <c r="AZ423" s="1657"/>
      <c r="BA423" s="1658"/>
      <c r="BB423" s="1628"/>
      <c r="BC423" s="1628"/>
      <c r="BD423" s="1620"/>
      <c r="BE423" s="1628"/>
      <c r="BF423" s="1627"/>
      <c r="BG423" s="1628"/>
    </row>
    <row r="424" customHeight="1" spans="13:59">
      <c r="M424" s="1058"/>
      <c r="N424" s="1218"/>
      <c r="O424" s="1643"/>
      <c r="P424" s="1644"/>
      <c r="Q424" s="1645"/>
      <c r="R424" s="1645"/>
      <c r="S424" s="1646"/>
      <c r="T424" s="1644"/>
      <c r="U424" s="1644"/>
      <c r="V424" s="1647"/>
      <c r="W424" s="1648"/>
      <c r="X424" s="1058"/>
      <c r="Y424" s="1649"/>
      <c r="Z424" s="1650"/>
      <c r="AA424" s="1651"/>
      <c r="AB424" s="1644"/>
      <c r="AC424" s="1644"/>
      <c r="AD424" s="1652"/>
      <c r="AE424" s="1652"/>
      <c r="AF424" s="1653"/>
      <c r="AG424" s="1643"/>
      <c r="AH424" s="1628"/>
      <c r="AI424" s="1628"/>
      <c r="AJ424" s="1628"/>
      <c r="AK424" s="1654"/>
      <c r="AL424" s="1655"/>
      <c r="AM424" s="1654"/>
      <c r="AN424" s="1656"/>
      <c r="AO424" s="1657"/>
      <c r="AP424" s="1656"/>
      <c r="AQ424" s="1656"/>
      <c r="AR424" s="1616"/>
      <c r="AS424" s="1654"/>
      <c r="AT424" s="1655"/>
      <c r="AU424" s="1654"/>
      <c r="AV424" s="1654"/>
      <c r="AW424" s="1620"/>
      <c r="AX424" s="1656"/>
      <c r="AY424" s="1657"/>
      <c r="AZ424" s="1657"/>
      <c r="BA424" s="1658"/>
      <c r="BB424" s="1628"/>
      <c r="BC424" s="1628"/>
      <c r="BD424" s="1620"/>
      <c r="BE424" s="1628"/>
      <c r="BF424" s="1627"/>
      <c r="BG424" s="1628"/>
    </row>
    <row r="425" customHeight="1" spans="13:59">
      <c r="M425" s="1058"/>
      <c r="N425" s="1218"/>
      <c r="O425" s="1643"/>
      <c r="P425" s="1644"/>
      <c r="Q425" s="1645"/>
      <c r="R425" s="1645"/>
      <c r="S425" s="1646"/>
      <c r="T425" s="1644"/>
      <c r="U425" s="1644"/>
      <c r="V425" s="1647"/>
      <c r="W425" s="1648"/>
      <c r="X425" s="1058"/>
      <c r="Y425" s="1649"/>
      <c r="Z425" s="1650"/>
      <c r="AA425" s="1651"/>
      <c r="AB425" s="1644"/>
      <c r="AC425" s="1644"/>
      <c r="AD425" s="1652"/>
      <c r="AE425" s="1652"/>
      <c r="AF425" s="1653"/>
      <c r="AG425" s="1643"/>
      <c r="AH425" s="1628"/>
      <c r="AI425" s="1628"/>
      <c r="AJ425" s="1628"/>
      <c r="AK425" s="1654"/>
      <c r="AL425" s="1655"/>
      <c r="AM425" s="1654"/>
      <c r="AN425" s="1656"/>
      <c r="AO425" s="1657"/>
      <c r="AP425" s="1656"/>
      <c r="AQ425" s="1656"/>
      <c r="AR425" s="1616"/>
      <c r="AS425" s="1654"/>
      <c r="AT425" s="1655"/>
      <c r="AU425" s="1654"/>
      <c r="AV425" s="1654"/>
      <c r="AW425" s="1620"/>
      <c r="AX425" s="1656"/>
      <c r="AY425" s="1657"/>
      <c r="AZ425" s="1657"/>
      <c r="BA425" s="1658"/>
      <c r="BB425" s="1628"/>
      <c r="BC425" s="1628"/>
      <c r="BD425" s="1620"/>
      <c r="BE425" s="1628"/>
      <c r="BF425" s="1627"/>
      <c r="BG425" s="1628"/>
    </row>
    <row r="426" customHeight="1" spans="13:60">
      <c r="M426" s="1058"/>
      <c r="N426" s="1218"/>
      <c r="O426" s="1643"/>
      <c r="P426" s="1644"/>
      <c r="Q426" s="1645"/>
      <c r="R426" s="1645"/>
      <c r="S426" s="1646"/>
      <c r="T426" s="1644"/>
      <c r="U426" s="1644"/>
      <c r="V426" s="1647"/>
      <c r="W426" s="1648"/>
      <c r="X426" s="1058"/>
      <c r="Y426" s="1649"/>
      <c r="Z426" s="1650"/>
      <c r="AA426" s="1651"/>
      <c r="AB426" s="1644"/>
      <c r="AC426" s="1644"/>
      <c r="AD426" s="1652"/>
      <c r="AE426" s="1652"/>
      <c r="AF426" s="1653"/>
      <c r="AG426" s="1643"/>
      <c r="AH426" s="1628"/>
      <c r="AI426" s="1628"/>
      <c r="AJ426" s="1628"/>
      <c r="AK426" s="1654"/>
      <c r="AL426" s="1655"/>
      <c r="AM426" s="1654"/>
      <c r="AN426" s="1656"/>
      <c r="AO426" s="1657"/>
      <c r="AP426" s="1656"/>
      <c r="AQ426" s="1656"/>
      <c r="AR426" s="1616"/>
      <c r="AS426" s="1654"/>
      <c r="AT426" s="1655"/>
      <c r="AU426" s="1654"/>
      <c r="AV426" s="1654"/>
      <c r="AW426" s="1620"/>
      <c r="AX426" s="1656"/>
      <c r="AY426" s="1657"/>
      <c r="AZ426" s="1657"/>
      <c r="BA426" s="1658"/>
      <c r="BB426" s="1628"/>
      <c r="BC426" s="1628"/>
      <c r="BD426" s="1620"/>
      <c r="BE426" s="1628"/>
      <c r="BF426" s="1660"/>
      <c r="BG426" s="1661"/>
      <c r="BH426" s="1056"/>
    </row>
    <row r="427" customHeight="1" spans="9:60">
      <c r="I427" s="1060" t="s">
        <v>3075</v>
      </c>
      <c r="M427" s="1058"/>
      <c r="N427" s="1218"/>
      <c r="O427" s="1643"/>
      <c r="P427" s="1644"/>
      <c r="Q427" s="1645"/>
      <c r="R427" s="1645"/>
      <c r="S427" s="1646"/>
      <c r="T427" s="1644"/>
      <c r="U427" s="1644"/>
      <c r="V427" s="1647"/>
      <c r="W427" s="1648"/>
      <c r="X427" s="1058"/>
      <c r="Y427" s="1649"/>
      <c r="Z427" s="1650"/>
      <c r="AA427" s="1651"/>
      <c r="AB427" s="1644"/>
      <c r="AC427" s="1644"/>
      <c r="AD427" s="1652"/>
      <c r="AE427" s="1652"/>
      <c r="AF427" s="1653"/>
      <c r="AG427" s="1643"/>
      <c r="AH427" s="1628"/>
      <c r="AI427" s="1628"/>
      <c r="AJ427" s="1628"/>
      <c r="AK427" s="1654"/>
      <c r="AL427" s="1655"/>
      <c r="AM427" s="1654"/>
      <c r="AN427" s="1656"/>
      <c r="AO427" s="1657"/>
      <c r="AP427" s="1656"/>
      <c r="AQ427" s="1656"/>
      <c r="AR427" s="1616"/>
      <c r="AS427" s="1654"/>
      <c r="AT427" s="1655"/>
      <c r="AU427" s="1654"/>
      <c r="AV427" s="1654"/>
      <c r="AW427" s="1620"/>
      <c r="AX427" s="1656"/>
      <c r="AY427" s="1657"/>
      <c r="AZ427" s="1657"/>
      <c r="BA427" s="1658"/>
      <c r="BB427" s="1628"/>
      <c r="BC427" s="1628"/>
      <c r="BD427" s="1620"/>
      <c r="BE427" s="1628"/>
      <c r="BF427" s="1660"/>
      <c r="BG427" s="1661"/>
      <c r="BH427" s="1056"/>
    </row>
    <row r="428" customHeight="1" spans="13:60">
      <c r="M428" s="1058"/>
      <c r="N428" s="1218"/>
      <c r="O428" s="1643"/>
      <c r="P428" s="1644"/>
      <c r="Q428" s="1645"/>
      <c r="R428" s="1645"/>
      <c r="S428" s="1646"/>
      <c r="T428" s="1644"/>
      <c r="U428" s="1644"/>
      <c r="V428" s="1647"/>
      <c r="W428" s="1648"/>
      <c r="X428" s="1058"/>
      <c r="Y428" s="1649"/>
      <c r="Z428" s="1650"/>
      <c r="AA428" s="1651"/>
      <c r="AB428" s="1644"/>
      <c r="AC428" s="1644"/>
      <c r="AD428" s="1652"/>
      <c r="AE428" s="1652"/>
      <c r="AF428" s="1653"/>
      <c r="AG428" s="1643"/>
      <c r="AH428" s="1628"/>
      <c r="AI428" s="1628"/>
      <c r="AJ428" s="1628"/>
      <c r="AK428" s="1654"/>
      <c r="AL428" s="1655"/>
      <c r="AM428" s="1654"/>
      <c r="AN428" s="1656"/>
      <c r="AO428" s="1657"/>
      <c r="AP428" s="1656"/>
      <c r="AQ428" s="1656"/>
      <c r="AR428" s="1616"/>
      <c r="AS428" s="1654"/>
      <c r="AT428" s="1655"/>
      <c r="AU428" s="1654"/>
      <c r="AV428" s="1654"/>
      <c r="AW428" s="1620"/>
      <c r="AX428" s="1656"/>
      <c r="AY428" s="1657"/>
      <c r="AZ428" s="1657"/>
      <c r="BA428" s="1658"/>
      <c r="BB428" s="1628"/>
      <c r="BC428" s="1628"/>
      <c r="BD428" s="1620"/>
      <c r="BE428" s="1628"/>
      <c r="BF428" s="1660"/>
      <c r="BG428" s="1661"/>
      <c r="BH428" s="1056"/>
    </row>
    <row r="429" customHeight="1" spans="13:60">
      <c r="M429" s="1058"/>
      <c r="N429" s="1218"/>
      <c r="O429" s="1643"/>
      <c r="P429" s="1644"/>
      <c r="Q429" s="1645"/>
      <c r="R429" s="1645"/>
      <c r="S429" s="1646"/>
      <c r="T429" s="1644"/>
      <c r="U429" s="1644"/>
      <c r="V429" s="1647"/>
      <c r="W429" s="1648"/>
      <c r="X429" s="1058"/>
      <c r="Y429" s="1649"/>
      <c r="Z429" s="1650"/>
      <c r="AA429" s="1651"/>
      <c r="AB429" s="1644"/>
      <c r="AC429" s="1644"/>
      <c r="AD429" s="1652"/>
      <c r="AE429" s="1652"/>
      <c r="AF429" s="1653"/>
      <c r="AG429" s="1643"/>
      <c r="AH429" s="1628"/>
      <c r="AI429" s="1628"/>
      <c r="AJ429" s="1628"/>
      <c r="AK429" s="1654"/>
      <c r="AL429" s="1655"/>
      <c r="AM429" s="1654"/>
      <c r="AN429" s="1656"/>
      <c r="AO429" s="1657"/>
      <c r="AP429" s="1656"/>
      <c r="AQ429" s="1656"/>
      <c r="AR429" s="1616"/>
      <c r="AS429" s="1654"/>
      <c r="AT429" s="1655"/>
      <c r="AU429" s="1654"/>
      <c r="AV429" s="1654"/>
      <c r="AW429" s="1620"/>
      <c r="AX429" s="1656"/>
      <c r="AY429" s="1657"/>
      <c r="AZ429" s="1657"/>
      <c r="BA429" s="1658"/>
      <c r="BB429" s="1628"/>
      <c r="BC429" s="1628"/>
      <c r="BD429" s="1620"/>
      <c r="BE429" s="1628"/>
      <c r="BF429" s="1660"/>
      <c r="BG429" s="1661"/>
      <c r="BH429" s="1056"/>
    </row>
    <row r="430" customHeight="1" spans="13:60">
      <c r="M430" s="1058"/>
      <c r="N430" s="1218"/>
      <c r="O430" s="1643"/>
      <c r="P430" s="1644"/>
      <c r="Q430" s="1645"/>
      <c r="R430" s="1645"/>
      <c r="S430" s="1646"/>
      <c r="T430" s="1644"/>
      <c r="U430" s="1644"/>
      <c r="V430" s="1647"/>
      <c r="W430" s="1648"/>
      <c r="X430" s="1058"/>
      <c r="Y430" s="1649"/>
      <c r="Z430" s="1650"/>
      <c r="AA430" s="1651"/>
      <c r="AB430" s="1644"/>
      <c r="AC430" s="1644"/>
      <c r="AD430" s="1652"/>
      <c r="AE430" s="1652"/>
      <c r="AF430" s="1653"/>
      <c r="AG430" s="1643"/>
      <c r="AH430" s="1628"/>
      <c r="AI430" s="1628"/>
      <c r="AJ430" s="1628"/>
      <c r="AK430" s="1654"/>
      <c r="AL430" s="1655"/>
      <c r="AM430" s="1654"/>
      <c r="AN430" s="1656"/>
      <c r="AO430" s="1657"/>
      <c r="AP430" s="1656"/>
      <c r="AQ430" s="1656"/>
      <c r="AR430" s="1616"/>
      <c r="AS430" s="1654"/>
      <c r="AT430" s="1655"/>
      <c r="AU430" s="1654"/>
      <c r="AV430" s="1654"/>
      <c r="AW430" s="1620"/>
      <c r="AX430" s="1656"/>
      <c r="AY430" s="1657"/>
      <c r="AZ430" s="1657"/>
      <c r="BA430" s="1658"/>
      <c r="BB430" s="1628"/>
      <c r="BC430" s="1628"/>
      <c r="BD430" s="1620"/>
      <c r="BE430" s="1628"/>
      <c r="BF430" s="1660"/>
      <c r="BG430" s="1661"/>
      <c r="BH430" s="1056"/>
    </row>
    <row r="431" customHeight="1" spans="13:59">
      <c r="M431" s="1058"/>
      <c r="N431" s="1218"/>
      <c r="O431" s="1643"/>
      <c r="P431" s="1644"/>
      <c r="Q431" s="1645"/>
      <c r="R431" s="1645"/>
      <c r="S431" s="1646"/>
      <c r="T431" s="1644"/>
      <c r="U431" s="1644"/>
      <c r="V431" s="1647"/>
      <c r="W431" s="1648"/>
      <c r="X431" s="1058"/>
      <c r="Y431" s="1649"/>
      <c r="Z431" s="1650"/>
      <c r="AA431" s="1651"/>
      <c r="AB431" s="1644"/>
      <c r="AC431" s="1644"/>
      <c r="AD431" s="1652"/>
      <c r="AE431" s="1652"/>
      <c r="AF431" s="1653"/>
      <c r="AG431" s="1643"/>
      <c r="AH431" s="1628"/>
      <c r="AI431" s="1628"/>
      <c r="AJ431" s="1628"/>
      <c r="AK431" s="1654"/>
      <c r="AL431" s="1655"/>
      <c r="AM431" s="1654"/>
      <c r="AN431" s="1656"/>
      <c r="AO431" s="1657"/>
      <c r="AP431" s="1656"/>
      <c r="AQ431" s="1656"/>
      <c r="AR431" s="1616"/>
      <c r="AS431" s="1654"/>
      <c r="AT431" s="1655"/>
      <c r="AU431" s="1654"/>
      <c r="AV431" s="1654"/>
      <c r="AW431" s="1620"/>
      <c r="AX431" s="1656"/>
      <c r="AY431" s="1657"/>
      <c r="AZ431" s="1657"/>
      <c r="BA431" s="1658"/>
      <c r="BB431" s="1628"/>
      <c r="BC431" s="1628"/>
      <c r="BD431" s="1620"/>
      <c r="BE431" s="1628"/>
      <c r="BF431" s="1627"/>
      <c r="BG431" s="1628"/>
    </row>
    <row r="432" customHeight="1" spans="13:59">
      <c r="M432" s="1058"/>
      <c r="N432" s="1218"/>
      <c r="O432" s="1643"/>
      <c r="P432" s="1644"/>
      <c r="Q432" s="1645"/>
      <c r="R432" s="1645"/>
      <c r="S432" s="1646"/>
      <c r="T432" s="1644"/>
      <c r="U432" s="1644"/>
      <c r="V432" s="1647"/>
      <c r="W432" s="1648"/>
      <c r="X432" s="1058"/>
      <c r="Y432" s="1649"/>
      <c r="Z432" s="1650"/>
      <c r="AA432" s="1651"/>
      <c r="AB432" s="1644"/>
      <c r="AC432" s="1644"/>
      <c r="AD432" s="1652"/>
      <c r="AE432" s="1652"/>
      <c r="AF432" s="1653"/>
      <c r="AG432" s="1643"/>
      <c r="AH432" s="1628"/>
      <c r="AI432" s="1628"/>
      <c r="AJ432" s="1628"/>
      <c r="AK432" s="1654"/>
      <c r="AL432" s="1655"/>
      <c r="AM432" s="1654"/>
      <c r="AN432" s="1656"/>
      <c r="AO432" s="1657"/>
      <c r="AP432" s="1656"/>
      <c r="AQ432" s="1656"/>
      <c r="AR432" s="1616"/>
      <c r="AS432" s="1654"/>
      <c r="AT432" s="1655"/>
      <c r="AU432" s="1654"/>
      <c r="AV432" s="1654"/>
      <c r="AW432" s="1620"/>
      <c r="AX432" s="1656"/>
      <c r="AY432" s="1657"/>
      <c r="AZ432" s="1657"/>
      <c r="BA432" s="1658"/>
      <c r="BB432" s="1628"/>
      <c r="BC432" s="1628"/>
      <c r="BD432" s="1620"/>
      <c r="BE432" s="1628"/>
      <c r="BF432" s="1627"/>
      <c r="BG432" s="1628"/>
    </row>
    <row r="433" customHeight="1" spans="13:59">
      <c r="M433" s="1058"/>
      <c r="N433" s="1218"/>
      <c r="O433" s="1643"/>
      <c r="P433" s="1644"/>
      <c r="Q433" s="1645"/>
      <c r="R433" s="1645"/>
      <c r="S433" s="1646"/>
      <c r="T433" s="1644"/>
      <c r="U433" s="1644"/>
      <c r="V433" s="1647"/>
      <c r="W433" s="1648"/>
      <c r="X433" s="1058"/>
      <c r="Y433" s="1649"/>
      <c r="Z433" s="1650"/>
      <c r="AA433" s="1651"/>
      <c r="AB433" s="1644"/>
      <c r="AC433" s="1644"/>
      <c r="AD433" s="1652"/>
      <c r="AE433" s="1652"/>
      <c r="AF433" s="1653"/>
      <c r="AG433" s="1643"/>
      <c r="AH433" s="1628"/>
      <c r="AI433" s="1628"/>
      <c r="AJ433" s="1628"/>
      <c r="AK433" s="1654"/>
      <c r="AL433" s="1655"/>
      <c r="AM433" s="1654"/>
      <c r="AN433" s="1656"/>
      <c r="AO433" s="1657"/>
      <c r="AP433" s="1656"/>
      <c r="AQ433" s="1656"/>
      <c r="AR433" s="1616"/>
      <c r="AS433" s="1654"/>
      <c r="AT433" s="1655"/>
      <c r="AU433" s="1654"/>
      <c r="AV433" s="1654"/>
      <c r="AW433" s="1620"/>
      <c r="AX433" s="1656"/>
      <c r="AY433" s="1657"/>
      <c r="AZ433" s="1657"/>
      <c r="BA433" s="1658"/>
      <c r="BB433" s="1628"/>
      <c r="BC433" s="1628"/>
      <c r="BD433" s="1620"/>
      <c r="BE433" s="1628"/>
      <c r="BF433" s="1627"/>
      <c r="BG433" s="1628"/>
    </row>
    <row r="434" customHeight="1" spans="13:59">
      <c r="M434" s="1058"/>
      <c r="N434" s="1218"/>
      <c r="O434" s="1643"/>
      <c r="P434" s="1644"/>
      <c r="Q434" s="1645"/>
      <c r="R434" s="1645"/>
      <c r="S434" s="1646"/>
      <c r="T434" s="1644"/>
      <c r="U434" s="1644"/>
      <c r="V434" s="1647"/>
      <c r="W434" s="1648"/>
      <c r="X434" s="1058"/>
      <c r="Y434" s="1649"/>
      <c r="Z434" s="1650"/>
      <c r="AA434" s="1651"/>
      <c r="AB434" s="1644"/>
      <c r="AC434" s="1644"/>
      <c r="AD434" s="1652"/>
      <c r="AE434" s="1652"/>
      <c r="AF434" s="1653"/>
      <c r="AG434" s="1643"/>
      <c r="AH434" s="1628"/>
      <c r="AI434" s="1628"/>
      <c r="AJ434" s="1628"/>
      <c r="AK434" s="1654"/>
      <c r="AL434" s="1655"/>
      <c r="AM434" s="1654"/>
      <c r="AN434" s="1656"/>
      <c r="AO434" s="1657"/>
      <c r="AP434" s="1656"/>
      <c r="AQ434" s="1656"/>
      <c r="AR434" s="1616"/>
      <c r="AS434" s="1654"/>
      <c r="AT434" s="1655"/>
      <c r="AU434" s="1654"/>
      <c r="AV434" s="1654"/>
      <c r="AW434" s="1620"/>
      <c r="AX434" s="1656"/>
      <c r="AY434" s="1657"/>
      <c r="AZ434" s="1657"/>
      <c r="BA434" s="1658"/>
      <c r="BB434" s="1628"/>
      <c r="BC434" s="1628"/>
      <c r="BD434" s="1620"/>
      <c r="BE434" s="1628"/>
      <c r="BF434" s="1627"/>
      <c r="BG434" s="1628"/>
    </row>
    <row r="435" customHeight="1" spans="13:59">
      <c r="M435" s="1058"/>
      <c r="N435" s="1218"/>
      <c r="O435" s="1643"/>
      <c r="P435" s="1644"/>
      <c r="Q435" s="1645"/>
      <c r="R435" s="1645"/>
      <c r="S435" s="1646"/>
      <c r="T435" s="1644"/>
      <c r="U435" s="1644"/>
      <c r="V435" s="1647"/>
      <c r="W435" s="1648"/>
      <c r="X435" s="1058"/>
      <c r="Y435" s="1649"/>
      <c r="Z435" s="1650"/>
      <c r="AA435" s="1651"/>
      <c r="AB435" s="1644"/>
      <c r="AC435" s="1644"/>
      <c r="AD435" s="1652"/>
      <c r="AE435" s="1652"/>
      <c r="AF435" s="1653"/>
      <c r="AG435" s="1643"/>
      <c r="AH435" s="1628"/>
      <c r="AI435" s="1628"/>
      <c r="AJ435" s="1628"/>
      <c r="AK435" s="1654"/>
      <c r="AL435" s="1655"/>
      <c r="AM435" s="1654"/>
      <c r="AN435" s="1656"/>
      <c r="AO435" s="1657"/>
      <c r="AP435" s="1656"/>
      <c r="AQ435" s="1656"/>
      <c r="AR435" s="1616"/>
      <c r="AS435" s="1654"/>
      <c r="AT435" s="1655"/>
      <c r="AU435" s="1654"/>
      <c r="AV435" s="1654"/>
      <c r="AW435" s="1620"/>
      <c r="AX435" s="1656"/>
      <c r="AY435" s="1657"/>
      <c r="AZ435" s="1657"/>
      <c r="BA435" s="1658"/>
      <c r="BB435" s="1628"/>
      <c r="BC435" s="1628"/>
      <c r="BD435" s="1620"/>
      <c r="BE435" s="1628"/>
      <c r="BF435" s="1627"/>
      <c r="BG435" s="1628"/>
    </row>
    <row r="436" customHeight="1" spans="13:59">
      <c r="M436" s="1058"/>
      <c r="N436" s="1218"/>
      <c r="O436" s="1643"/>
      <c r="P436" s="1644"/>
      <c r="Q436" s="1645"/>
      <c r="R436" s="1645"/>
      <c r="S436" s="1646"/>
      <c r="T436" s="1644"/>
      <c r="U436" s="1644"/>
      <c r="V436" s="1647"/>
      <c r="W436" s="1648"/>
      <c r="X436" s="1058"/>
      <c r="Y436" s="1649"/>
      <c r="Z436" s="1650"/>
      <c r="AA436" s="1651"/>
      <c r="AB436" s="1644"/>
      <c r="AC436" s="1644"/>
      <c r="AD436" s="1652"/>
      <c r="AE436" s="1652"/>
      <c r="AF436" s="1653"/>
      <c r="AG436" s="1643"/>
      <c r="AH436" s="1628"/>
      <c r="AI436" s="1628"/>
      <c r="AJ436" s="1628"/>
      <c r="AK436" s="1654"/>
      <c r="AL436" s="1655"/>
      <c r="AM436" s="1654"/>
      <c r="AN436" s="1656"/>
      <c r="AO436" s="1657"/>
      <c r="AP436" s="1656"/>
      <c r="AQ436" s="1656"/>
      <c r="AR436" s="1616"/>
      <c r="AS436" s="1654"/>
      <c r="AT436" s="1655"/>
      <c r="AU436" s="1654"/>
      <c r="AV436" s="1654"/>
      <c r="AW436" s="1620"/>
      <c r="AX436" s="1656"/>
      <c r="AY436" s="1657"/>
      <c r="AZ436" s="1657"/>
      <c r="BA436" s="1658"/>
      <c r="BB436" s="1628"/>
      <c r="BC436" s="1628"/>
      <c r="BD436" s="1620"/>
      <c r="BE436" s="1628"/>
      <c r="BF436" s="1627"/>
      <c r="BG436" s="1628"/>
    </row>
    <row r="437" customHeight="1" spans="13:59">
      <c r="M437" s="1058"/>
      <c r="N437" s="1218"/>
      <c r="O437" s="1643"/>
      <c r="P437" s="1644"/>
      <c r="Q437" s="1645"/>
      <c r="R437" s="1645"/>
      <c r="S437" s="1646"/>
      <c r="T437" s="1644"/>
      <c r="U437" s="1644"/>
      <c r="V437" s="1647"/>
      <c r="W437" s="1648"/>
      <c r="X437" s="1058"/>
      <c r="Y437" s="1649"/>
      <c r="Z437" s="1650"/>
      <c r="AA437" s="1651"/>
      <c r="AB437" s="1644"/>
      <c r="AC437" s="1644"/>
      <c r="AD437" s="1652"/>
      <c r="AE437" s="1652"/>
      <c r="AF437" s="1653"/>
      <c r="AG437" s="1643"/>
      <c r="AH437" s="1628"/>
      <c r="AI437" s="1628"/>
      <c r="AJ437" s="1628"/>
      <c r="AK437" s="1654"/>
      <c r="AL437" s="1655"/>
      <c r="AM437" s="1654"/>
      <c r="AN437" s="1656"/>
      <c r="AO437" s="1657"/>
      <c r="AP437" s="1656"/>
      <c r="AQ437" s="1656"/>
      <c r="AR437" s="1616"/>
      <c r="AS437" s="1654"/>
      <c r="AT437" s="1655"/>
      <c r="AU437" s="1654"/>
      <c r="AV437" s="1654"/>
      <c r="AW437" s="1620"/>
      <c r="AX437" s="1656"/>
      <c r="AY437" s="1657"/>
      <c r="AZ437" s="1657"/>
      <c r="BA437" s="1658"/>
      <c r="BB437" s="1628"/>
      <c r="BC437" s="1628"/>
      <c r="BD437" s="1620"/>
      <c r="BE437" s="1628"/>
      <c r="BF437" s="1627"/>
      <c r="BG437" s="1628"/>
    </row>
    <row r="438" customHeight="1" spans="13:59">
      <c r="M438" s="1058"/>
      <c r="N438" s="1218"/>
      <c r="O438" s="1643"/>
      <c r="P438" s="1644"/>
      <c r="Q438" s="1645"/>
      <c r="R438" s="1645"/>
      <c r="S438" s="1646"/>
      <c r="T438" s="1644"/>
      <c r="U438" s="1644"/>
      <c r="V438" s="1647"/>
      <c r="W438" s="1648"/>
      <c r="X438" s="1058"/>
      <c r="Y438" s="1649"/>
      <c r="Z438" s="1650"/>
      <c r="AA438" s="1651"/>
      <c r="AB438" s="1644"/>
      <c r="AC438" s="1644"/>
      <c r="AD438" s="1652"/>
      <c r="AE438" s="1652"/>
      <c r="AF438" s="1653"/>
      <c r="AG438" s="1643"/>
      <c r="AH438" s="1628"/>
      <c r="AI438" s="1628"/>
      <c r="AJ438" s="1628"/>
      <c r="AK438" s="1654"/>
      <c r="AL438" s="1655"/>
      <c r="AM438" s="1654"/>
      <c r="AN438" s="1656"/>
      <c r="AO438" s="1657"/>
      <c r="AP438" s="1656"/>
      <c r="AQ438" s="1656"/>
      <c r="AR438" s="1616"/>
      <c r="AS438" s="1654"/>
      <c r="AT438" s="1655"/>
      <c r="AU438" s="1654"/>
      <c r="AV438" s="1654"/>
      <c r="AW438" s="1620"/>
      <c r="AX438" s="1656"/>
      <c r="AY438" s="1657"/>
      <c r="AZ438" s="1657"/>
      <c r="BA438" s="1658"/>
      <c r="BB438" s="1628"/>
      <c r="BC438" s="1628"/>
      <c r="BD438" s="1620"/>
      <c r="BE438" s="1628"/>
      <c r="BF438" s="1627"/>
      <c r="BG438" s="1628"/>
    </row>
    <row r="439" customHeight="1" spans="13:59">
      <c r="M439" s="1058"/>
      <c r="N439" s="1218"/>
      <c r="O439" s="1643"/>
      <c r="P439" s="1644"/>
      <c r="Q439" s="1645"/>
      <c r="R439" s="1645"/>
      <c r="S439" s="1646"/>
      <c r="T439" s="1644"/>
      <c r="U439" s="1644"/>
      <c r="V439" s="1647"/>
      <c r="W439" s="1648"/>
      <c r="X439" s="1058"/>
      <c r="Y439" s="1649"/>
      <c r="Z439" s="1650"/>
      <c r="AA439" s="1651"/>
      <c r="AB439" s="1644"/>
      <c r="AC439" s="1644"/>
      <c r="AD439" s="1652"/>
      <c r="AE439" s="1652"/>
      <c r="AF439" s="1653"/>
      <c r="AG439" s="1643"/>
      <c r="AH439" s="1628"/>
      <c r="AI439" s="1628"/>
      <c r="AJ439" s="1628"/>
      <c r="AK439" s="1654"/>
      <c r="AL439" s="1655"/>
      <c r="AM439" s="1654"/>
      <c r="AN439" s="1656"/>
      <c r="AO439" s="1657"/>
      <c r="AP439" s="1656"/>
      <c r="AQ439" s="1656"/>
      <c r="AR439" s="1616"/>
      <c r="AS439" s="1654"/>
      <c r="AT439" s="1655"/>
      <c r="AU439" s="1654"/>
      <c r="AV439" s="1654"/>
      <c r="AW439" s="1620"/>
      <c r="AX439" s="1656"/>
      <c r="AY439" s="1657"/>
      <c r="AZ439" s="1657"/>
      <c r="BA439" s="1658"/>
      <c r="BB439" s="1628"/>
      <c r="BC439" s="1628"/>
      <c r="BD439" s="1620"/>
      <c r="BE439" s="1628"/>
      <c r="BF439" s="1627"/>
      <c r="BG439" s="1628"/>
    </row>
    <row r="440" customHeight="1" spans="13:59">
      <c r="M440" s="1058"/>
      <c r="N440" s="1218"/>
      <c r="O440" s="1643"/>
      <c r="P440" s="1644"/>
      <c r="Q440" s="1645"/>
      <c r="R440" s="1645"/>
      <c r="S440" s="1646"/>
      <c r="T440" s="1644"/>
      <c r="U440" s="1644"/>
      <c r="V440" s="1647"/>
      <c r="W440" s="1648"/>
      <c r="X440" s="1058"/>
      <c r="Y440" s="1649"/>
      <c r="Z440" s="1650"/>
      <c r="AA440" s="1651"/>
      <c r="AB440" s="1644"/>
      <c r="AC440" s="1644"/>
      <c r="AD440" s="1652"/>
      <c r="AE440" s="1652"/>
      <c r="AF440" s="1653"/>
      <c r="AG440" s="1643"/>
      <c r="AH440" s="1628"/>
      <c r="AI440" s="1628"/>
      <c r="AJ440" s="1628"/>
      <c r="AK440" s="1654"/>
      <c r="AL440" s="1655"/>
      <c r="AM440" s="1654"/>
      <c r="AN440" s="1656"/>
      <c r="AO440" s="1657"/>
      <c r="AP440" s="1656"/>
      <c r="AQ440" s="1656"/>
      <c r="AR440" s="1616"/>
      <c r="AS440" s="1654"/>
      <c r="AT440" s="1655"/>
      <c r="AU440" s="1654"/>
      <c r="AV440" s="1654"/>
      <c r="AW440" s="1620"/>
      <c r="AX440" s="1656"/>
      <c r="AY440" s="1657"/>
      <c r="AZ440" s="1657"/>
      <c r="BA440" s="1658"/>
      <c r="BB440" s="1628"/>
      <c r="BC440" s="1628"/>
      <c r="BD440" s="1620"/>
      <c r="BE440" s="1628"/>
      <c r="BF440" s="1627"/>
      <c r="BG440" s="1628"/>
    </row>
    <row r="441" customHeight="1" spans="13:59">
      <c r="M441" s="1058"/>
      <c r="N441" s="1218"/>
      <c r="O441" s="1643"/>
      <c r="P441" s="1644"/>
      <c r="Q441" s="1645"/>
      <c r="R441" s="1645"/>
      <c r="S441" s="1646"/>
      <c r="T441" s="1644"/>
      <c r="U441" s="1644"/>
      <c r="V441" s="1647"/>
      <c r="W441" s="1648"/>
      <c r="X441" s="1058"/>
      <c r="Y441" s="1649"/>
      <c r="Z441" s="1650"/>
      <c r="AA441" s="1651"/>
      <c r="AB441" s="1644"/>
      <c r="AC441" s="1644"/>
      <c r="AD441" s="1652"/>
      <c r="AE441" s="1652"/>
      <c r="AF441" s="1653"/>
      <c r="AG441" s="1643"/>
      <c r="AH441" s="1628"/>
      <c r="AI441" s="1628"/>
      <c r="AJ441" s="1628"/>
      <c r="AK441" s="1654"/>
      <c r="AL441" s="1655"/>
      <c r="AM441" s="1654"/>
      <c r="AN441" s="1656"/>
      <c r="AO441" s="1657"/>
      <c r="AP441" s="1656"/>
      <c r="AQ441" s="1656"/>
      <c r="AR441" s="1616"/>
      <c r="AS441" s="1654"/>
      <c r="AT441" s="1655"/>
      <c r="AU441" s="1654"/>
      <c r="AV441" s="1654"/>
      <c r="AW441" s="1620"/>
      <c r="AX441" s="1656"/>
      <c r="AY441" s="1657"/>
      <c r="AZ441" s="1657"/>
      <c r="BA441" s="1658"/>
      <c r="BB441" s="1628"/>
      <c r="BC441" s="1628"/>
      <c r="BD441" s="1620"/>
      <c r="BE441" s="1628"/>
      <c r="BF441" s="1627"/>
      <c r="BG441" s="1628"/>
    </row>
    <row r="442" customHeight="1" spans="13:59">
      <c r="M442" s="1058"/>
      <c r="N442" s="1218"/>
      <c r="O442" s="1643"/>
      <c r="P442" s="1644"/>
      <c r="Q442" s="1645"/>
      <c r="R442" s="1645"/>
      <c r="S442" s="1646"/>
      <c r="T442" s="1644"/>
      <c r="U442" s="1644"/>
      <c r="V442" s="1647"/>
      <c r="W442" s="1648"/>
      <c r="X442" s="1058"/>
      <c r="Y442" s="1649"/>
      <c r="Z442" s="1650"/>
      <c r="AA442" s="1651"/>
      <c r="AB442" s="1644"/>
      <c r="AC442" s="1644"/>
      <c r="AD442" s="1652"/>
      <c r="AE442" s="1652"/>
      <c r="AF442" s="1653"/>
      <c r="AG442" s="1643"/>
      <c r="AH442" s="1628"/>
      <c r="AI442" s="1628"/>
      <c r="AJ442" s="1628"/>
      <c r="AK442" s="1654"/>
      <c r="AL442" s="1655"/>
      <c r="AM442" s="1654"/>
      <c r="AN442" s="1656"/>
      <c r="AO442" s="1657"/>
      <c r="AP442" s="1656"/>
      <c r="AQ442" s="1656"/>
      <c r="AR442" s="1616"/>
      <c r="AS442" s="1654"/>
      <c r="AT442" s="1655"/>
      <c r="AU442" s="1654"/>
      <c r="AV442" s="1654"/>
      <c r="AW442" s="1620"/>
      <c r="AX442" s="1656"/>
      <c r="AY442" s="1657"/>
      <c r="AZ442" s="1657"/>
      <c r="BA442" s="1658"/>
      <c r="BB442" s="1628"/>
      <c r="BC442" s="1628"/>
      <c r="BD442" s="1620"/>
      <c r="BE442" s="1628"/>
      <c r="BF442" s="1627"/>
      <c r="BG442" s="1628"/>
    </row>
    <row r="443" customHeight="1" spans="13:59">
      <c r="M443" s="1058"/>
      <c r="N443" s="1218"/>
      <c r="O443" s="1643"/>
      <c r="P443" s="1644"/>
      <c r="Q443" s="1645"/>
      <c r="R443" s="1645"/>
      <c r="S443" s="1646"/>
      <c r="T443" s="1644"/>
      <c r="U443" s="1644"/>
      <c r="V443" s="1647"/>
      <c r="W443" s="1648"/>
      <c r="X443" s="1058"/>
      <c r="Y443" s="1649"/>
      <c r="Z443" s="1650"/>
      <c r="AA443" s="1651"/>
      <c r="AB443" s="1644"/>
      <c r="AC443" s="1644"/>
      <c r="AD443" s="1652"/>
      <c r="AE443" s="1652"/>
      <c r="AF443" s="1653"/>
      <c r="AG443" s="1643"/>
      <c r="AH443" s="1628"/>
      <c r="AI443" s="1628"/>
      <c r="AJ443" s="1628"/>
      <c r="AK443" s="1654"/>
      <c r="AL443" s="1655"/>
      <c r="AM443" s="1654"/>
      <c r="AN443" s="1656"/>
      <c r="AO443" s="1657"/>
      <c r="AP443" s="1656"/>
      <c r="AQ443" s="1656"/>
      <c r="AR443" s="1616"/>
      <c r="AS443" s="1654"/>
      <c r="AT443" s="1655"/>
      <c r="AU443" s="1654"/>
      <c r="AV443" s="1654"/>
      <c r="AW443" s="1620"/>
      <c r="AX443" s="1656"/>
      <c r="AY443" s="1657"/>
      <c r="AZ443" s="1657"/>
      <c r="BA443" s="1658"/>
      <c r="BB443" s="1628"/>
      <c r="BC443" s="1628"/>
      <c r="BD443" s="1620"/>
      <c r="BE443" s="1628"/>
      <c r="BF443" s="1627"/>
      <c r="BG443" s="1628"/>
    </row>
    <row r="444" customHeight="1" spans="13:59">
      <c r="M444" s="1058"/>
      <c r="N444" s="1218"/>
      <c r="O444" s="1643"/>
      <c r="P444" s="1644"/>
      <c r="Q444" s="1645"/>
      <c r="R444" s="1645"/>
      <c r="S444" s="1646"/>
      <c r="T444" s="1644"/>
      <c r="U444" s="1644"/>
      <c r="V444" s="1647"/>
      <c r="W444" s="1648"/>
      <c r="X444" s="1058"/>
      <c r="Y444" s="1649"/>
      <c r="Z444" s="1650"/>
      <c r="AA444" s="1651"/>
      <c r="AB444" s="1644"/>
      <c r="AC444" s="1644"/>
      <c r="AD444" s="1652"/>
      <c r="AE444" s="1652"/>
      <c r="AF444" s="1653"/>
      <c r="AG444" s="1643"/>
      <c r="AH444" s="1628"/>
      <c r="AI444" s="1628"/>
      <c r="AJ444" s="1628"/>
      <c r="AK444" s="1654"/>
      <c r="AL444" s="1655"/>
      <c r="AM444" s="1654"/>
      <c r="AN444" s="1656"/>
      <c r="AO444" s="1657"/>
      <c r="AP444" s="1656"/>
      <c r="AQ444" s="1656"/>
      <c r="AR444" s="1616"/>
      <c r="AS444" s="1654"/>
      <c r="AT444" s="1655"/>
      <c r="AU444" s="1654"/>
      <c r="AV444" s="1654"/>
      <c r="AW444" s="1620"/>
      <c r="AX444" s="1656"/>
      <c r="AY444" s="1657"/>
      <c r="AZ444" s="1657"/>
      <c r="BA444" s="1658"/>
      <c r="BB444" s="1628"/>
      <c r="BC444" s="1628"/>
      <c r="BD444" s="1620"/>
      <c r="BE444" s="1628"/>
      <c r="BF444" s="1627"/>
      <c r="BG444" s="1628"/>
    </row>
    <row r="445" customHeight="1" spans="13:59">
      <c r="M445" s="1058"/>
      <c r="N445" s="1218"/>
      <c r="O445" s="1643"/>
      <c r="P445" s="1644"/>
      <c r="Q445" s="1645"/>
      <c r="R445" s="1645"/>
      <c r="S445" s="1646"/>
      <c r="T445" s="1644"/>
      <c r="U445" s="1644"/>
      <c r="V445" s="1647"/>
      <c r="W445" s="1648"/>
      <c r="X445" s="1058"/>
      <c r="Y445" s="1649"/>
      <c r="Z445" s="1650"/>
      <c r="AA445" s="1651"/>
      <c r="AB445" s="1644"/>
      <c r="AC445" s="1644"/>
      <c r="AD445" s="1652"/>
      <c r="AE445" s="1652"/>
      <c r="AF445" s="1653"/>
      <c r="AG445" s="1643"/>
      <c r="AH445" s="1628"/>
      <c r="AI445" s="1628"/>
      <c r="AJ445" s="1628"/>
      <c r="AK445" s="1654"/>
      <c r="AL445" s="1655"/>
      <c r="AM445" s="1654"/>
      <c r="AN445" s="1656"/>
      <c r="AO445" s="1657"/>
      <c r="AP445" s="1656"/>
      <c r="AQ445" s="1656"/>
      <c r="AR445" s="1616"/>
      <c r="AS445" s="1654"/>
      <c r="AT445" s="1655"/>
      <c r="AU445" s="1654"/>
      <c r="AV445" s="1654"/>
      <c r="AW445" s="1620"/>
      <c r="AX445" s="1656"/>
      <c r="AY445" s="1657"/>
      <c r="AZ445" s="1657"/>
      <c r="BA445" s="1658"/>
      <c r="BB445" s="1628"/>
      <c r="BC445" s="1628"/>
      <c r="BD445" s="1620"/>
      <c r="BE445" s="1628"/>
      <c r="BF445" s="1627"/>
      <c r="BG445" s="1628"/>
    </row>
    <row r="446" customHeight="1" spans="13:59">
      <c r="M446" s="1058"/>
      <c r="N446" s="1218"/>
      <c r="O446" s="1643"/>
      <c r="P446" s="1644"/>
      <c r="Q446" s="1645"/>
      <c r="R446" s="1645"/>
      <c r="S446" s="1646"/>
      <c r="T446" s="1644"/>
      <c r="U446" s="1644"/>
      <c r="V446" s="1647"/>
      <c r="W446" s="1648"/>
      <c r="X446" s="1058"/>
      <c r="Y446" s="1649"/>
      <c r="Z446" s="1650"/>
      <c r="AA446" s="1651"/>
      <c r="AB446" s="1644"/>
      <c r="AC446" s="1644"/>
      <c r="AD446" s="1652"/>
      <c r="AE446" s="1652"/>
      <c r="AF446" s="1653"/>
      <c r="AG446" s="1643"/>
      <c r="AH446" s="1628"/>
      <c r="AI446" s="1628"/>
      <c r="AJ446" s="1628"/>
      <c r="AK446" s="1654"/>
      <c r="AL446" s="1655"/>
      <c r="AM446" s="1654"/>
      <c r="AN446" s="1656"/>
      <c r="AO446" s="1657"/>
      <c r="AP446" s="1656"/>
      <c r="AQ446" s="1656"/>
      <c r="AR446" s="1616"/>
      <c r="AS446" s="1654"/>
      <c r="AT446" s="1655"/>
      <c r="AU446" s="1654"/>
      <c r="AV446" s="1654"/>
      <c r="AW446" s="1620"/>
      <c r="AX446" s="1656"/>
      <c r="AY446" s="1657"/>
      <c r="AZ446" s="1657"/>
      <c r="BA446" s="1658"/>
      <c r="BB446" s="1628"/>
      <c r="BC446" s="1628"/>
      <c r="BD446" s="1620"/>
      <c r="BE446" s="1628"/>
      <c r="BF446" s="1627"/>
      <c r="BG446" s="1628"/>
    </row>
    <row r="447" customHeight="1" spans="13:59">
      <c r="M447" s="1058"/>
      <c r="N447" s="1218"/>
      <c r="O447" s="1643"/>
      <c r="P447" s="1644"/>
      <c r="Q447" s="1645"/>
      <c r="R447" s="1645"/>
      <c r="S447" s="1646"/>
      <c r="T447" s="1644"/>
      <c r="U447" s="1644"/>
      <c r="V447" s="1647"/>
      <c r="W447" s="1648"/>
      <c r="X447" s="1058"/>
      <c r="Y447" s="1649"/>
      <c r="Z447" s="1650"/>
      <c r="AA447" s="1651"/>
      <c r="AB447" s="1644"/>
      <c r="AC447" s="1644"/>
      <c r="AD447" s="1652"/>
      <c r="AE447" s="1652"/>
      <c r="AF447" s="1653"/>
      <c r="AG447" s="1643"/>
      <c r="AH447" s="1628"/>
      <c r="AI447" s="1628"/>
      <c r="AJ447" s="1628"/>
      <c r="AK447" s="1654"/>
      <c r="AL447" s="1655"/>
      <c r="AM447" s="1654"/>
      <c r="AN447" s="1656"/>
      <c r="AO447" s="1657"/>
      <c r="AP447" s="1656"/>
      <c r="AQ447" s="1656"/>
      <c r="AR447" s="1616"/>
      <c r="AS447" s="1654"/>
      <c r="AT447" s="1655"/>
      <c r="AU447" s="1654"/>
      <c r="AV447" s="1654"/>
      <c r="AW447" s="1620"/>
      <c r="AX447" s="1656"/>
      <c r="AY447" s="1657"/>
      <c r="AZ447" s="1657"/>
      <c r="BA447" s="1658"/>
      <c r="BB447" s="1628"/>
      <c r="BC447" s="1628"/>
      <c r="BD447" s="1620"/>
      <c r="BE447" s="1628"/>
      <c r="BF447" s="1627"/>
      <c r="BG447" s="1628"/>
    </row>
    <row r="448" customHeight="1" spans="13:59">
      <c r="M448" s="1058"/>
      <c r="N448" s="1218"/>
      <c r="O448" s="1643"/>
      <c r="P448" s="1644"/>
      <c r="Q448" s="1645"/>
      <c r="R448" s="1645"/>
      <c r="S448" s="1646"/>
      <c r="T448" s="1644"/>
      <c r="U448" s="1644"/>
      <c r="V448" s="1647"/>
      <c r="W448" s="1648"/>
      <c r="X448" s="1058"/>
      <c r="Y448" s="1649"/>
      <c r="Z448" s="1650"/>
      <c r="AA448" s="1651"/>
      <c r="AB448" s="1644"/>
      <c r="AC448" s="1644"/>
      <c r="AD448" s="1652"/>
      <c r="AE448" s="1652"/>
      <c r="AF448" s="1653"/>
      <c r="AG448" s="1643"/>
      <c r="AH448" s="1628"/>
      <c r="AI448" s="1628"/>
      <c r="AJ448" s="1628"/>
      <c r="AK448" s="1654"/>
      <c r="AL448" s="1655"/>
      <c r="AM448" s="1654"/>
      <c r="AN448" s="1656"/>
      <c r="AO448" s="1657"/>
      <c r="AP448" s="1656"/>
      <c r="AQ448" s="1656"/>
      <c r="AR448" s="1616"/>
      <c r="AS448" s="1654"/>
      <c r="AT448" s="1655"/>
      <c r="AU448" s="1654"/>
      <c r="AV448" s="1654"/>
      <c r="AW448" s="1620"/>
      <c r="AX448" s="1656"/>
      <c r="AY448" s="1657"/>
      <c r="AZ448" s="1657"/>
      <c r="BA448" s="1658"/>
      <c r="BB448" s="1628"/>
      <c r="BC448" s="1628"/>
      <c r="BD448" s="1620"/>
      <c r="BE448" s="1628"/>
      <c r="BF448" s="1627"/>
      <c r="BG448" s="1628"/>
    </row>
    <row r="449" customHeight="1" spans="13:59">
      <c r="M449" s="1058"/>
      <c r="N449" s="1218"/>
      <c r="O449" s="1643"/>
      <c r="P449" s="1644"/>
      <c r="Q449" s="1645"/>
      <c r="R449" s="1645"/>
      <c r="S449" s="1646"/>
      <c r="T449" s="1644"/>
      <c r="U449" s="1644"/>
      <c r="V449" s="1647"/>
      <c r="W449" s="1648"/>
      <c r="X449" s="1058"/>
      <c r="Y449" s="1649"/>
      <c r="Z449" s="1650"/>
      <c r="AA449" s="1651"/>
      <c r="AB449" s="1644"/>
      <c r="AC449" s="1644"/>
      <c r="AD449" s="1652"/>
      <c r="AE449" s="1652"/>
      <c r="AF449" s="1653"/>
      <c r="AG449" s="1643"/>
      <c r="AH449" s="1628"/>
      <c r="AI449" s="1628"/>
      <c r="AJ449" s="1628"/>
      <c r="AK449" s="1654"/>
      <c r="AL449" s="1655"/>
      <c r="AM449" s="1654"/>
      <c r="AN449" s="1656"/>
      <c r="AO449" s="1657"/>
      <c r="AP449" s="1656"/>
      <c r="AQ449" s="1656"/>
      <c r="AR449" s="1616"/>
      <c r="AS449" s="1654"/>
      <c r="AT449" s="1655"/>
      <c r="AU449" s="1654"/>
      <c r="AV449" s="1654"/>
      <c r="AW449" s="1620"/>
      <c r="AX449" s="1656"/>
      <c r="AY449" s="1657"/>
      <c r="AZ449" s="1657"/>
      <c r="BA449" s="1658"/>
      <c r="BB449" s="1628"/>
      <c r="BC449" s="1628"/>
      <c r="BD449" s="1620"/>
      <c r="BE449" s="1628"/>
      <c r="BF449" s="1627"/>
      <c r="BG449" s="1628"/>
    </row>
    <row r="450" customHeight="1" spans="13:59">
      <c r="M450" s="1058"/>
      <c r="N450" s="1218"/>
      <c r="O450" s="1643"/>
      <c r="P450" s="1644"/>
      <c r="Q450" s="1645"/>
      <c r="R450" s="1645"/>
      <c r="S450" s="1646"/>
      <c r="T450" s="1644"/>
      <c r="U450" s="1644"/>
      <c r="V450" s="1647"/>
      <c r="W450" s="1648"/>
      <c r="X450" s="1058"/>
      <c r="Y450" s="1649"/>
      <c r="Z450" s="1650"/>
      <c r="AA450" s="1651"/>
      <c r="AB450" s="1644"/>
      <c r="AC450" s="1644"/>
      <c r="AD450" s="1652"/>
      <c r="AE450" s="1652"/>
      <c r="AF450" s="1653"/>
      <c r="AG450" s="1643"/>
      <c r="AH450" s="1628"/>
      <c r="AI450" s="1628"/>
      <c r="AJ450" s="1628"/>
      <c r="AK450" s="1654"/>
      <c r="AL450" s="1655"/>
      <c r="AM450" s="1654"/>
      <c r="AN450" s="1656"/>
      <c r="AO450" s="1657"/>
      <c r="AP450" s="1656"/>
      <c r="AQ450" s="1656"/>
      <c r="AR450" s="1616"/>
      <c r="AS450" s="1654"/>
      <c r="AT450" s="1655"/>
      <c r="AU450" s="1654"/>
      <c r="AV450" s="1654"/>
      <c r="AW450" s="1620"/>
      <c r="AX450" s="1656"/>
      <c r="AY450" s="1657"/>
      <c r="AZ450" s="1657"/>
      <c r="BA450" s="1658"/>
      <c r="BB450" s="1628"/>
      <c r="BC450" s="1628"/>
      <c r="BD450" s="1620"/>
      <c r="BE450" s="1628"/>
      <c r="BF450" s="1627"/>
      <c r="BG450" s="1628"/>
    </row>
    <row r="451" customHeight="1" spans="13:59">
      <c r="M451" s="1058"/>
      <c r="N451" s="1218"/>
      <c r="O451" s="1643"/>
      <c r="P451" s="1644"/>
      <c r="Q451" s="1645"/>
      <c r="R451" s="1645"/>
      <c r="S451" s="1646"/>
      <c r="T451" s="1644"/>
      <c r="U451" s="1644"/>
      <c r="V451" s="1647"/>
      <c r="W451" s="1648"/>
      <c r="X451" s="1058"/>
      <c r="Y451" s="1649"/>
      <c r="Z451" s="1650"/>
      <c r="AA451" s="1651"/>
      <c r="AB451" s="1644"/>
      <c r="AC451" s="1644"/>
      <c r="AD451" s="1652"/>
      <c r="AE451" s="1652"/>
      <c r="AF451" s="1653"/>
      <c r="AG451" s="1643"/>
      <c r="AH451" s="1628"/>
      <c r="AI451" s="1628"/>
      <c r="AJ451" s="1628"/>
      <c r="AK451" s="1654"/>
      <c r="AL451" s="1655"/>
      <c r="AM451" s="1654"/>
      <c r="AN451" s="1656"/>
      <c r="AO451" s="1657"/>
      <c r="AP451" s="1656"/>
      <c r="AQ451" s="1656"/>
      <c r="AR451" s="1616"/>
      <c r="AS451" s="1654"/>
      <c r="AT451" s="1655"/>
      <c r="AU451" s="1654"/>
      <c r="AV451" s="1654"/>
      <c r="AW451" s="1620"/>
      <c r="AX451" s="1656"/>
      <c r="AY451" s="1657"/>
      <c r="AZ451" s="1657"/>
      <c r="BA451" s="1658"/>
      <c r="BB451" s="1628"/>
      <c r="BC451" s="1628"/>
      <c r="BD451" s="1620"/>
      <c r="BE451" s="1628"/>
      <c r="BF451" s="1627"/>
      <c r="BG451" s="1628"/>
    </row>
    <row r="452" customHeight="1" spans="13:59">
      <c r="M452" s="1058"/>
      <c r="N452" s="1218"/>
      <c r="O452" s="1643"/>
      <c r="P452" s="1644"/>
      <c r="Q452" s="1645"/>
      <c r="R452" s="1645"/>
      <c r="S452" s="1646"/>
      <c r="T452" s="1644"/>
      <c r="U452" s="1644"/>
      <c r="V452" s="1647"/>
      <c r="W452" s="1648"/>
      <c r="X452" s="1058"/>
      <c r="Y452" s="1649"/>
      <c r="Z452" s="1650"/>
      <c r="AA452" s="1651"/>
      <c r="AB452" s="1644"/>
      <c r="AC452" s="1644"/>
      <c r="AD452" s="1652"/>
      <c r="AE452" s="1652"/>
      <c r="AF452" s="1653"/>
      <c r="AG452" s="1643"/>
      <c r="AH452" s="1628"/>
      <c r="AI452" s="1628"/>
      <c r="AJ452" s="1628"/>
      <c r="AK452" s="1654"/>
      <c r="AL452" s="1655"/>
      <c r="AM452" s="1654"/>
      <c r="AN452" s="1656"/>
      <c r="AO452" s="1657"/>
      <c r="AP452" s="1656"/>
      <c r="AQ452" s="1656"/>
      <c r="AR452" s="1616"/>
      <c r="AS452" s="1654"/>
      <c r="AT452" s="1655"/>
      <c r="AU452" s="1654"/>
      <c r="AV452" s="1654"/>
      <c r="AW452" s="1620"/>
      <c r="AX452" s="1656"/>
      <c r="AY452" s="1657"/>
      <c r="AZ452" s="1657"/>
      <c r="BA452" s="1658"/>
      <c r="BB452" s="1628"/>
      <c r="BC452" s="1628"/>
      <c r="BD452" s="1620"/>
      <c r="BE452" s="1628"/>
      <c r="BF452" s="1627"/>
      <c r="BG452" s="1628"/>
    </row>
    <row r="453" customHeight="1" spans="13:59">
      <c r="M453" s="1058"/>
      <c r="N453" s="1218"/>
      <c r="O453" s="1643"/>
      <c r="P453" s="1644"/>
      <c r="Q453" s="1645"/>
      <c r="R453" s="1645"/>
      <c r="S453" s="1646"/>
      <c r="T453" s="1644"/>
      <c r="U453" s="1644"/>
      <c r="V453" s="1647"/>
      <c r="W453" s="1648"/>
      <c r="X453" s="1058"/>
      <c r="Y453" s="1649"/>
      <c r="Z453" s="1650"/>
      <c r="AA453" s="1651"/>
      <c r="AB453" s="1644"/>
      <c r="AC453" s="1644"/>
      <c r="AD453" s="1652"/>
      <c r="AE453" s="1652"/>
      <c r="AF453" s="1653"/>
      <c r="AG453" s="1643"/>
      <c r="AH453" s="1628"/>
      <c r="AI453" s="1628"/>
      <c r="AJ453" s="1628"/>
      <c r="AK453" s="1654"/>
      <c r="AL453" s="1655"/>
      <c r="AM453" s="1654"/>
      <c r="AN453" s="1656"/>
      <c r="AO453" s="1657"/>
      <c r="AP453" s="1656"/>
      <c r="AQ453" s="1656"/>
      <c r="AR453" s="1616"/>
      <c r="AS453" s="1654"/>
      <c r="AT453" s="1655"/>
      <c r="AU453" s="1654"/>
      <c r="AV453" s="1654"/>
      <c r="AW453" s="1620"/>
      <c r="AX453" s="1656"/>
      <c r="AY453" s="1657"/>
      <c r="AZ453" s="1657"/>
      <c r="BA453" s="1658"/>
      <c r="BB453" s="1628"/>
      <c r="BC453" s="1628"/>
      <c r="BD453" s="1620"/>
      <c r="BE453" s="1628"/>
      <c r="BF453" s="1627"/>
      <c r="BG453" s="1628"/>
    </row>
    <row r="3351" customHeight="1" spans="12:12">
      <c r="L3351" s="1060" t="s">
        <v>1443</v>
      </c>
    </row>
  </sheetData>
  <sheetProtection selectLockedCells="1" autoFilter="0"/>
  <autoFilter xmlns:etc="http://www.wps.cn/officeDocument/2017/etCustomData" ref="A3:XFD337" etc:filterBottomFollowUsedRange="0">
    <extLst/>
  </autoFilter>
  <mergeCells count="247">
    <mergeCell ref="A2:B2"/>
    <mergeCell ref="AH2:AJ2"/>
    <mergeCell ref="BC2:BE2"/>
    <mergeCell ref="G6:G7"/>
    <mergeCell ref="G8:G9"/>
    <mergeCell ref="G10:G11"/>
    <mergeCell ref="G12:G13"/>
    <mergeCell ref="G14:G15"/>
    <mergeCell ref="G16:G17"/>
    <mergeCell ref="G18:G19"/>
    <mergeCell ref="G23:G24"/>
    <mergeCell ref="G25:G26"/>
    <mergeCell ref="G27:G28"/>
    <mergeCell ref="G29:G30"/>
    <mergeCell ref="G45:G46"/>
    <mergeCell ref="G53:G54"/>
    <mergeCell ref="G56:G57"/>
    <mergeCell ref="G58:G59"/>
    <mergeCell ref="G60:G61"/>
    <mergeCell ref="G64:G65"/>
    <mergeCell ref="G66:G67"/>
    <mergeCell ref="G68:G69"/>
    <mergeCell ref="G70:G71"/>
    <mergeCell ref="G72:G73"/>
    <mergeCell ref="G74:G75"/>
    <mergeCell ref="G76:G77"/>
    <mergeCell ref="P4:P5"/>
    <mergeCell ref="P6:P7"/>
    <mergeCell ref="P8:P9"/>
    <mergeCell ref="P10:P11"/>
    <mergeCell ref="P12:P13"/>
    <mergeCell ref="P14:P15"/>
    <mergeCell ref="P16:P17"/>
    <mergeCell ref="P18:P19"/>
    <mergeCell ref="P20:P22"/>
    <mergeCell ref="P23:P24"/>
    <mergeCell ref="P25:P26"/>
    <mergeCell ref="P27:P28"/>
    <mergeCell ref="P29:P30"/>
    <mergeCell ref="P34:P40"/>
    <mergeCell ref="P45:P46"/>
    <mergeCell ref="P53:P54"/>
    <mergeCell ref="P56:P57"/>
    <mergeCell ref="P58:P59"/>
    <mergeCell ref="P60:P61"/>
    <mergeCell ref="P64:P65"/>
    <mergeCell ref="P66:P67"/>
    <mergeCell ref="P68:P69"/>
    <mergeCell ref="P70:P71"/>
    <mergeCell ref="P72:P73"/>
    <mergeCell ref="P74:P75"/>
    <mergeCell ref="P76:P77"/>
    <mergeCell ref="R4:R5"/>
    <mergeCell ref="R6:R7"/>
    <mergeCell ref="R8:R9"/>
    <mergeCell ref="R10:R11"/>
    <mergeCell ref="R12:R13"/>
    <mergeCell ref="R14:R15"/>
    <mergeCell ref="R16:R17"/>
    <mergeCell ref="R18:R19"/>
    <mergeCell ref="R23:R24"/>
    <mergeCell ref="R25:R26"/>
    <mergeCell ref="R27:R28"/>
    <mergeCell ref="R29:R30"/>
    <mergeCell ref="R45:R46"/>
    <mergeCell ref="R53:R54"/>
    <mergeCell ref="R56:R57"/>
    <mergeCell ref="R60:R61"/>
    <mergeCell ref="R64:R65"/>
    <mergeCell ref="R66:R67"/>
    <mergeCell ref="R68:R69"/>
    <mergeCell ref="R70:R71"/>
    <mergeCell ref="R72:R73"/>
    <mergeCell ref="R74:R75"/>
    <mergeCell ref="R76:R77"/>
    <mergeCell ref="S4:S5"/>
    <mergeCell ref="S6:S7"/>
    <mergeCell ref="S8:S9"/>
    <mergeCell ref="S10:S11"/>
    <mergeCell ref="S12:S13"/>
    <mergeCell ref="S14:S15"/>
    <mergeCell ref="S16:S17"/>
    <mergeCell ref="S18:S19"/>
    <mergeCell ref="S23:S24"/>
    <mergeCell ref="S25:S26"/>
    <mergeCell ref="S27:S28"/>
    <mergeCell ref="S29:S30"/>
    <mergeCell ref="S45:S46"/>
    <mergeCell ref="S53:S54"/>
    <mergeCell ref="S56:S57"/>
    <mergeCell ref="S58:S59"/>
    <mergeCell ref="S60:S61"/>
    <mergeCell ref="S64:S65"/>
    <mergeCell ref="S66:S67"/>
    <mergeCell ref="S68:S69"/>
    <mergeCell ref="S70:S71"/>
    <mergeCell ref="S72:S73"/>
    <mergeCell ref="S74:S75"/>
    <mergeCell ref="S76:S77"/>
    <mergeCell ref="U4:U5"/>
    <mergeCell ref="U6:U7"/>
    <mergeCell ref="U8:U9"/>
    <mergeCell ref="U10:U11"/>
    <mergeCell ref="U12:U13"/>
    <mergeCell ref="U14:U15"/>
    <mergeCell ref="U16:U17"/>
    <mergeCell ref="U18:U19"/>
    <mergeCell ref="U23:U24"/>
    <mergeCell ref="U25:U26"/>
    <mergeCell ref="U27:U28"/>
    <mergeCell ref="U29:U30"/>
    <mergeCell ref="U45:U46"/>
    <mergeCell ref="U53:U54"/>
    <mergeCell ref="U56:U57"/>
    <mergeCell ref="U58:U59"/>
    <mergeCell ref="U60:U61"/>
    <mergeCell ref="U64:U65"/>
    <mergeCell ref="U66:U67"/>
    <mergeCell ref="U68:U69"/>
    <mergeCell ref="U70:U71"/>
    <mergeCell ref="U72:U73"/>
    <mergeCell ref="U74:U75"/>
    <mergeCell ref="U76:U77"/>
    <mergeCell ref="V4:V5"/>
    <mergeCell ref="V6:V7"/>
    <mergeCell ref="V8:V9"/>
    <mergeCell ref="V10:V11"/>
    <mergeCell ref="V12:V13"/>
    <mergeCell ref="V14:V15"/>
    <mergeCell ref="V16:V17"/>
    <mergeCell ref="V18:V19"/>
    <mergeCell ref="V23:V24"/>
    <mergeCell ref="V25:V26"/>
    <mergeCell ref="V27:V28"/>
    <mergeCell ref="V29:V30"/>
    <mergeCell ref="V45:V46"/>
    <mergeCell ref="V53:V54"/>
    <mergeCell ref="V56:V57"/>
    <mergeCell ref="V58:V59"/>
    <mergeCell ref="V60:V61"/>
    <mergeCell ref="V64:V65"/>
    <mergeCell ref="V66:V67"/>
    <mergeCell ref="V68:V69"/>
    <mergeCell ref="V70:V71"/>
    <mergeCell ref="V72:V73"/>
    <mergeCell ref="V74:V75"/>
    <mergeCell ref="V76:V77"/>
    <mergeCell ref="W4:W5"/>
    <mergeCell ref="W6:W7"/>
    <mergeCell ref="W8:W9"/>
    <mergeCell ref="W10:W11"/>
    <mergeCell ref="W12:W13"/>
    <mergeCell ref="W14:W15"/>
    <mergeCell ref="W16:W17"/>
    <mergeCell ref="W18:W19"/>
    <mergeCell ref="W23:W24"/>
    <mergeCell ref="W25:W26"/>
    <mergeCell ref="W27:W28"/>
    <mergeCell ref="W29:W30"/>
    <mergeCell ref="W45:W46"/>
    <mergeCell ref="W53:W54"/>
    <mergeCell ref="W56:W57"/>
    <mergeCell ref="W58:W59"/>
    <mergeCell ref="W60:W61"/>
    <mergeCell ref="W64:W65"/>
    <mergeCell ref="W66:W67"/>
    <mergeCell ref="W68:W69"/>
    <mergeCell ref="W70:W71"/>
    <mergeCell ref="W72:W73"/>
    <mergeCell ref="W74:W75"/>
    <mergeCell ref="W76:W77"/>
    <mergeCell ref="AC4:AC5"/>
    <mergeCell ref="AD4:AD5"/>
    <mergeCell ref="AD6:AD7"/>
    <mergeCell ref="AD8:AD9"/>
    <mergeCell ref="AD10:AD11"/>
    <mergeCell ref="AD12:AD13"/>
    <mergeCell ref="AD14:AD15"/>
    <mergeCell ref="AD16:AD17"/>
    <mergeCell ref="AD18:AD19"/>
    <mergeCell ref="AD23:AD24"/>
    <mergeCell ref="AD25:AD26"/>
    <mergeCell ref="AD27:AD28"/>
    <mergeCell ref="AD29:AD30"/>
    <mergeCell ref="AD45:AD46"/>
    <mergeCell ref="AD53:AD54"/>
    <mergeCell ref="AD56:AD57"/>
    <mergeCell ref="AD58:AD59"/>
    <mergeCell ref="AD60:AD61"/>
    <mergeCell ref="AD64:AD65"/>
    <mergeCell ref="AD66:AD67"/>
    <mergeCell ref="AD68:AD69"/>
    <mergeCell ref="AD70:AD71"/>
    <mergeCell ref="AD72:AD73"/>
    <mergeCell ref="AD74:AD75"/>
    <mergeCell ref="AD76:AD77"/>
    <mergeCell ref="AE4:AE5"/>
    <mergeCell ref="AE6:AE7"/>
    <mergeCell ref="AE8:AE9"/>
    <mergeCell ref="AE10:AE11"/>
    <mergeCell ref="AE12:AE13"/>
    <mergeCell ref="AE14:AE15"/>
    <mergeCell ref="AE16:AE17"/>
    <mergeCell ref="AE18:AE19"/>
    <mergeCell ref="AE23:AE24"/>
    <mergeCell ref="AE25:AE26"/>
    <mergeCell ref="AE27:AE28"/>
    <mergeCell ref="AE29:AE30"/>
    <mergeCell ref="AE45:AE46"/>
    <mergeCell ref="AE53:AE54"/>
    <mergeCell ref="AE56:AE57"/>
    <mergeCell ref="AE58:AE59"/>
    <mergeCell ref="AE60:AE61"/>
    <mergeCell ref="AE64:AE65"/>
    <mergeCell ref="AE66:AE67"/>
    <mergeCell ref="AE68:AE69"/>
    <mergeCell ref="AE70:AE71"/>
    <mergeCell ref="AE72:AE73"/>
    <mergeCell ref="AE74:AE75"/>
    <mergeCell ref="AE76:AE77"/>
    <mergeCell ref="AF4:AF5"/>
    <mergeCell ref="AF6:AF7"/>
    <mergeCell ref="AF8:AF9"/>
    <mergeCell ref="AF10:AF11"/>
    <mergeCell ref="AF12:AF13"/>
    <mergeCell ref="AF14:AF15"/>
    <mergeCell ref="AF16:AF17"/>
    <mergeCell ref="AF18:AF19"/>
    <mergeCell ref="AF23:AF24"/>
    <mergeCell ref="AF25:AF26"/>
    <mergeCell ref="AF27:AF28"/>
    <mergeCell ref="AF29:AF30"/>
    <mergeCell ref="AF45:AF46"/>
    <mergeCell ref="AF53:AF54"/>
    <mergeCell ref="AF56:AF57"/>
    <mergeCell ref="AF58:AF59"/>
    <mergeCell ref="AF60:AF61"/>
    <mergeCell ref="AF64:AF65"/>
    <mergeCell ref="AF66:AF67"/>
    <mergeCell ref="AF68:AF69"/>
    <mergeCell ref="AF70:AF71"/>
    <mergeCell ref="AF72:AF73"/>
    <mergeCell ref="AF74:AF75"/>
    <mergeCell ref="AF76:AF77"/>
    <mergeCell ref="AF104:AF108"/>
    <mergeCell ref="AF140:AF141"/>
    <mergeCell ref="AF292:AF301"/>
  </mergeCells>
  <conditionalFormatting sqref="V4">
    <cfRule type="containsText" dxfId="1" priority="902" operator="between" text="欠">
      <formula>NOT(ISERROR(SEARCH("欠",V4)))</formula>
    </cfRule>
    <cfRule type="containsText" dxfId="0" priority="903" operator="between" text="欠">
      <formula>NOT(ISERROR(SEARCH("欠",V4)))</formula>
    </cfRule>
  </conditionalFormatting>
  <conditionalFormatting sqref="S23">
    <cfRule type="containsText" dxfId="0" priority="759" operator="between" text="欠">
      <formula>NOT(ISERROR(SEARCH("欠",S23)))</formula>
    </cfRule>
  </conditionalFormatting>
  <conditionalFormatting sqref="U23">
    <cfRule type="containsText" dxfId="0" priority="756" operator="between" text="欠">
      <formula>NOT(ISERROR(SEARCH("欠",U23)))</formula>
    </cfRule>
  </conditionalFormatting>
  <conditionalFormatting sqref="S25">
    <cfRule type="containsText" dxfId="0" priority="755" operator="between" text="欠">
      <formula>NOT(ISERROR(SEARCH("欠",S25)))</formula>
    </cfRule>
  </conditionalFormatting>
  <conditionalFormatting sqref="U25">
    <cfRule type="containsText" dxfId="0" priority="752" operator="between" text="欠">
      <formula>NOT(ISERROR(SEARCH("欠",U25)))</formula>
    </cfRule>
  </conditionalFormatting>
  <conditionalFormatting sqref="S27">
    <cfRule type="containsText" dxfId="0" priority="751" operator="between" text="欠">
      <formula>NOT(ISERROR(SEARCH("欠",S27)))</formula>
    </cfRule>
  </conditionalFormatting>
  <conditionalFormatting sqref="U27">
    <cfRule type="containsText" dxfId="0" priority="748" operator="between" text="欠">
      <formula>NOT(ISERROR(SEARCH("欠",U27)))</formula>
    </cfRule>
  </conditionalFormatting>
  <conditionalFormatting sqref="S29">
    <cfRule type="containsText" dxfId="0" priority="747" operator="between" text="欠">
      <formula>NOT(ISERROR(SEARCH("欠",S29)))</formula>
    </cfRule>
  </conditionalFormatting>
  <conditionalFormatting sqref="U29">
    <cfRule type="containsText" dxfId="0" priority="744" operator="between" text="欠">
      <formula>NOT(ISERROR(SEARCH("欠",U29)))</formula>
    </cfRule>
  </conditionalFormatting>
  <conditionalFormatting sqref="T43">
    <cfRule type="containsText" dxfId="0" priority="870" operator="between" text="欠">
      <formula>NOT(ISERROR(SEARCH("欠",T43)))</formula>
    </cfRule>
  </conditionalFormatting>
  <conditionalFormatting sqref="S45">
    <cfRule type="containsText" dxfId="0" priority="720" operator="between" text="欠">
      <formula>NOT(ISERROR(SEARCH("欠",S45)))</formula>
    </cfRule>
  </conditionalFormatting>
  <conditionalFormatting sqref="U45">
    <cfRule type="containsText" dxfId="0" priority="689" operator="between" text="欠">
      <formula>NOT(ISERROR(SEARCH("欠",U45)))</formula>
    </cfRule>
  </conditionalFormatting>
  <conditionalFormatting sqref="V45">
    <cfRule type="containsText" dxfId="0" priority="708" operator="between" text="欠">
      <formula>NOT(ISERROR(SEARCH("欠",V45)))</formula>
    </cfRule>
  </conditionalFormatting>
  <conditionalFormatting sqref="U49">
    <cfRule type="containsText" dxfId="0" priority="631" operator="between" text="欠">
      <formula>NOT(ISERROR(SEARCH("欠",U49)))</formula>
    </cfRule>
  </conditionalFormatting>
  <conditionalFormatting sqref="U52">
    <cfRule type="containsText" dxfId="0" priority="665" operator="between" text="欠">
      <formula>NOT(ISERROR(SEARCH("欠",U52)))</formula>
    </cfRule>
  </conditionalFormatting>
  <conditionalFormatting sqref="S53">
    <cfRule type="containsText" dxfId="0" priority="722" operator="between" text="欠">
      <formula>NOT(ISERROR(SEARCH("欠",S53)))</formula>
    </cfRule>
  </conditionalFormatting>
  <conditionalFormatting sqref="V53">
    <cfRule type="containsText" dxfId="0" priority="710" operator="between" text="欠">
      <formula>NOT(ISERROR(SEARCH("欠",V53)))</formula>
    </cfRule>
  </conditionalFormatting>
  <conditionalFormatting sqref="S56">
    <cfRule type="containsText" dxfId="0" priority="724" operator="between" text="欠">
      <formula>NOT(ISERROR(SEARCH("欠",S56)))</formula>
    </cfRule>
  </conditionalFormatting>
  <conditionalFormatting sqref="V56">
    <cfRule type="containsText" dxfId="0" priority="712" operator="between" text="欠">
      <formula>NOT(ISERROR(SEARCH("欠",V56)))</formula>
    </cfRule>
  </conditionalFormatting>
  <conditionalFormatting sqref="S58">
    <cfRule type="containsText" dxfId="0" priority="723" operator="between" text="欠">
      <formula>NOT(ISERROR(SEARCH("欠",S58)))</formula>
    </cfRule>
  </conditionalFormatting>
  <conditionalFormatting sqref="V58">
    <cfRule type="containsText" dxfId="0" priority="711" operator="between" text="欠">
      <formula>NOT(ISERROR(SEARCH("欠",V58)))</formula>
    </cfRule>
  </conditionalFormatting>
  <conditionalFormatting sqref="S60">
    <cfRule type="containsText" dxfId="0" priority="721" operator="between" text="欠">
      <formula>NOT(ISERROR(SEARCH("欠",S60)))</formula>
    </cfRule>
  </conditionalFormatting>
  <conditionalFormatting sqref="V60">
    <cfRule type="containsText" dxfId="0" priority="709" operator="between" text="欠">
      <formula>NOT(ISERROR(SEARCH("欠",V60)))</formula>
    </cfRule>
  </conditionalFormatting>
  <conditionalFormatting sqref="S62">
    <cfRule type="containsText" dxfId="0" priority="852" operator="between" text="欠">
      <formula>NOT(ISERROR(SEARCH("欠",S62)))</formula>
    </cfRule>
  </conditionalFormatting>
  <conditionalFormatting sqref="S64">
    <cfRule type="containsText" dxfId="0" priority="719" operator="between" text="欠">
      <formula>NOT(ISERROR(SEARCH("欠",S64)))</formula>
    </cfRule>
  </conditionalFormatting>
  <conditionalFormatting sqref="V64">
    <cfRule type="containsText" dxfId="0" priority="707" operator="between" text="欠">
      <formula>NOT(ISERROR(SEARCH("欠",V64)))</formula>
    </cfRule>
  </conditionalFormatting>
  <conditionalFormatting sqref="S66">
    <cfRule type="containsText" dxfId="0" priority="718" operator="between" text="欠">
      <formula>NOT(ISERROR(SEARCH("欠",S66)))</formula>
    </cfRule>
  </conditionalFormatting>
  <conditionalFormatting sqref="V66">
    <cfRule type="containsText" dxfId="0" priority="706" operator="between" text="欠">
      <formula>NOT(ISERROR(SEARCH("欠",V66)))</formula>
    </cfRule>
  </conditionalFormatting>
  <conditionalFormatting sqref="S68">
    <cfRule type="containsText" dxfId="0" priority="717" operator="between" text="欠">
      <formula>NOT(ISERROR(SEARCH("欠",S68)))</formula>
    </cfRule>
  </conditionalFormatting>
  <conditionalFormatting sqref="V68">
    <cfRule type="containsText" dxfId="0" priority="705" operator="between" text="欠">
      <formula>NOT(ISERROR(SEARCH("欠",V68)))</formula>
    </cfRule>
  </conditionalFormatting>
  <conditionalFormatting sqref="S70">
    <cfRule type="containsText" dxfId="0" priority="716" operator="between" text="欠">
      <formula>NOT(ISERROR(SEARCH("欠",S70)))</formula>
    </cfRule>
  </conditionalFormatting>
  <conditionalFormatting sqref="V70">
    <cfRule type="containsText" dxfId="0" priority="704" operator="between" text="欠">
      <formula>NOT(ISERROR(SEARCH("欠",V70)))</formula>
    </cfRule>
  </conditionalFormatting>
  <conditionalFormatting sqref="S72">
    <cfRule type="containsText" dxfId="0" priority="715" operator="between" text="欠">
      <formula>NOT(ISERROR(SEARCH("欠",S72)))</formula>
    </cfRule>
  </conditionalFormatting>
  <conditionalFormatting sqref="V72">
    <cfRule type="containsText" dxfId="0" priority="703" operator="between" text="欠">
      <formula>NOT(ISERROR(SEARCH("欠",V72)))</formula>
    </cfRule>
  </conditionalFormatting>
  <conditionalFormatting sqref="S74">
    <cfRule type="containsText" dxfId="0" priority="714" operator="between" text="欠">
      <formula>NOT(ISERROR(SEARCH("欠",S74)))</formula>
    </cfRule>
  </conditionalFormatting>
  <conditionalFormatting sqref="V74">
    <cfRule type="containsText" dxfId="0" priority="702" operator="between" text="欠">
      <formula>NOT(ISERROR(SEARCH("欠",V74)))</formula>
    </cfRule>
  </conditionalFormatting>
  <conditionalFormatting sqref="S76">
    <cfRule type="containsText" dxfId="0" priority="713" operator="between" text="欠">
      <formula>NOT(ISERROR(SEARCH("欠",S76)))</formula>
    </cfRule>
  </conditionalFormatting>
  <conditionalFormatting sqref="V76">
    <cfRule type="containsText" dxfId="0" priority="701" operator="between" text="欠">
      <formula>NOT(ISERROR(SEARCH("欠",V76)))</formula>
    </cfRule>
  </conditionalFormatting>
  <conditionalFormatting sqref="U81">
    <cfRule type="containsText" dxfId="0" priority="662" operator="between" text="欠">
      <formula>NOT(ISERROR(SEARCH("欠",U81)))</formula>
    </cfRule>
  </conditionalFormatting>
  <conditionalFormatting sqref="S84">
    <cfRule type="containsText" dxfId="0" priority="618" operator="between" text="欠">
      <formula>NOT(ISERROR(SEARCH("欠",S84)))</formula>
    </cfRule>
  </conditionalFormatting>
  <conditionalFormatting sqref="U84">
    <cfRule type="containsText" dxfId="0" priority="617" operator="between" text="欠">
      <formula>NOT(ISERROR(SEARCH("欠",U84)))</formula>
    </cfRule>
  </conditionalFormatting>
  <conditionalFormatting sqref="S87">
    <cfRule type="containsText" dxfId="0" priority="608" operator="between" text="欠">
      <formula>NOT(ISERROR(SEARCH("欠",S87)))</formula>
    </cfRule>
  </conditionalFormatting>
  <conditionalFormatting sqref="U87">
    <cfRule type="containsText" dxfId="0" priority="607" operator="between" text="欠">
      <formula>NOT(ISERROR(SEARCH("欠",U87)))</formula>
    </cfRule>
  </conditionalFormatting>
  <conditionalFormatting sqref="V87">
    <cfRule type="containsText" dxfId="0" priority="609" operator="between" text="欠">
      <formula>NOT(ISERROR(SEARCH("欠",V87)))</formula>
    </cfRule>
  </conditionalFormatting>
  <conditionalFormatting sqref="S88">
    <cfRule type="containsText" dxfId="0" priority="614" operator="between" text="欠">
      <formula>NOT(ISERROR(SEARCH("欠",S88)))</formula>
    </cfRule>
  </conditionalFormatting>
  <conditionalFormatting sqref="U88">
    <cfRule type="containsText" dxfId="0" priority="610" operator="between" text="欠">
      <formula>NOT(ISERROR(SEARCH("欠",U88)))</formula>
    </cfRule>
  </conditionalFormatting>
  <conditionalFormatting sqref="V88">
    <cfRule type="containsText" dxfId="0" priority="615" operator="between" text="欠">
      <formula>NOT(ISERROR(SEARCH("欠",V88)))</formula>
    </cfRule>
  </conditionalFormatting>
  <conditionalFormatting sqref="S90">
    <cfRule type="containsText" dxfId="0" priority="385" operator="between" text="欠">
      <formula>NOT(ISERROR(SEARCH("欠",S90)))</formula>
    </cfRule>
  </conditionalFormatting>
  <conditionalFormatting sqref="U90">
    <cfRule type="containsText" dxfId="0" priority="381" operator="between" text="欠">
      <formula>NOT(ISERROR(SEARCH("欠",U90)))</formula>
    </cfRule>
  </conditionalFormatting>
  <conditionalFormatting sqref="V90">
    <cfRule type="containsText" dxfId="0" priority="386" operator="between" text="欠">
      <formula>NOT(ISERROR(SEARCH("欠",V90)))</formula>
    </cfRule>
  </conditionalFormatting>
  <conditionalFormatting sqref="T110">
    <cfRule type="containsText" dxfId="0" priority="380" operator="between" text="欠">
      <formula>NOT(ISERROR(SEARCH("欠",T110)))</formula>
    </cfRule>
  </conditionalFormatting>
  <conditionalFormatting sqref="T113">
    <cfRule type="containsText" dxfId="0" priority="387" operator="between" text="欠">
      <formula>NOT(ISERROR(SEARCH("欠",T113)))</formula>
    </cfRule>
  </conditionalFormatting>
  <conditionalFormatting sqref="T116">
    <cfRule type="containsText" dxfId="0" priority="453" operator="between" text="欠">
      <formula>NOT(ISERROR(SEARCH("欠",T116)))</formula>
    </cfRule>
  </conditionalFormatting>
  <conditionalFormatting sqref="T123">
    <cfRule type="containsText" dxfId="0" priority="426" operator="between" text="欠">
      <formula>NOT(ISERROR(SEARCH("欠",T123)))</formula>
    </cfRule>
  </conditionalFormatting>
  <conditionalFormatting sqref="V123">
    <cfRule type="containsText" dxfId="0" priority="432" operator="between" text="欠">
      <formula>NOT(ISERROR(SEARCH("欠",V123)))</formula>
    </cfRule>
  </conditionalFormatting>
  <conditionalFormatting sqref="P137">
    <cfRule type="containsText" dxfId="0" priority="346" operator="between" text="欠">
      <formula>NOT(ISERROR(SEARCH("欠",P137)))</formula>
    </cfRule>
  </conditionalFormatting>
  <conditionalFormatting sqref="S137">
    <cfRule type="containsText" dxfId="0" priority="352" operator="between" text="欠">
      <formula>NOT(ISERROR(SEARCH("欠",S137)))</formula>
    </cfRule>
  </conditionalFormatting>
  <conditionalFormatting sqref="T137">
    <cfRule type="containsText" dxfId="0" priority="350" operator="between" text="欠">
      <formula>NOT(ISERROR(SEARCH("欠",T137)))</formula>
    </cfRule>
  </conditionalFormatting>
  <conditionalFormatting sqref="U137">
    <cfRule type="containsText" dxfId="0" priority="348" operator="between" text="欠">
      <formula>NOT(ISERROR(SEARCH("欠",U137)))</formula>
    </cfRule>
  </conditionalFormatting>
  <conditionalFormatting sqref="V137">
    <cfRule type="containsText" dxfId="0" priority="354" operator="between" text="欠">
      <formula>NOT(ISERROR(SEARCH("欠",V137)))</formula>
    </cfRule>
  </conditionalFormatting>
  <conditionalFormatting sqref="U139">
    <cfRule type="containsText" dxfId="0" priority="294" operator="between" text="欠">
      <formula>NOT(ISERROR(SEARCH("欠",U139)))</formula>
    </cfRule>
  </conditionalFormatting>
  <conditionalFormatting sqref="S142">
    <cfRule type="containsText" dxfId="0" priority="336" operator="between" text="欠">
      <formula>NOT(ISERROR(SEARCH("欠",S142)))</formula>
    </cfRule>
  </conditionalFormatting>
  <conditionalFormatting sqref="U142">
    <cfRule type="containsText" dxfId="0" priority="295" operator="between" text="欠">
      <formula>NOT(ISERROR(SEARCH("欠",U142)))</formula>
    </cfRule>
  </conditionalFormatting>
  <conditionalFormatting sqref="V142">
    <cfRule type="containsText" dxfId="0" priority="340" operator="between" text="欠">
      <formula>NOT(ISERROR(SEARCH("欠",V142)))</formula>
    </cfRule>
  </conditionalFormatting>
  <conditionalFormatting sqref="S143">
    <cfRule type="containsText" dxfId="0" priority="357" operator="between" text="欠">
      <formula>NOT(ISERROR(SEARCH("欠",S143)))</formula>
    </cfRule>
  </conditionalFormatting>
  <conditionalFormatting sqref="U143">
    <cfRule type="containsText" dxfId="0" priority="356" operator="between" text="欠">
      <formula>NOT(ISERROR(SEARCH("欠",U143)))</formula>
    </cfRule>
  </conditionalFormatting>
  <conditionalFormatting sqref="V143">
    <cfRule type="containsText" dxfId="0" priority="358" operator="between" text="欠">
      <formula>NOT(ISERROR(SEARCH("欠",V143)))</formula>
    </cfRule>
  </conditionalFormatting>
  <conditionalFormatting sqref="S147">
    <cfRule type="containsText" dxfId="0" priority="399" operator="between" text="欠">
      <formula>NOT(ISERROR(SEARCH("欠",S147)))</formula>
    </cfRule>
  </conditionalFormatting>
  <conditionalFormatting sqref="U147">
    <cfRule type="containsText" dxfId="0" priority="395" operator="between" text="欠">
      <formula>NOT(ISERROR(SEARCH("欠",U147)))</formula>
    </cfRule>
  </conditionalFormatting>
  <conditionalFormatting sqref="V147">
    <cfRule type="containsText" dxfId="0" priority="413" operator="between" text="欠">
      <formula>NOT(ISERROR(SEARCH("欠",V147)))</formula>
    </cfRule>
  </conditionalFormatting>
  <conditionalFormatting sqref="T149">
    <cfRule type="containsText" dxfId="0" priority="279" operator="between" text="欠">
      <formula>NOT(ISERROR(SEARCH("欠",T149)))</formula>
    </cfRule>
  </conditionalFormatting>
  <conditionalFormatting sqref="T150">
    <cfRule type="containsText" dxfId="0" priority="278" operator="between" text="欠">
      <formula>NOT(ISERROR(SEARCH("欠",T150)))</formula>
    </cfRule>
  </conditionalFormatting>
  <conditionalFormatting sqref="T151">
    <cfRule type="containsText" dxfId="0" priority="277" operator="between" text="欠">
      <formula>NOT(ISERROR(SEARCH("欠",T151)))</formula>
    </cfRule>
  </conditionalFormatting>
  <conditionalFormatting sqref="T154">
    <cfRule type="containsText" dxfId="0" priority="300" operator="between" text="欠">
      <formula>NOT(ISERROR(SEARCH("欠",T154)))</formula>
    </cfRule>
  </conditionalFormatting>
  <conditionalFormatting sqref="U154">
    <cfRule type="containsText" dxfId="0" priority="305" operator="between" text="欠">
      <formula>NOT(ISERROR(SEARCH("欠",U154)))</formula>
    </cfRule>
  </conditionalFormatting>
  <conditionalFormatting sqref="V154">
    <cfRule type="containsText" dxfId="0" priority="315" operator="between" text="欠">
      <formula>NOT(ISERROR(SEARCH("欠",V154)))</formula>
    </cfRule>
  </conditionalFormatting>
  <conditionalFormatting sqref="T157">
    <cfRule type="containsText" dxfId="0" priority="256" operator="between" text="欠">
      <formula>NOT(ISERROR(SEARCH("欠",T157)))</formula>
    </cfRule>
  </conditionalFormatting>
  <conditionalFormatting sqref="T158">
    <cfRule type="containsText" dxfId="0" priority="255" operator="between" text="欠">
      <formula>NOT(ISERROR(SEARCH("欠",T158)))</formula>
    </cfRule>
  </conditionalFormatting>
  <conditionalFormatting sqref="T159">
    <cfRule type="containsText" dxfId="0" priority="254" operator="between" text="欠">
      <formula>NOT(ISERROR(SEARCH("欠",T159)))</formula>
    </cfRule>
  </conditionalFormatting>
  <conditionalFormatting sqref="T160">
    <cfRule type="containsText" dxfId="0" priority="253" operator="between" text="欠">
      <formula>NOT(ISERROR(SEARCH("欠",T160)))</formula>
    </cfRule>
  </conditionalFormatting>
  <conditionalFormatting sqref="T161">
    <cfRule type="containsText" dxfId="0" priority="252" operator="between" text="欠">
      <formula>NOT(ISERROR(SEARCH("欠",T161)))</formula>
    </cfRule>
  </conditionalFormatting>
  <conditionalFormatting sqref="T162">
    <cfRule type="containsText" dxfId="0" priority="224" operator="between" text="欠">
      <formula>NOT(ISERROR(SEARCH("欠",T162)))</formula>
    </cfRule>
  </conditionalFormatting>
  <conditionalFormatting sqref="T163">
    <cfRule type="containsText" dxfId="0" priority="223" operator="between" text="欠">
      <formula>NOT(ISERROR(SEARCH("欠",T163)))</formula>
    </cfRule>
  </conditionalFormatting>
  <conditionalFormatting sqref="T164">
    <cfRule type="containsText" dxfId="0" priority="222" operator="between" text="欠">
      <formula>NOT(ISERROR(SEARCH("欠",T164)))</formula>
    </cfRule>
  </conditionalFormatting>
  <conditionalFormatting sqref="T165">
    <cfRule type="containsText" dxfId="0" priority="221" operator="between" text="欠">
      <formula>NOT(ISERROR(SEARCH("欠",T165)))</formula>
    </cfRule>
  </conditionalFormatting>
  <conditionalFormatting sqref="T166">
    <cfRule type="containsText" dxfId="0" priority="220" operator="between" text="欠">
      <formula>NOT(ISERROR(SEARCH("欠",T166)))</formula>
    </cfRule>
  </conditionalFormatting>
  <conditionalFormatting sqref="T167">
    <cfRule type="containsText" dxfId="0" priority="219" operator="between" text="欠">
      <formula>NOT(ISERROR(SEARCH("欠",T167)))</formula>
    </cfRule>
  </conditionalFormatting>
  <conditionalFormatting sqref="T168">
    <cfRule type="containsText" dxfId="0" priority="218" operator="between" text="欠">
      <formula>NOT(ISERROR(SEARCH("欠",T168)))</formula>
    </cfRule>
  </conditionalFormatting>
  <conditionalFormatting sqref="T169">
    <cfRule type="containsText" dxfId="0" priority="217" operator="between" text="欠">
      <formula>NOT(ISERROR(SEARCH("欠",T169)))</formula>
    </cfRule>
  </conditionalFormatting>
  <conditionalFormatting sqref="T170">
    <cfRule type="containsText" dxfId="0" priority="216" operator="between" text="欠">
      <formula>NOT(ISERROR(SEARCH("欠",T170)))</formula>
    </cfRule>
  </conditionalFormatting>
  <conditionalFormatting sqref="T172">
    <cfRule type="containsText" dxfId="0" priority="203" operator="between" text="欠">
      <formula>NOT(ISERROR(SEARCH("欠",T172)))</formula>
    </cfRule>
  </conditionalFormatting>
  <conditionalFormatting sqref="T173">
    <cfRule type="containsText" dxfId="0" priority="202" operator="between" text="欠">
      <formula>NOT(ISERROR(SEARCH("欠",T173)))</formula>
    </cfRule>
  </conditionalFormatting>
  <conditionalFormatting sqref="T174">
    <cfRule type="containsText" dxfId="0" priority="201" operator="between" text="欠">
      <formula>NOT(ISERROR(SEARCH("欠",T174)))</formula>
    </cfRule>
  </conditionalFormatting>
  <conditionalFormatting sqref="T175">
    <cfRule type="containsText" dxfId="0" priority="200" operator="between" text="欠">
      <formula>NOT(ISERROR(SEARCH("欠",T175)))</formula>
    </cfRule>
  </conditionalFormatting>
  <conditionalFormatting sqref="T176">
    <cfRule type="containsText" dxfId="0" priority="297" operator="between" text="欠">
      <formula>NOT(ISERROR(SEARCH("欠",T176)))</formula>
    </cfRule>
  </conditionalFormatting>
  <conditionalFormatting sqref="V176">
    <cfRule type="containsText" dxfId="0" priority="312" operator="between" text="欠">
      <formula>NOT(ISERROR(SEARCH("欠",V176)))</formula>
    </cfRule>
  </conditionalFormatting>
  <conditionalFormatting sqref="T177">
    <cfRule type="containsText" dxfId="0" priority="296" operator="between" text="欠">
      <formula>NOT(ISERROR(SEARCH("欠",T177)))</formula>
    </cfRule>
  </conditionalFormatting>
  <conditionalFormatting sqref="V177">
    <cfRule type="containsText" dxfId="0" priority="311" operator="between" text="欠">
      <formula>NOT(ISERROR(SEARCH("欠",V177)))</formula>
    </cfRule>
  </conditionalFormatting>
  <conditionalFormatting sqref="S178">
    <cfRule type="containsText" dxfId="0" priority="274" operator="between" text="欠">
      <formula>NOT(ISERROR(SEARCH("欠",S178)))</formula>
    </cfRule>
  </conditionalFormatting>
  <conditionalFormatting sqref="T178">
    <cfRule type="containsText" dxfId="0" priority="272" operator="between" text="欠">
      <formula>NOT(ISERROR(SEARCH("欠",T178)))</formula>
    </cfRule>
  </conditionalFormatting>
  <conditionalFormatting sqref="V178">
    <cfRule type="containsText" dxfId="0" priority="275" operator="between" text="欠">
      <formula>NOT(ISERROR(SEARCH("欠",V178)))</formula>
    </cfRule>
  </conditionalFormatting>
  <conditionalFormatting sqref="S179">
    <cfRule type="containsText" dxfId="0" priority="177" operator="between" text="欠">
      <formula>NOT(ISERROR(SEARCH("欠",S179)))</formula>
    </cfRule>
  </conditionalFormatting>
  <conditionalFormatting sqref="T179">
    <cfRule type="containsText" dxfId="0" priority="176" operator="between" text="欠">
      <formula>NOT(ISERROR(SEARCH("欠",T179)))</formula>
    </cfRule>
  </conditionalFormatting>
  <conditionalFormatting sqref="U179">
    <cfRule type="containsText" dxfId="0" priority="160" operator="between" text="欠">
      <formula>NOT(ISERROR(SEARCH("欠",U179)))</formula>
    </cfRule>
  </conditionalFormatting>
  <conditionalFormatting sqref="V179">
    <cfRule type="containsText" dxfId="0" priority="189" operator="between" text="欠">
      <formula>NOT(ISERROR(SEARCH("欠",V179)))</formula>
    </cfRule>
  </conditionalFormatting>
  <conditionalFormatting sqref="T180">
    <cfRule type="containsText" dxfId="0" priority="195" operator="between" text="欠">
      <formula>NOT(ISERROR(SEARCH("欠",T180)))</formula>
    </cfRule>
  </conditionalFormatting>
  <conditionalFormatting sqref="T182">
    <cfRule type="containsText" dxfId="0" priority="298" operator="between" text="欠">
      <formula>NOT(ISERROR(SEARCH("欠",T182)))</formula>
    </cfRule>
  </conditionalFormatting>
  <conditionalFormatting sqref="V182">
    <cfRule type="containsText" dxfId="0" priority="313" operator="between" text="欠">
      <formula>NOT(ISERROR(SEARCH("欠",V182)))</formula>
    </cfRule>
  </conditionalFormatting>
  <conditionalFormatting sqref="S190">
    <cfRule type="containsText" dxfId="0" priority="173" operator="between" text="欠">
      <formula>NOT(ISERROR(SEARCH("欠",S190)))</formula>
    </cfRule>
  </conditionalFormatting>
  <conditionalFormatting sqref="T190">
    <cfRule type="containsText" dxfId="0" priority="174" operator="between" text="欠">
      <formula>NOT(ISERROR(SEARCH("欠",T190)))</formula>
    </cfRule>
  </conditionalFormatting>
  <conditionalFormatting sqref="U190">
    <cfRule type="containsText" dxfId="0" priority="95" operator="between" text="欠">
      <formula>NOT(ISERROR(SEARCH("欠",U190)))</formula>
    </cfRule>
  </conditionalFormatting>
  <conditionalFormatting sqref="V190">
    <cfRule type="containsText" dxfId="0" priority="184" operator="between" text="欠">
      <formula>NOT(ISERROR(SEARCH("欠",V190)))</formula>
    </cfRule>
  </conditionalFormatting>
  <conditionalFormatting sqref="S191">
    <cfRule type="containsText" dxfId="0" priority="161" operator="between" text="欠">
      <formula>NOT(ISERROR(SEARCH("欠",S191)))</formula>
    </cfRule>
  </conditionalFormatting>
  <conditionalFormatting sqref="T191">
    <cfRule type="containsText" dxfId="0" priority="162" operator="between" text="欠">
      <formula>NOT(ISERROR(SEARCH("欠",T191)))</formula>
    </cfRule>
  </conditionalFormatting>
  <conditionalFormatting sqref="U191">
    <cfRule type="containsText" dxfId="0" priority="163" operator="between" text="欠">
      <formula>NOT(ISERROR(SEARCH("欠",U191)))</formula>
    </cfRule>
  </conditionalFormatting>
  <conditionalFormatting sqref="V191">
    <cfRule type="containsText" dxfId="0" priority="164" operator="between" text="欠">
      <formula>NOT(ISERROR(SEARCH("欠",V191)))</formula>
    </cfRule>
  </conditionalFormatting>
  <conditionalFormatting sqref="T192">
    <cfRule type="containsText" dxfId="0" priority="167" operator="between" text="欠">
      <formula>NOT(ISERROR(SEARCH("欠",T192)))</formula>
    </cfRule>
  </conditionalFormatting>
  <conditionalFormatting sqref="U192">
    <cfRule type="containsText" dxfId="0" priority="165" operator="between" text="欠">
      <formula>NOT(ISERROR(SEARCH("欠",U192)))</formula>
    </cfRule>
  </conditionalFormatting>
  <conditionalFormatting sqref="T199">
    <cfRule type="containsText" dxfId="0" priority="156" operator="between" text="欠">
      <formula>NOT(ISERROR(SEARCH("欠",T199)))</formula>
    </cfRule>
  </conditionalFormatting>
  <conditionalFormatting sqref="S200">
    <cfRule type="containsText" dxfId="0" priority="140" operator="between" text="欠">
      <formula>NOT(ISERROR(SEARCH("欠",S200)))</formula>
    </cfRule>
  </conditionalFormatting>
  <conditionalFormatting sqref="T200">
    <cfRule type="containsText" dxfId="0" priority="141" operator="between" text="欠">
      <formula>NOT(ISERROR(SEARCH("欠",T200)))</formula>
    </cfRule>
  </conditionalFormatting>
  <conditionalFormatting sqref="U200">
    <cfRule type="containsText" dxfId="0" priority="139" operator="between" text="欠">
      <formula>NOT(ISERROR(SEARCH("欠",U200)))</formula>
    </cfRule>
  </conditionalFormatting>
  <conditionalFormatting sqref="T202">
    <cfRule type="containsText" dxfId="0" priority="135" operator="between" text="欠">
      <formula>NOT(ISERROR(SEARCH("欠",T202)))</formula>
    </cfRule>
  </conditionalFormatting>
  <conditionalFormatting sqref="T203">
    <cfRule type="containsText" dxfId="0" priority="134" operator="between" text="欠">
      <formula>NOT(ISERROR(SEARCH("欠",T203)))</formula>
    </cfRule>
  </conditionalFormatting>
  <conditionalFormatting sqref="T204">
    <cfRule type="containsText" dxfId="0" priority="133" operator="between" text="欠">
      <formula>NOT(ISERROR(SEARCH("欠",T204)))</formula>
    </cfRule>
  </conditionalFormatting>
  <conditionalFormatting sqref="T205">
    <cfRule type="containsText" dxfId="0" priority="132" operator="between" text="欠">
      <formula>NOT(ISERROR(SEARCH("欠",T205)))</formula>
    </cfRule>
  </conditionalFormatting>
  <conditionalFormatting sqref="T206">
    <cfRule type="containsText" dxfId="0" priority="131" operator="between" text="欠">
      <formula>NOT(ISERROR(SEARCH("欠",T206)))</formula>
    </cfRule>
  </conditionalFormatting>
  <conditionalFormatting sqref="T207">
    <cfRule type="containsText" dxfId="0" priority="130" operator="between" text="欠">
      <formula>NOT(ISERROR(SEARCH("欠",T207)))</formula>
    </cfRule>
  </conditionalFormatting>
  <conditionalFormatting sqref="T208">
    <cfRule type="containsText" dxfId="0" priority="129" operator="between" text="欠">
      <formula>NOT(ISERROR(SEARCH("欠",T208)))</formula>
    </cfRule>
  </conditionalFormatting>
  <conditionalFormatting sqref="T209">
    <cfRule type="containsText" dxfId="0" priority="128" operator="between" text="欠">
      <formula>NOT(ISERROR(SEARCH("欠",T209)))</formula>
    </cfRule>
  </conditionalFormatting>
  <conditionalFormatting sqref="T210">
    <cfRule type="containsText" dxfId="0" priority="127" operator="between" text="欠">
      <formula>NOT(ISERROR(SEARCH("欠",T210)))</formula>
    </cfRule>
  </conditionalFormatting>
  <conditionalFormatting sqref="T211">
    <cfRule type="containsText" dxfId="0" priority="126" operator="between" text="欠">
      <formula>NOT(ISERROR(SEARCH("欠",T211)))</formula>
    </cfRule>
  </conditionalFormatting>
  <conditionalFormatting sqref="U220">
    <cfRule type="containsText" dxfId="0" priority="151" operator="between" text="欠">
      <formula>NOT(ISERROR(SEARCH("欠",U220)))</formula>
    </cfRule>
  </conditionalFormatting>
  <conditionalFormatting sqref="T221">
    <cfRule type="containsText" dxfId="0" priority="103" operator="between" text="欠">
      <formula>NOT(ISERROR(SEARCH("欠",T221)))</formula>
    </cfRule>
  </conditionalFormatting>
  <conditionalFormatting sqref="T223">
    <cfRule type="containsText" dxfId="0" priority="100" operator="between" text="欠">
      <formula>NOT(ISERROR(SEARCH("欠",T223)))</formula>
    </cfRule>
  </conditionalFormatting>
  <conditionalFormatting sqref="S226">
    <cfRule type="containsText" dxfId="0" priority="91" operator="between" text="欠">
      <formula>NOT(ISERROR(SEARCH("欠",S226)))</formula>
    </cfRule>
  </conditionalFormatting>
  <conditionalFormatting sqref="T226">
    <cfRule type="containsText" dxfId="0" priority="97" operator="between" text="欠">
      <formula>NOT(ISERROR(SEARCH("欠",T226)))</formula>
    </cfRule>
  </conditionalFormatting>
  <conditionalFormatting sqref="U226">
    <cfRule type="containsText" dxfId="0" priority="85" operator="between" text="欠">
      <formula>NOT(ISERROR(SEARCH("欠",U226)))</formula>
    </cfRule>
  </conditionalFormatting>
  <conditionalFormatting sqref="S228">
    <cfRule type="containsText" dxfId="0" priority="92" operator="between" text="欠">
      <formula>NOT(ISERROR(SEARCH("欠",S228)))</formula>
    </cfRule>
  </conditionalFormatting>
  <conditionalFormatting sqref="T228">
    <cfRule type="containsText" dxfId="0" priority="147" operator="between" text="欠">
      <formula>NOT(ISERROR(SEARCH("欠",T228)))</formula>
    </cfRule>
  </conditionalFormatting>
  <conditionalFormatting sqref="U228">
    <cfRule type="containsText" dxfId="0" priority="93" operator="between" text="欠">
      <formula>NOT(ISERROR(SEARCH("欠",U228)))</formula>
    </cfRule>
  </conditionalFormatting>
  <conditionalFormatting sqref="U229">
    <cfRule type="containsText" dxfId="0" priority="98" operator="between" text="欠">
      <formula>NOT(ISERROR(SEARCH("欠",U229)))</formula>
    </cfRule>
  </conditionalFormatting>
  <conditionalFormatting sqref="S246">
    <cfRule type="containsText" dxfId="0" priority="86" operator="between" text="欠">
      <formula>NOT(ISERROR(SEARCH("欠",S246)))</formula>
    </cfRule>
  </conditionalFormatting>
  <conditionalFormatting sqref="T246">
    <cfRule type="containsText" dxfId="0" priority="88" operator="between" text="欠">
      <formula>NOT(ISERROR(SEARCH("欠",T246)))</formula>
    </cfRule>
  </conditionalFormatting>
  <conditionalFormatting sqref="U246">
    <cfRule type="containsText" dxfId="0" priority="87" operator="between" text="欠">
      <formula>NOT(ISERROR(SEARCH("欠",U246)))</formula>
    </cfRule>
  </conditionalFormatting>
  <conditionalFormatting sqref="U253">
    <cfRule type="containsText" dxfId="0" priority="78" operator="between" text="欠">
      <formula>NOT(ISERROR(SEARCH("欠",U253)))</formula>
    </cfRule>
  </conditionalFormatting>
  <conditionalFormatting sqref="T258">
    <cfRule type="containsText" dxfId="0" priority="84" operator="between" text="欠">
      <formula>NOT(ISERROR(SEARCH("欠",T258)))</formula>
    </cfRule>
  </conditionalFormatting>
  <conditionalFormatting sqref="T267">
    <cfRule type="containsText" dxfId="0" priority="65" operator="between" text="欠">
      <formula>NOT(ISERROR(SEARCH("欠",T267)))</formula>
    </cfRule>
  </conditionalFormatting>
  <conditionalFormatting sqref="U267">
    <cfRule type="containsText" dxfId="0" priority="64" operator="between" text="欠">
      <formula>NOT(ISERROR(SEARCH("欠",U267)))</formula>
    </cfRule>
  </conditionalFormatting>
  <conditionalFormatting sqref="T272">
    <cfRule type="containsText" dxfId="0" priority="74" operator="between" text="欠">
      <formula>NOT(ISERROR(SEARCH("欠",T272)))</formula>
    </cfRule>
  </conditionalFormatting>
  <conditionalFormatting sqref="T282">
    <cfRule type="containsText" dxfId="0" priority="59" operator="between" text="欠">
      <formula>NOT(ISERROR(SEARCH("欠",T282)))</formula>
    </cfRule>
  </conditionalFormatting>
  <conditionalFormatting sqref="T290">
    <cfRule type="containsText" dxfId="0" priority="46" operator="between" text="欠">
      <formula>NOT(ISERROR(SEARCH("欠",T290)))</formula>
    </cfRule>
  </conditionalFormatting>
  <conditionalFormatting sqref="U310">
    <cfRule type="containsText" dxfId="0" priority="36" operator="between" text="欠">
      <formula>NOT(ISERROR(SEARCH("欠",U310)))</formula>
    </cfRule>
  </conditionalFormatting>
  <conditionalFormatting sqref="S315">
    <cfRule type="containsText" dxfId="0" priority="19" operator="between" text="欠">
      <formula>NOT(ISERROR(SEARCH("欠",S315)))</formula>
    </cfRule>
  </conditionalFormatting>
  <conditionalFormatting sqref="T315">
    <cfRule type="containsText" dxfId="0" priority="18" operator="between" text="欠">
      <formula>NOT(ISERROR(SEARCH("欠",T315)))</formula>
    </cfRule>
  </conditionalFormatting>
  <conditionalFormatting sqref="U315">
    <cfRule type="containsText" dxfId="0" priority="17" operator="between" text="欠">
      <formula>NOT(ISERROR(SEARCH("欠",U315)))</formula>
    </cfRule>
  </conditionalFormatting>
  <conditionalFormatting sqref="T317">
    <cfRule type="containsText" dxfId="0" priority="37" operator="between" text="欠">
      <formula>NOT(ISERROR(SEARCH("欠",T317)))</formula>
    </cfRule>
  </conditionalFormatting>
  <conditionalFormatting sqref="T322">
    <cfRule type="containsText" dxfId="0" priority="31" operator="between" text="欠">
      <formula>NOT(ISERROR(SEARCH("欠",T322)))</formula>
    </cfRule>
  </conditionalFormatting>
  <conditionalFormatting sqref="T323">
    <cfRule type="containsText" dxfId="0" priority="28" operator="between" text="欠">
      <formula>NOT(ISERROR(SEARCH("欠",T323)))</formula>
    </cfRule>
  </conditionalFormatting>
  <conditionalFormatting sqref="T324">
    <cfRule type="containsText" dxfId="0" priority="25" operator="between" text="欠">
      <formula>NOT(ISERROR(SEARCH("欠",T324)))</formula>
    </cfRule>
  </conditionalFormatting>
  <conditionalFormatting sqref="T325">
    <cfRule type="containsText" dxfId="0" priority="22" operator="between" text="欠">
      <formula>NOT(ISERROR(SEARCH("欠",T325)))</formula>
    </cfRule>
  </conditionalFormatting>
  <conditionalFormatting sqref="S326">
    <cfRule type="containsText" dxfId="0" priority="3" operator="between" text="欠">
      <formula>NOT(ISERROR(SEARCH("欠",S326)))</formula>
    </cfRule>
  </conditionalFormatting>
  <conditionalFormatting sqref="T326">
    <cfRule type="containsText" dxfId="0" priority="4" operator="between" text="欠">
      <formula>NOT(ISERROR(SEARCH("欠",T326)))</formula>
    </cfRule>
  </conditionalFormatting>
  <conditionalFormatting sqref="U326">
    <cfRule type="containsText" dxfId="0" priority="2" operator="between" text="欠">
      <formula>NOT(ISERROR(SEARCH("欠",U326)))</formula>
    </cfRule>
  </conditionalFormatting>
  <conditionalFormatting sqref="S327">
    <cfRule type="containsText" dxfId="0" priority="41" operator="between" text="欠">
      <formula>NOT(ISERROR(SEARCH("欠",S327)))</formula>
    </cfRule>
  </conditionalFormatting>
  <conditionalFormatting sqref="U327">
    <cfRule type="containsText" dxfId="0" priority="40" operator="between" text="欠">
      <formula>NOT(ISERROR(SEARCH("欠",U327)))</formula>
    </cfRule>
  </conditionalFormatting>
  <conditionalFormatting sqref="T328">
    <cfRule type="containsText" dxfId="0" priority="7" operator="between" text="欠">
      <formula>NOT(ISERROR(SEARCH("欠",T328)))</formula>
    </cfRule>
  </conditionalFormatting>
  <conditionalFormatting sqref="U328">
    <cfRule type="containsText" dxfId="0" priority="13" operator="between" text="欠">
      <formula>NOT(ISERROR(SEARCH("欠",U328)))</formula>
    </cfRule>
  </conditionalFormatting>
  <conditionalFormatting sqref="T329">
    <cfRule type="containsText" dxfId="0" priority="6" operator="between" text="欠">
      <formula>NOT(ISERROR(SEARCH("欠",T329)))</formula>
    </cfRule>
  </conditionalFormatting>
  <conditionalFormatting sqref="U329">
    <cfRule type="containsText" dxfId="0" priority="12" operator="between" text="欠">
      <formula>NOT(ISERROR(SEARCH("欠",U329)))</formula>
    </cfRule>
  </conditionalFormatting>
  <conditionalFormatting sqref="T330">
    <cfRule type="containsText" dxfId="0" priority="5" operator="between" text="欠">
      <formula>NOT(ISERROR(SEARCH("欠",T330)))</formula>
    </cfRule>
  </conditionalFormatting>
  <conditionalFormatting sqref="U330">
    <cfRule type="containsText" dxfId="0" priority="1" operator="between" text="欠">
      <formula>NOT(ISERROR(SEARCH("欠",U330)))</formula>
    </cfRule>
  </conditionalFormatting>
  <conditionalFormatting sqref="S334">
    <cfRule type="containsText" dxfId="0" priority="807" operator="between" text="欠">
      <formula>NOT(ISERROR(SEARCH("欠",S334)))</formula>
    </cfRule>
  </conditionalFormatting>
  <conditionalFormatting sqref="U334">
    <cfRule type="containsText" dxfId="0" priority="801" operator="between" text="欠">
      <formula>NOT(ISERROR(SEARCH("欠",U334)))</formula>
    </cfRule>
  </conditionalFormatting>
  <conditionalFormatting sqref="V334">
    <cfRule type="containsText" dxfId="0" priority="810" operator="between" text="欠">
      <formula>NOT(ISERROR(SEARCH("欠",V334)))</formula>
    </cfRule>
    <cfRule type="containsText" dxfId="1" priority="813" operator="between" text="欠">
      <formula>NOT(ISERROR(SEARCH("欠",V334)))</formula>
    </cfRule>
  </conditionalFormatting>
  <conditionalFormatting sqref="S335">
    <cfRule type="containsText" dxfId="0" priority="806" operator="between" text="欠">
      <formula>NOT(ISERROR(SEARCH("欠",S335)))</formula>
    </cfRule>
  </conditionalFormatting>
  <conditionalFormatting sqref="U335">
    <cfRule type="containsText" dxfId="0" priority="800" operator="between" text="欠">
      <formula>NOT(ISERROR(SEARCH("欠",U335)))</formula>
    </cfRule>
  </conditionalFormatting>
  <conditionalFormatting sqref="V335">
    <cfRule type="containsText" dxfId="0" priority="809" operator="between" text="欠">
      <formula>NOT(ISERROR(SEARCH("欠",V335)))</formula>
    </cfRule>
    <cfRule type="containsText" dxfId="1" priority="812" operator="between" text="欠">
      <formula>NOT(ISERROR(SEARCH("欠",V335)))</formula>
    </cfRule>
  </conditionalFormatting>
  <conditionalFormatting sqref="P127:P136">
    <cfRule type="containsText" dxfId="0" priority="359" operator="between" text="欠">
      <formula>NOT(ISERROR(SEARCH("欠",P127)))</formula>
    </cfRule>
  </conditionalFormatting>
  <conditionalFormatting sqref="S93:S96">
    <cfRule type="containsText" dxfId="0" priority="587" operator="between" text="欠">
      <formula>NOT(ISERROR(SEARCH("欠",S93)))</formula>
    </cfRule>
  </conditionalFormatting>
  <conditionalFormatting sqref="S104:S108">
    <cfRule type="containsText" dxfId="0" priority="557" operator="between" text="欠">
      <formula>NOT(ISERROR(SEARCH("欠",S104)))</formula>
    </cfRule>
  </conditionalFormatting>
  <conditionalFormatting sqref="S109:S110">
    <cfRule type="containsText" dxfId="0" priority="511" operator="between" text="欠">
      <formula>NOT(ISERROR(SEARCH("欠",S109)))</formula>
    </cfRule>
  </conditionalFormatting>
  <conditionalFormatting sqref="S117:S118">
    <cfRule type="containsText" dxfId="0" priority="365" operator="between" text="欠">
      <formula>NOT(ISERROR(SEARCH("欠",S117)))</formula>
    </cfRule>
  </conditionalFormatting>
  <conditionalFormatting sqref="S144:S146">
    <cfRule type="containsText" dxfId="0" priority="343" operator="between" text="欠">
      <formula>NOT(ISERROR(SEARCH("欠",S144)))</formula>
    </cfRule>
  </conditionalFormatting>
  <conditionalFormatting sqref="S149:S153">
    <cfRule type="containsText" dxfId="0" priority="287" operator="between" text="欠">
      <formula>NOT(ISERROR(SEARCH("欠",S149)))</formula>
    </cfRule>
  </conditionalFormatting>
  <conditionalFormatting sqref="S157:S170">
    <cfRule type="containsText" dxfId="0" priority="242" operator="between" text="欠">
      <formula>NOT(ISERROR(SEARCH("欠",S157)))</formula>
    </cfRule>
  </conditionalFormatting>
  <conditionalFormatting sqref="S172:S175">
    <cfRule type="containsText" dxfId="0" priority="211" operator="between" text="欠">
      <formula>NOT(ISERROR(SEARCH("欠",S172)))</formula>
    </cfRule>
  </conditionalFormatting>
  <conditionalFormatting sqref="S187:S189">
    <cfRule type="containsText" dxfId="0" priority="168" operator="between" text="欠">
      <formula>NOT(ISERROR(SEARCH("欠",S187)))</formula>
    </cfRule>
  </conditionalFormatting>
  <conditionalFormatting sqref="S192:S193">
    <cfRule type="containsText" dxfId="0" priority="166" operator="between" text="欠">
      <formula>NOT(ISERROR(SEARCH("欠",S192)))</formula>
    </cfRule>
  </conditionalFormatting>
  <conditionalFormatting sqref="S202:S211">
    <cfRule type="containsText" dxfId="0" priority="125" operator="between" text="欠">
      <formula>NOT(ISERROR(SEARCH("欠",S202)))</formula>
    </cfRule>
  </conditionalFormatting>
  <conditionalFormatting sqref="S290:S291">
    <cfRule type="containsText" dxfId="0" priority="47" operator="between" text="欠">
      <formula>NOT(ISERROR(SEARCH("欠",S290)))</formula>
    </cfRule>
  </conditionalFormatting>
  <conditionalFormatting sqref="S318:S319">
    <cfRule type="containsText" dxfId="0" priority="15" operator="between" text="欠">
      <formula>NOT(ISERROR(SEARCH("欠",S318)))</formula>
    </cfRule>
  </conditionalFormatting>
  <conditionalFormatting sqref="S320:S325">
    <cfRule type="containsText" dxfId="0" priority="32" operator="between" text="欠">
      <formula>NOT(ISERROR(SEARCH("欠",S320)))</formula>
    </cfRule>
  </conditionalFormatting>
  <conditionalFormatting sqref="S328:S330">
    <cfRule type="containsText" dxfId="0" priority="10" operator="between" text="欠">
      <formula>NOT(ISERROR(SEARCH("欠",S328)))</formula>
    </cfRule>
  </conditionalFormatting>
  <conditionalFormatting sqref="T97:T101">
    <cfRule type="containsText" dxfId="0" priority="588" operator="between" text="欠">
      <formula>NOT(ISERROR(SEARCH("欠",T97)))</formula>
    </cfRule>
  </conditionalFormatting>
  <conditionalFormatting sqref="T102:T103">
    <cfRule type="containsText" dxfId="0" priority="503" operator="between" text="欠">
      <formula>NOT(ISERROR(SEARCH("欠",T102)))</formula>
    </cfRule>
  </conditionalFormatting>
  <conditionalFormatting sqref="T104:T108">
    <cfRule type="containsText" dxfId="0" priority="517" operator="between" text="欠">
      <formula>NOT(ISERROR(SEARCH("欠",T104)))</formula>
    </cfRule>
  </conditionalFormatting>
  <conditionalFormatting sqref="T144:T146">
    <cfRule type="containsText" dxfId="0" priority="341" operator="between" text="欠">
      <formula>NOT(ISERROR(SEARCH("欠",T144)))</formula>
    </cfRule>
  </conditionalFormatting>
  <conditionalFormatting sqref="T152:T153">
    <cfRule type="containsText" dxfId="0" priority="276" operator="between" text="欠">
      <formula>NOT(ISERROR(SEARCH("欠",T152)))</formula>
    </cfRule>
  </conditionalFormatting>
  <conditionalFormatting sqref="T188:T189">
    <cfRule type="containsText" dxfId="0" priority="178" operator="between" text="欠">
      <formula>NOT(ISERROR(SEARCH("欠",T188)))</formula>
    </cfRule>
  </conditionalFormatting>
  <conditionalFormatting sqref="T273:T276">
    <cfRule type="containsText" dxfId="0" priority="73" operator="between" text="欠">
      <formula>NOT(ISERROR(SEARCH("欠",T273)))</formula>
    </cfRule>
  </conditionalFormatting>
  <conditionalFormatting sqref="T318:T319">
    <cfRule type="containsText" dxfId="0" priority="14" operator="between" text="欠">
      <formula>NOT(ISERROR(SEARCH("欠",T318)))</formula>
    </cfRule>
  </conditionalFormatting>
  <conditionalFormatting sqref="T320:T321">
    <cfRule type="containsText" dxfId="0" priority="34" operator="between" text="欠">
      <formula>NOT(ISERROR(SEARCH("欠",T320)))</formula>
    </cfRule>
  </conditionalFormatting>
  <conditionalFormatting sqref="U82:U83">
    <cfRule type="containsText" dxfId="0" priority="619" operator="between" text="欠">
      <formula>NOT(ISERROR(SEARCH("欠",U82)))</formula>
    </cfRule>
  </conditionalFormatting>
  <conditionalFormatting sqref="U93:U96">
    <cfRule type="containsText" dxfId="0" priority="583" operator="between" text="欠">
      <formula>NOT(ISERROR(SEARCH("欠",U93)))</formula>
    </cfRule>
  </conditionalFormatting>
  <conditionalFormatting sqref="U97:U100">
    <cfRule type="containsText" dxfId="0" priority="598" operator="between" text="欠">
      <formula>NOT(ISERROR(SEARCH("欠",U97)))</formula>
    </cfRule>
  </conditionalFormatting>
  <conditionalFormatting sqref="U104:U108">
    <cfRule type="containsText" dxfId="0" priority="537" operator="between" text="欠">
      <formula>NOT(ISERROR(SEARCH("欠",U104)))</formula>
    </cfRule>
  </conditionalFormatting>
  <conditionalFormatting sqref="U119:U120">
    <cfRule type="containsText" dxfId="0" priority="375" operator="between" text="欠">
      <formula>NOT(ISERROR(SEARCH("欠",U119)))</formula>
    </cfRule>
  </conditionalFormatting>
  <conditionalFormatting sqref="U144:U146">
    <cfRule type="containsText" dxfId="0" priority="342" operator="between" text="欠">
      <formula>NOT(ISERROR(SEARCH("欠",U144)))</formula>
    </cfRule>
  </conditionalFormatting>
  <conditionalFormatting sqref="U149:U153">
    <cfRule type="containsText" dxfId="0" priority="283" operator="between" text="欠">
      <formula>NOT(ISERROR(SEARCH("欠",U149)))</formula>
    </cfRule>
  </conditionalFormatting>
  <conditionalFormatting sqref="U202:U211">
    <cfRule type="containsText" dxfId="0" priority="115" operator="between" text="欠">
      <formula>NOT(ISERROR(SEARCH("欠",U202)))</formula>
    </cfRule>
  </conditionalFormatting>
  <conditionalFormatting sqref="U221:U224">
    <cfRule type="containsText" dxfId="0" priority="104" operator="between" text="欠">
      <formula>NOT(ISERROR(SEARCH("欠",U221)))</formula>
    </cfRule>
  </conditionalFormatting>
  <conditionalFormatting sqref="U272:U276">
    <cfRule type="containsText" dxfId="0" priority="72" operator="between" text="欠">
      <formula>NOT(ISERROR(SEARCH("欠",U272)))</formula>
    </cfRule>
  </conditionalFormatting>
  <conditionalFormatting sqref="U278:U281">
    <cfRule type="containsText" dxfId="0" priority="44" operator="between" text="欠">
      <formula>NOT(ISERROR(SEARCH("欠",U278)))</formula>
    </cfRule>
  </conditionalFormatting>
  <conditionalFormatting sqref="U290:U291">
    <cfRule type="containsText" dxfId="0" priority="42" operator="between" text="欠">
      <formula>NOT(ISERROR(SEARCH("欠",U290)))</formula>
    </cfRule>
  </conditionalFormatting>
  <conditionalFormatting sqref="U311:U314">
    <cfRule type="containsText" dxfId="0" priority="35" operator="between" text="欠">
      <formula>NOT(ISERROR(SEARCH("欠",U311)))</formula>
    </cfRule>
  </conditionalFormatting>
  <conditionalFormatting sqref="U318:U319">
    <cfRule type="containsText" dxfId="0" priority="16" operator="between" text="欠">
      <formula>NOT(ISERROR(SEARCH("欠",U318)))</formula>
    </cfRule>
  </conditionalFormatting>
  <conditionalFormatting sqref="U320:U325">
    <cfRule type="containsText" dxfId="0" priority="33" operator="between" text="欠">
      <formula>NOT(ISERROR(SEARCH("欠",U320)))</formula>
    </cfRule>
  </conditionalFormatting>
  <conditionalFormatting sqref="V104:V108">
    <cfRule type="containsText" dxfId="0" priority="562" operator="between" text="欠">
      <formula>NOT(ISERROR(SEARCH("欠",V104)))</formula>
    </cfRule>
  </conditionalFormatting>
  <conditionalFormatting sqref="V144:V146">
    <cfRule type="containsText" dxfId="0" priority="344" operator="between" text="欠">
      <formula>NOT(ISERROR(SEARCH("欠",V144)))</formula>
    </cfRule>
  </conditionalFormatting>
  <conditionalFormatting sqref="V149:V153">
    <cfRule type="containsText" dxfId="0" priority="291" operator="between" text="欠">
      <formula>NOT(ISERROR(SEARCH("欠",V149)))</formula>
    </cfRule>
  </conditionalFormatting>
  <conditionalFormatting sqref="S1:S5 S346 S331:S333 S349:S1048576">
    <cfRule type="containsText" dxfId="0" priority="872" operator="between" text="欠">
      <formula>NOT(ISERROR(SEARCH("欠",S1)))</formula>
    </cfRule>
  </conditionalFormatting>
  <conditionalFormatting sqref="U1:U5 U43 U346 U331:U333 U349:U1048576">
    <cfRule type="containsText" dxfId="0" priority="871" operator="between" text="欠">
      <formula>NOT(ISERROR(SEARCH("欠",U1)))</formula>
    </cfRule>
  </conditionalFormatting>
  <conditionalFormatting sqref="U1:U5 U43 U62 U346 U331:U333 U348:U1048576">
    <cfRule type="containsText" dxfId="0" priority="846" operator="between" text="欠">
      <formula>NOT(ISERROR(SEARCH("欠",U1)))</formula>
    </cfRule>
  </conditionalFormatting>
  <conditionalFormatting sqref="U1:U5 U85:U86 U18 U62:U63 U42:U44 U50:U51 U79:U80 U31:U33 U331:U335 U346:U1048576">
    <cfRule type="containsText" dxfId="0" priority="793" operator="between" text="欠">
      <formula>NOT(ISERROR(SEARCH("欠",U1)))</formula>
    </cfRule>
  </conditionalFormatting>
  <conditionalFormatting sqref="U1:U86 U89 U91:U92 U331:U336 U340:U1048576">
    <cfRule type="containsText" dxfId="0" priority="616" operator="between" text="欠">
      <formula>NOT(ISERROR(SEARCH("欠",U1)))</formula>
    </cfRule>
  </conditionalFormatting>
  <conditionalFormatting sqref="V1:V3 V422:V65177 V331:V333">
    <cfRule type="containsText" dxfId="0" priority="1336" operator="between" text="欠">
      <formula>NOT(ISERROR(SEARCH("欠",V1)))</formula>
    </cfRule>
  </conditionalFormatting>
  <conditionalFormatting sqref="V1:V3 V416:V65177 V331:V333">
    <cfRule type="containsText" dxfId="0" priority="1279" operator="between" text="欠">
      <formula>NOT(ISERROR(SEARCH("欠",V1)))</formula>
    </cfRule>
  </conditionalFormatting>
  <conditionalFormatting sqref="V1:V5 V346 V331:V333 V349:V1048576">
    <cfRule type="containsText" dxfId="0" priority="873" operator="between" text="欠">
      <formula>NOT(ISERROR(SEARCH("欠",V1)))</formula>
    </cfRule>
  </conditionalFormatting>
  <conditionalFormatting sqref="V1:V3 V346 V331:V333 V349:V1048576">
    <cfRule type="containsText" dxfId="1" priority="905" operator="between" text="欠">
      <formula>NOT(ISERROR(SEARCH("欠",V1)))</formula>
    </cfRule>
  </conditionalFormatting>
  <conditionalFormatting sqref="S6 S8 S10 S12 S14 S16">
    <cfRule type="containsText" dxfId="0" priority="777" operator="between" text="欠">
      <formula>NOT(ISERROR(SEARCH("欠",S6)))</formula>
    </cfRule>
  </conditionalFormatting>
  <conditionalFormatting sqref="U6 U8 U10 U12 U14 U16">
    <cfRule type="containsText" dxfId="0" priority="774" operator="between" text="欠">
      <formula>NOT(ISERROR(SEARCH("欠",U6)))</formula>
    </cfRule>
  </conditionalFormatting>
  <conditionalFormatting sqref="V6 V8 V10 V12 V14 V16">
    <cfRule type="containsText" dxfId="0" priority="778" operator="between" text="欠">
      <formula>NOT(ISERROR(SEARCH("欠",V6)))</formula>
    </cfRule>
  </conditionalFormatting>
  <conditionalFormatting sqref="S49:S52 S79:S80 S44 S63 S18 S31:S33 S42 S82:S83 S85:S86 S89 S91:S92">
    <cfRule type="containsText" dxfId="0" priority="838" operator="between" text="欠">
      <formula>NOT(ISERROR(SEARCH("欠",S18)))</formula>
    </cfRule>
  </conditionalFormatting>
  <conditionalFormatting sqref="U42 U31 U33 U18 U85">
    <cfRule type="containsText" dxfId="0" priority="836" operator="between" text="欠">
      <formula>NOT(ISERROR(SEARCH("欠",U18)))</formula>
    </cfRule>
  </conditionalFormatting>
  <conditionalFormatting sqref="V27 V44 V31:V33 V25 V23 V62:V63 V42 V18 V79:V80 V29 V82:V86 V89 V49:V51 V91:V96">
    <cfRule type="containsText" dxfId="0" priority="853" operator="between" text="欠">
      <formula>NOT(ISERROR(SEARCH("欠",V18)))</formula>
    </cfRule>
  </conditionalFormatting>
  <conditionalFormatting sqref="U50:U51 U79:U80 U44 U63 U32 U86">
    <cfRule type="containsText" dxfId="0" priority="814" operator="between" text="欠">
      <formula>NOT(ISERROR(SEARCH("欠",U32)))</formula>
    </cfRule>
  </conditionalFormatting>
  <conditionalFormatting sqref="S55 S43 S41 S47:S48">
    <cfRule type="containsText" dxfId="0" priority="738" operator="between" text="欠">
      <formula>NOT(ISERROR(SEARCH("欠",S41)))</formula>
    </cfRule>
  </conditionalFormatting>
  <conditionalFormatting sqref="U55 U41 U47:U48">
    <cfRule type="containsText" dxfId="0" priority="734" operator="between" text="欠">
      <formula>NOT(ISERROR(SEARCH("欠",U41)))</formula>
    </cfRule>
  </conditionalFormatting>
  <conditionalFormatting sqref="V55 V43 V41 V47:V48">
    <cfRule type="containsText" dxfId="0" priority="739" operator="between" text="欠">
      <formula>NOT(ISERROR(SEARCH("欠",V41)))</formula>
    </cfRule>
  </conditionalFormatting>
  <conditionalFormatting sqref="U56 U58 U60 U53">
    <cfRule type="containsText" dxfId="0" priority="659" operator="between" text="欠">
      <formula>NOT(ISERROR(SEARCH("欠",U53)))</formula>
    </cfRule>
  </conditionalFormatting>
  <conditionalFormatting sqref="U64 U76 U74 U72 U70 U68 U66">
    <cfRule type="containsText" dxfId="0" priority="686" operator="between" text="欠">
      <formula>NOT(ISERROR(SEARCH("欠",U64)))</formula>
    </cfRule>
  </conditionalFormatting>
  <conditionalFormatting sqref="U89 U91:U92">
    <cfRule type="containsText" dxfId="0" priority="625" operator="between" text="欠">
      <formula>NOT(ISERROR(SEARCH("欠",U89)))</formula>
    </cfRule>
  </conditionalFormatting>
  <conditionalFormatting sqref="S97:S100 S102:S103">
    <cfRule type="containsText" dxfId="0" priority="602" operator="between" text="欠">
      <formula>NOT(ISERROR(SEARCH("欠",S97)))</formula>
    </cfRule>
  </conditionalFormatting>
  <conditionalFormatting sqref="V97:V101 V124:V136 V119:V122">
    <cfRule type="containsText" dxfId="0" priority="603" operator="between" text="欠">
      <formula>NOT(ISERROR(SEARCH("欠",V97)))</formula>
    </cfRule>
  </conditionalFormatting>
  <conditionalFormatting sqref="S101 S123">
    <cfRule type="containsText" dxfId="0" priority="431" operator="between" text="欠">
      <formula>NOT(ISERROR(SEARCH("欠",S101)))</formula>
    </cfRule>
  </conditionalFormatting>
  <conditionalFormatting sqref="U101 U123">
    <cfRule type="containsText" dxfId="0" priority="430" operator="between" text="欠">
      <formula>NOT(ISERROR(SEARCH("欠",U101)))</formula>
    </cfRule>
  </conditionalFormatting>
  <conditionalFormatting sqref="U109:U115 U102:U103">
    <cfRule type="containsText" dxfId="0" priority="507" operator="between" text="欠">
      <formula>NOT(ISERROR(SEARCH("欠",U102)))</formula>
    </cfRule>
  </conditionalFormatting>
  <conditionalFormatting sqref="V109:V115 V102:V103 V139">
    <cfRule type="containsText" dxfId="0" priority="512" operator="between" text="欠">
      <formula>NOT(ISERROR(SEARCH("欠",V102)))</formula>
    </cfRule>
  </conditionalFormatting>
  <conditionalFormatting sqref="T109 S113 T111:T112 T114:T115">
    <cfRule type="containsText" dxfId="0" priority="419" operator="between" text="欠">
      <formula>NOT(ISERROR(SEARCH("欠",S109)))</formula>
    </cfRule>
  </conditionalFormatting>
  <conditionalFormatting sqref="S114:S115 S111:S112">
    <cfRule type="containsText" dxfId="0" priority="418" operator="between" text="欠">
      <formula>NOT(ISERROR(SEARCH("欠",S111)))</formula>
    </cfRule>
  </conditionalFormatting>
  <conditionalFormatting sqref="S116 S148">
    <cfRule type="containsText" dxfId="0" priority="461" operator="between" text="欠">
      <formula>NOT(ISERROR(SEARCH("欠",S116)))</formula>
    </cfRule>
  </conditionalFormatting>
  <conditionalFormatting sqref="U116 U148">
    <cfRule type="containsText" dxfId="0" priority="391" operator="between" text="欠">
      <formula>NOT(ISERROR(SEARCH("欠",U116)))</formula>
    </cfRule>
  </conditionalFormatting>
  <conditionalFormatting sqref="V116:V118 V148">
    <cfRule type="containsText" dxfId="0" priority="462" operator="between" text="欠">
      <formula>NOT(ISERROR(SEARCH("欠",V116)))</formula>
    </cfRule>
  </conditionalFormatting>
  <conditionalFormatting sqref="U124:U136 U121:U122 U117:U118">
    <cfRule type="containsText" dxfId="0" priority="364" operator="between" text="欠">
      <formula>NOT(ISERROR(SEARCH("欠",U117)))</formula>
    </cfRule>
  </conditionalFormatting>
  <conditionalFormatting sqref="S124:S136 S119:S122 S139">
    <cfRule type="containsText" dxfId="0" priority="376" operator="between" text="欠">
      <formula>NOT(ISERROR(SEARCH("欠",S119)))</formula>
    </cfRule>
  </conditionalFormatting>
  <conditionalFormatting sqref="T124:T136 T119:T122">
    <cfRule type="containsText" dxfId="0" priority="371" operator="between" text="欠">
      <formula>NOT(ISERROR(SEARCH("欠",T119)))</formula>
    </cfRule>
  </conditionalFormatting>
  <conditionalFormatting sqref="P138 P140:P142">
    <cfRule type="containsText" dxfId="0" priority="345" operator="between" text="欠">
      <formula>NOT(ISERROR(SEARCH("欠",P138)))</formula>
    </cfRule>
  </conditionalFormatting>
  <conditionalFormatting sqref="S138 S140:S141">
    <cfRule type="containsText" dxfId="0" priority="351" operator="between" text="欠">
      <formula>NOT(ISERROR(SEARCH("欠",S138)))</formula>
    </cfRule>
  </conditionalFormatting>
  <conditionalFormatting sqref="T138:T143 T147:T148">
    <cfRule type="containsText" dxfId="0" priority="349" operator="between" text="欠">
      <formula>NOT(ISERROR(SEARCH("欠",T138)))</formula>
    </cfRule>
  </conditionalFormatting>
  <conditionalFormatting sqref="U138 U140:U141">
    <cfRule type="containsText" dxfId="0" priority="347" operator="between" text="欠">
      <formula>NOT(ISERROR(SEARCH("欠",U138)))</formula>
    </cfRule>
  </conditionalFormatting>
  <conditionalFormatting sqref="V138 V140:V141">
    <cfRule type="containsText" dxfId="0" priority="353" operator="between" text="欠">
      <formula>NOT(ISERROR(SEARCH("欠",V138)))</formula>
    </cfRule>
  </conditionalFormatting>
  <conditionalFormatting sqref="S186 S154:S156 S171 S176:S177 S182">
    <cfRule type="containsText" dxfId="0" priority="310" operator="between" text="欠">
      <formula>NOT(ISERROR(SEARCH("欠",S154)))</formula>
    </cfRule>
  </conditionalFormatting>
  <conditionalFormatting sqref="T186:T187 T171 T155:T156">
    <cfRule type="containsText" dxfId="0" priority="299" operator="between" text="欠">
      <formula>NOT(ISERROR(SEARCH("欠",T155)))</formula>
    </cfRule>
  </conditionalFormatting>
  <conditionalFormatting sqref="U186:U189 U171 U155:U156 U198:U199 U216:U219">
    <cfRule type="containsText" dxfId="0" priority="304" operator="between" text="欠">
      <formula>NOT(ISERROR(SEARCH("欠",U155)))</formula>
    </cfRule>
  </conditionalFormatting>
  <conditionalFormatting sqref="V186:V189 V171 V155:V156">
    <cfRule type="containsText" dxfId="0" priority="314" operator="between" text="欠">
      <formula>NOT(ISERROR(SEARCH("欠",V155)))</formula>
    </cfRule>
  </conditionalFormatting>
  <conditionalFormatting sqref="U172:U175 U157:U170">
    <cfRule type="containsText" dxfId="0" priority="233" operator="between" text="欠">
      <formula>NOT(ISERROR(SEARCH("欠",U157)))</formula>
    </cfRule>
  </conditionalFormatting>
  <conditionalFormatting sqref="V172:V175 V157:V170">
    <cfRule type="containsText" dxfId="0" priority="199" operator="between" text="欠">
      <formula>NOT(ISERROR(SEARCH("欠",V157)))</formula>
    </cfRule>
  </conditionalFormatting>
  <conditionalFormatting sqref="U176:U177 U182">
    <cfRule type="containsText" dxfId="0" priority="303" operator="between" text="欠">
      <formula>NOT(ISERROR(SEARCH("欠",U176)))</formula>
    </cfRule>
  </conditionalFormatting>
  <conditionalFormatting sqref="U183:U185 U178 U180:U181">
    <cfRule type="containsText" dxfId="0" priority="273" operator="between" text="欠">
      <formula>NOT(ISERROR(SEARCH("欠",U178)))</formula>
    </cfRule>
  </conditionalFormatting>
  <conditionalFormatting sqref="S183:S185 S180:S181">
    <cfRule type="containsText" dxfId="0" priority="197" operator="between" text="欠">
      <formula>NOT(ISERROR(SEARCH("欠",S180)))</formula>
    </cfRule>
  </conditionalFormatting>
  <conditionalFormatting sqref="V183:V185 V180:V181">
    <cfRule type="containsText" dxfId="0" priority="198" operator="between" text="欠">
      <formula>NOT(ISERROR(SEARCH("欠",V180)))</formula>
    </cfRule>
  </conditionalFormatting>
  <conditionalFormatting sqref="T183:T185 T181">
    <cfRule type="containsText" dxfId="0" priority="191" operator="between" text="欠">
      <formula>NOT(ISERROR(SEARCH("欠",T181)))</formula>
    </cfRule>
  </conditionalFormatting>
  <conditionalFormatting sqref="T193:T198 T201 T212:T215">
    <cfRule type="containsText" dxfId="0" priority="171" operator="between" text="欠">
      <formula>NOT(ISERROR(SEARCH("欠",T193)))</formula>
    </cfRule>
  </conditionalFormatting>
  <conditionalFormatting sqref="U193:U197 U201 U212:U215">
    <cfRule type="containsText" dxfId="0" priority="169" operator="between" text="欠">
      <formula>NOT(ISERROR(SEARCH("欠",U193)))</formula>
    </cfRule>
  </conditionalFormatting>
  <conditionalFormatting sqref="S194:S199 S201 S212:S215">
    <cfRule type="containsText" dxfId="0" priority="170" operator="between" text="欠">
      <formula>NOT(ISERROR(SEARCH("欠",S194)))</formula>
    </cfRule>
  </conditionalFormatting>
  <conditionalFormatting sqref="S216:S224 S229 S227">
    <cfRule type="containsText" dxfId="0" priority="152" operator="between" text="欠">
      <formula>NOT(ISERROR(SEARCH("欠",S216)))</formula>
    </cfRule>
  </conditionalFormatting>
  <conditionalFormatting sqref="T216:T220 T222 T224">
    <cfRule type="containsText" dxfId="0" priority="153" operator="between" text="欠">
      <formula>NOT(ISERROR(SEARCH("欠",T216)))</formula>
    </cfRule>
  </conditionalFormatting>
  <conditionalFormatting sqref="S225 S230:S232 S235:S245">
    <cfRule type="containsText" dxfId="0" priority="143" operator="between" text="欠">
      <formula>NOT(ISERROR(SEARCH("欠",S225)))</formula>
    </cfRule>
  </conditionalFormatting>
  <conditionalFormatting sqref="T225 T230:T245 T253">
    <cfRule type="containsText" dxfId="0" priority="144" operator="between" text="欠">
      <formula>NOT(ISERROR(SEARCH("欠",T225)))</formula>
    </cfRule>
  </conditionalFormatting>
  <conditionalFormatting sqref="U254 U225 U257 U230:U232 U248:U250 U235:U245">
    <cfRule type="containsText" dxfId="0" priority="142" operator="between" text="欠">
      <formula>NOT(ISERROR(SEARCH("欠",U225)))</formula>
    </cfRule>
  </conditionalFormatting>
  <conditionalFormatting sqref="T229 T227 T254:T257 T247:T252 T269:T271 T277:T281 T283:T289 T303">
    <cfRule type="containsText" dxfId="0" priority="159" operator="between" text="欠">
      <formula>NOT(ISERROR(SEARCH("欠",T227)))</formula>
    </cfRule>
  </conditionalFormatting>
  <conditionalFormatting sqref="U227 U247 U269:U271 U277 U283:U288 U292:U309 U316:U317">
    <cfRule type="containsText" dxfId="0" priority="105" operator="between" text="欠">
      <formula>NOT(ISERROR(SEARCH("欠",U227)))</formula>
    </cfRule>
  </conditionalFormatting>
  <conditionalFormatting sqref="S253 S233:S234">
    <cfRule type="containsText" dxfId="0" priority="90" operator="between" text="欠">
      <formula>NOT(ISERROR(SEARCH("欠",S233)))</formula>
    </cfRule>
  </conditionalFormatting>
  <conditionalFormatting sqref="U255:U256 U251:U252 U233:U234 U258:U266 U268">
    <cfRule type="containsText" dxfId="0" priority="89" operator="between" text="欠">
      <formula>NOT(ISERROR(SEARCH("欠",U233)))</formula>
    </cfRule>
  </conditionalFormatting>
  <conditionalFormatting sqref="S254:S266 S247:S252 S268:S271 S277:S281 S283:S288 S292:S314 S316:S317">
    <cfRule type="containsText" dxfId="0" priority="94" operator="between" text="欠">
      <formula>NOT(ISERROR(SEARCH("欠",S247)))</formula>
    </cfRule>
  </conditionalFormatting>
  <conditionalFormatting sqref="T259:T266 T268">
    <cfRule type="containsText" dxfId="0" priority="81" operator="between" text="欠">
      <formula>NOT(ISERROR(SEARCH("欠",T259)))</formula>
    </cfRule>
  </conditionalFormatting>
  <conditionalFormatting sqref="S267 S272:S276">
    <cfRule type="containsText" dxfId="0" priority="63" operator="between" text="欠">
      <formula>NOT(ISERROR(SEARCH("欠",S267)))</formula>
    </cfRule>
  </conditionalFormatting>
  <conditionalFormatting sqref="S282 S289">
    <cfRule type="containsText" dxfId="0" priority="57" operator="between" text="欠">
      <formula>NOT(ISERROR(SEARCH("欠",S282)))</formula>
    </cfRule>
  </conditionalFormatting>
  <conditionalFormatting sqref="U282 U289">
    <cfRule type="containsText" dxfId="0" priority="58" operator="between" text="欠">
      <formula>NOT(ISERROR(SEARCH("欠",U282)))</formula>
    </cfRule>
  </conditionalFormatting>
  <conditionalFormatting sqref="T291 T327">
    <cfRule type="containsText" dxfId="0" priority="49" operator="between" text="欠">
      <formula>NOT(ISERROR(SEARCH("欠",T291)))</formula>
    </cfRule>
  </conditionalFormatting>
  <conditionalFormatting sqref="T292:T302 T304:T314 T316">
    <cfRule type="containsText" dxfId="0" priority="62" operator="between" text="欠">
      <formula>NOT(ISERROR(SEARCH("欠",T292)))</formula>
    </cfRule>
  </conditionalFormatting>
  <pageMargins left="0" right="0.08" top="0.39" bottom="0.51" header="0.5" footer="0.5"/>
  <pageSetup paperSize="9" scale="10" orientation="landscape" horizontalDpi="600"/>
  <headerFooter alignWithMargins="0" scaleWithDoc="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349"/>
  <sheetViews>
    <sheetView zoomScale="70" zoomScaleNormal="70" workbookViewId="0">
      <pane ySplit="3" topLeftCell="A335" activePane="bottomLeft" state="frozen"/>
      <selection/>
      <selection pane="bottomLeft" activeCell="D309" sqref="D309"/>
    </sheetView>
  </sheetViews>
  <sheetFormatPr defaultColWidth="9" defaultRowHeight="14.25"/>
  <cols>
    <col min="1" max="1" width="19" style="56" customWidth="1"/>
    <col min="2" max="2" width="10.5" style="56" customWidth="1"/>
    <col min="3" max="3" width="11.5" style="56" customWidth="1"/>
    <col min="4" max="4" width="12" style="56" customWidth="1"/>
    <col min="5" max="5" width="19" style="56" customWidth="1"/>
    <col min="6" max="6" width="9.875" style="56" customWidth="1"/>
    <col min="7" max="7" width="9.125" style="56" customWidth="1"/>
    <col min="8" max="8" width="22.2333333333333" style="56" customWidth="1"/>
    <col min="9" max="9" width="7.75" style="56" customWidth="1"/>
    <col min="10" max="10" width="9.375" style="56" customWidth="1"/>
    <col min="11" max="11" width="7.125" style="56" customWidth="1"/>
    <col min="12" max="13" width="13.5" style="56" customWidth="1" outlineLevel="1"/>
    <col min="14" max="14" width="16.625" style="56" customWidth="1"/>
    <col min="15" max="15" width="13" style="56" customWidth="1"/>
    <col min="16" max="16" width="18.2916666666667" style="56" customWidth="1"/>
    <col min="17" max="17" width="14.625" style="56" customWidth="1"/>
    <col min="18" max="18" width="8.875" style="56" customWidth="1"/>
    <col min="19" max="20" width="7.125" style="56" customWidth="1"/>
    <col min="21" max="22" width="10.25" style="56" customWidth="1"/>
    <col min="23" max="24" width="9.875" style="56" customWidth="1"/>
    <col min="25" max="26" width="7.5" style="56" customWidth="1"/>
    <col min="27" max="27" width="9.25" style="56" customWidth="1"/>
    <col min="28" max="31" width="9" style="56" customWidth="1" outlineLevel="1"/>
    <col min="32" max="32" width="36.75" style="60" customWidth="1"/>
    <col min="33" max="34" width="9" style="103"/>
    <col min="35" max="16384" width="9" style="56"/>
  </cols>
  <sheetData>
    <row r="1" ht="15" customHeight="1" spans="1:32">
      <c r="A1" s="61" t="s">
        <v>3076</v>
      </c>
      <c r="B1" s="61"/>
      <c r="C1" s="61"/>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780"/>
    </row>
    <row r="2" s="54" customFormat="1" ht="12" customHeight="1" spans="1:35">
      <c r="A2" s="63"/>
      <c r="B2" s="64"/>
      <c r="C2" s="64"/>
      <c r="D2" s="65"/>
      <c r="E2" s="65"/>
      <c r="H2" s="65"/>
      <c r="I2" s="65"/>
      <c r="J2" s="65"/>
      <c r="K2" s="65"/>
      <c r="L2" s="65"/>
      <c r="M2" s="65"/>
      <c r="N2" s="65"/>
      <c r="O2" s="65"/>
      <c r="P2" s="65"/>
      <c r="Q2" s="65"/>
      <c r="R2" s="65"/>
      <c r="S2" s="65"/>
      <c r="T2" s="65"/>
      <c r="U2" s="65"/>
      <c r="V2" s="65"/>
      <c r="W2" s="65"/>
      <c r="X2" s="65"/>
      <c r="Y2" s="65"/>
      <c r="Z2" s="65"/>
      <c r="AA2" s="65"/>
      <c r="AB2" s="65"/>
      <c r="AC2" s="65"/>
      <c r="AD2" s="65"/>
      <c r="AE2" s="65"/>
      <c r="AF2" s="98"/>
      <c r="AI2" s="56"/>
    </row>
    <row r="3" s="692" customFormat="1" ht="36" spans="1:46">
      <c r="A3" s="68" t="s">
        <v>8</v>
      </c>
      <c r="B3" s="68" t="s">
        <v>9</v>
      </c>
      <c r="C3" s="68" t="s">
        <v>10</v>
      </c>
      <c r="D3" s="702" t="s">
        <v>11</v>
      </c>
      <c r="E3" s="68" t="s">
        <v>3077</v>
      </c>
      <c r="F3" s="702" t="s">
        <v>15</v>
      </c>
      <c r="G3" s="68" t="s">
        <v>16</v>
      </c>
      <c r="H3" s="702" t="s">
        <v>3078</v>
      </c>
      <c r="I3" s="68" t="s">
        <v>3079</v>
      </c>
      <c r="J3" s="68" t="s">
        <v>3079</v>
      </c>
      <c r="K3" s="68" t="s">
        <v>19</v>
      </c>
      <c r="L3" s="702" t="s">
        <v>3080</v>
      </c>
      <c r="M3" s="702" t="s">
        <v>3081</v>
      </c>
      <c r="N3" s="68" t="s">
        <v>22</v>
      </c>
      <c r="O3" s="68" t="s">
        <v>23</v>
      </c>
      <c r="P3" s="702" t="s">
        <v>3082</v>
      </c>
      <c r="Q3" s="190" t="s">
        <v>3083</v>
      </c>
      <c r="R3" s="190" t="s">
        <v>26</v>
      </c>
      <c r="S3" s="190" t="s">
        <v>3084</v>
      </c>
      <c r="T3" s="68" t="s">
        <v>28</v>
      </c>
      <c r="U3" s="761" t="s">
        <v>29</v>
      </c>
      <c r="V3" s="702" t="s">
        <v>3085</v>
      </c>
      <c r="W3" s="68" t="s">
        <v>3086</v>
      </c>
      <c r="X3" s="762" t="s">
        <v>3087</v>
      </c>
      <c r="Y3" s="761" t="s">
        <v>33</v>
      </c>
      <c r="Z3" s="761" t="s">
        <v>34</v>
      </c>
      <c r="AA3" s="761" t="s">
        <v>37</v>
      </c>
      <c r="AB3" s="761" t="s">
        <v>35</v>
      </c>
      <c r="AC3" s="781" t="s">
        <v>1458</v>
      </c>
      <c r="AD3" s="781" t="s">
        <v>39</v>
      </c>
      <c r="AE3" s="782" t="s">
        <v>3088</v>
      </c>
      <c r="AF3" s="782" t="s">
        <v>3089</v>
      </c>
      <c r="AG3" s="782" t="s">
        <v>3090</v>
      </c>
      <c r="AH3" s="782" t="s">
        <v>3091</v>
      </c>
      <c r="AI3" s="792" t="s">
        <v>45</v>
      </c>
      <c r="AJ3" s="792" t="s">
        <v>46</v>
      </c>
      <c r="AK3" s="792" t="s">
        <v>41</v>
      </c>
      <c r="AL3" s="792" t="s">
        <v>47</v>
      </c>
      <c r="AM3" s="782" t="s">
        <v>3088</v>
      </c>
      <c r="AN3" s="782" t="s">
        <v>3089</v>
      </c>
      <c r="AO3" s="782" t="s">
        <v>3090</v>
      </c>
      <c r="AP3" s="782" t="s">
        <v>3088</v>
      </c>
      <c r="AQ3" s="782" t="s">
        <v>3089</v>
      </c>
      <c r="AR3" s="782" t="s">
        <v>3090</v>
      </c>
      <c r="AS3" s="782"/>
      <c r="AT3" s="802" t="s">
        <v>3092</v>
      </c>
    </row>
    <row r="4" s="692" customFormat="1" ht="24" customHeight="1" spans="1:32">
      <c r="A4" s="703">
        <v>42678</v>
      </c>
      <c r="B4" s="694" t="s">
        <v>3093</v>
      </c>
      <c r="C4" s="704" t="s">
        <v>3094</v>
      </c>
      <c r="D4" s="694" t="s">
        <v>3095</v>
      </c>
      <c r="E4" s="694" t="s">
        <v>3096</v>
      </c>
      <c r="F4" s="694">
        <v>25251</v>
      </c>
      <c r="G4" s="705" t="s">
        <v>3097</v>
      </c>
      <c r="H4" s="706">
        <v>720</v>
      </c>
      <c r="I4" s="530" t="s">
        <v>58</v>
      </c>
      <c r="J4" s="698">
        <v>12</v>
      </c>
      <c r="K4" s="698">
        <f t="shared" ref="K4:K15" si="0">H4/J4</f>
        <v>60</v>
      </c>
      <c r="L4" s="724">
        <v>2.625</v>
      </c>
      <c r="M4" s="724">
        <f>H4*L4</f>
        <v>1890</v>
      </c>
      <c r="N4" s="707">
        <v>42375</v>
      </c>
      <c r="O4" s="707"/>
      <c r="P4" s="707">
        <v>42382</v>
      </c>
      <c r="Q4" s="707"/>
      <c r="R4" s="707"/>
      <c r="S4" s="707"/>
      <c r="T4" s="698"/>
      <c r="U4" s="707">
        <v>42678</v>
      </c>
      <c r="V4" s="707"/>
      <c r="W4" s="763">
        <v>42711</v>
      </c>
      <c r="X4" s="763">
        <v>42711</v>
      </c>
      <c r="Y4" s="707"/>
      <c r="Z4" s="707"/>
      <c r="AA4" s="698"/>
      <c r="AB4" s="783"/>
      <c r="AC4" s="783"/>
      <c r="AD4" s="783"/>
      <c r="AE4" s="783"/>
      <c r="AF4" s="784" t="s">
        <v>3098</v>
      </c>
    </row>
    <row r="5" s="692" customFormat="1" ht="24" customHeight="1" spans="1:38">
      <c r="A5" s="707">
        <v>42853</v>
      </c>
      <c r="B5" s="698" t="s">
        <v>508</v>
      </c>
      <c r="C5" s="708" t="s">
        <v>3099</v>
      </c>
      <c r="D5" s="694"/>
      <c r="E5" s="694" t="s">
        <v>3100</v>
      </c>
      <c r="F5" s="698" t="s">
        <v>3101</v>
      </c>
      <c r="G5" s="705" t="s">
        <v>484</v>
      </c>
      <c r="H5" s="706">
        <v>2004</v>
      </c>
      <c r="I5" s="530" t="s">
        <v>3102</v>
      </c>
      <c r="J5" s="698">
        <v>12</v>
      </c>
      <c r="K5" s="698">
        <v>167</v>
      </c>
      <c r="L5" s="724">
        <v>3.575</v>
      </c>
      <c r="M5" s="725">
        <v>7164.3</v>
      </c>
      <c r="N5" s="707">
        <v>42893</v>
      </c>
      <c r="O5" s="707"/>
      <c r="P5" s="707"/>
      <c r="Q5" s="707">
        <v>42895</v>
      </c>
      <c r="R5" s="707"/>
      <c r="S5" s="764"/>
      <c r="T5" s="763" t="s">
        <v>3103</v>
      </c>
      <c r="U5" s="707"/>
      <c r="V5" s="698"/>
      <c r="W5" s="763" t="s">
        <v>1427</v>
      </c>
      <c r="X5" s="763" t="s">
        <v>58</v>
      </c>
      <c r="Y5" s="726" t="s">
        <v>3104</v>
      </c>
      <c r="Z5" s="776">
        <v>668</v>
      </c>
      <c r="AA5" s="776">
        <v>668</v>
      </c>
      <c r="AB5" s="776">
        <v>668</v>
      </c>
      <c r="AC5" s="776"/>
      <c r="AD5" s="776">
        <v>2004</v>
      </c>
      <c r="AE5" s="776"/>
      <c r="AF5" s="776"/>
      <c r="AG5" s="776"/>
      <c r="AH5" s="776"/>
      <c r="AI5" s="776"/>
      <c r="AJ5" s="776"/>
      <c r="AK5" s="698"/>
      <c r="AL5" s="784" t="s">
        <v>3105</v>
      </c>
    </row>
    <row r="6" s="692" customFormat="1" ht="24" customHeight="1" spans="1:39">
      <c r="A6" s="709">
        <v>43279</v>
      </c>
      <c r="B6" s="698" t="s">
        <v>3106</v>
      </c>
      <c r="C6" s="708" t="s">
        <v>3107</v>
      </c>
      <c r="D6" s="704"/>
      <c r="E6" s="694" t="s">
        <v>3108</v>
      </c>
      <c r="F6" s="710" t="s">
        <v>54</v>
      </c>
      <c r="G6" s="705" t="s">
        <v>3109</v>
      </c>
      <c r="H6" s="706">
        <v>504</v>
      </c>
      <c r="I6" s="530" t="s">
        <v>3102</v>
      </c>
      <c r="J6" s="698">
        <v>12</v>
      </c>
      <c r="K6" s="698">
        <f t="shared" si="0"/>
        <v>42</v>
      </c>
      <c r="L6" s="724">
        <v>3.6581</v>
      </c>
      <c r="M6" s="725">
        <f>L6*K6</f>
        <v>153.6402</v>
      </c>
      <c r="N6" s="703" t="s">
        <v>3110</v>
      </c>
      <c r="O6" s="726" t="s">
        <v>3111</v>
      </c>
      <c r="P6" s="703">
        <v>43312</v>
      </c>
      <c r="Q6" s="707">
        <v>43311</v>
      </c>
      <c r="R6" s="707"/>
      <c r="S6" s="763" t="s">
        <v>3112</v>
      </c>
      <c r="T6" s="763"/>
      <c r="U6" s="726" t="s">
        <v>3113</v>
      </c>
      <c r="V6" s="765"/>
      <c r="W6" s="766" t="s">
        <v>1991</v>
      </c>
      <c r="X6" s="767"/>
      <c r="Y6" s="785" t="s">
        <v>123</v>
      </c>
      <c r="Z6" s="746"/>
      <c r="AA6" s="786"/>
      <c r="AB6" s="787">
        <f>H6</f>
        <v>504</v>
      </c>
      <c r="AC6" s="788"/>
      <c r="AD6" s="776"/>
      <c r="AE6" s="776">
        <f t="shared" ref="AE6:AE9" si="1">H6</f>
        <v>504</v>
      </c>
      <c r="AF6" s="776"/>
      <c r="AG6" s="776"/>
      <c r="AH6" s="788"/>
      <c r="AI6" s="786"/>
      <c r="AJ6" s="776">
        <f>AB6</f>
        <v>504</v>
      </c>
      <c r="AK6" s="776"/>
      <c r="AL6" s="776"/>
      <c r="AM6" s="793" t="s">
        <v>3114</v>
      </c>
    </row>
    <row r="7" s="692" customFormat="1" ht="24" customHeight="1" spans="1:39">
      <c r="A7" s="709">
        <v>43279</v>
      </c>
      <c r="B7" s="698" t="s">
        <v>3106</v>
      </c>
      <c r="C7" s="708" t="s">
        <v>3107</v>
      </c>
      <c r="D7" s="704"/>
      <c r="E7" s="694" t="s">
        <v>3108</v>
      </c>
      <c r="F7" s="710" t="s">
        <v>64</v>
      </c>
      <c r="G7" s="705" t="s">
        <v>65</v>
      </c>
      <c r="H7" s="706">
        <v>504</v>
      </c>
      <c r="I7" s="530" t="s">
        <v>3102</v>
      </c>
      <c r="J7" s="698">
        <v>12</v>
      </c>
      <c r="K7" s="698">
        <f t="shared" si="0"/>
        <v>42</v>
      </c>
      <c r="L7" s="724">
        <v>4.343</v>
      </c>
      <c r="M7" s="725">
        <f>L7*K7</f>
        <v>182.406</v>
      </c>
      <c r="N7" s="703" t="s">
        <v>3110</v>
      </c>
      <c r="O7" s="726" t="s">
        <v>3111</v>
      </c>
      <c r="P7" s="703">
        <v>43312</v>
      </c>
      <c r="Q7" s="707">
        <v>43311</v>
      </c>
      <c r="R7" s="707"/>
      <c r="S7" s="763" t="s">
        <v>3112</v>
      </c>
      <c r="T7" s="763"/>
      <c r="U7" s="726" t="s">
        <v>3113</v>
      </c>
      <c r="V7" s="765"/>
      <c r="W7" s="766" t="s">
        <v>1991</v>
      </c>
      <c r="X7" s="767"/>
      <c r="Y7" s="785" t="s">
        <v>123</v>
      </c>
      <c r="Z7" s="746"/>
      <c r="AA7" s="786"/>
      <c r="AB7" s="787"/>
      <c r="AC7" s="788">
        <f>H7</f>
        <v>504</v>
      </c>
      <c r="AD7" s="776"/>
      <c r="AE7" s="776">
        <f t="shared" si="1"/>
        <v>504</v>
      </c>
      <c r="AF7" s="776"/>
      <c r="AG7" s="776"/>
      <c r="AH7" s="788"/>
      <c r="AI7" s="786"/>
      <c r="AJ7" s="776"/>
      <c r="AK7" s="776">
        <f>AC7</f>
        <v>504</v>
      </c>
      <c r="AL7" s="776"/>
      <c r="AM7" s="794"/>
    </row>
    <row r="8" s="692" customFormat="1" ht="24" customHeight="1" spans="1:39">
      <c r="A8" s="709">
        <v>43279</v>
      </c>
      <c r="B8" s="698" t="s">
        <v>3106</v>
      </c>
      <c r="C8" s="708" t="s">
        <v>3107</v>
      </c>
      <c r="D8" s="704"/>
      <c r="E8" s="694" t="s">
        <v>3108</v>
      </c>
      <c r="F8" s="710" t="s">
        <v>66</v>
      </c>
      <c r="G8" s="705" t="s">
        <v>67</v>
      </c>
      <c r="H8" s="706">
        <v>504</v>
      </c>
      <c r="I8" s="530" t="s">
        <v>3102</v>
      </c>
      <c r="J8" s="698">
        <v>12</v>
      </c>
      <c r="K8" s="698">
        <f t="shared" si="0"/>
        <v>42</v>
      </c>
      <c r="L8" s="724">
        <v>4.1829</v>
      </c>
      <c r="M8" s="725">
        <f>L8*K8</f>
        <v>175.6818</v>
      </c>
      <c r="N8" s="703" t="s">
        <v>3110</v>
      </c>
      <c r="O8" s="726" t="s">
        <v>3111</v>
      </c>
      <c r="P8" s="703">
        <v>43312</v>
      </c>
      <c r="Q8" s="707">
        <v>43311</v>
      </c>
      <c r="R8" s="707"/>
      <c r="S8" s="763" t="s">
        <v>3112</v>
      </c>
      <c r="T8" s="763"/>
      <c r="U8" s="726" t="s">
        <v>3113</v>
      </c>
      <c r="V8" s="765"/>
      <c r="W8" s="766" t="s">
        <v>1991</v>
      </c>
      <c r="X8" s="767"/>
      <c r="Y8" s="785" t="s">
        <v>123</v>
      </c>
      <c r="Z8" s="746"/>
      <c r="AA8" s="786"/>
      <c r="AB8" s="787"/>
      <c r="AC8" s="788"/>
      <c r="AD8" s="776">
        <f>H8</f>
        <v>504</v>
      </c>
      <c r="AE8" s="776">
        <f t="shared" si="1"/>
        <v>504</v>
      </c>
      <c r="AF8" s="776"/>
      <c r="AG8" s="776"/>
      <c r="AH8" s="788"/>
      <c r="AI8" s="786"/>
      <c r="AJ8" s="776"/>
      <c r="AK8" s="776"/>
      <c r="AL8" s="776">
        <f>AD8</f>
        <v>504</v>
      </c>
      <c r="AM8" s="795"/>
    </row>
    <row r="9" s="693" customFormat="1" ht="24" customHeight="1" spans="1:42">
      <c r="A9" s="709">
        <v>43559</v>
      </c>
      <c r="B9" s="711" t="s">
        <v>3115</v>
      </c>
      <c r="C9" s="711">
        <v>4500018434</v>
      </c>
      <c r="D9" s="712" t="s">
        <v>3116</v>
      </c>
      <c r="E9" s="712" t="s">
        <v>2471</v>
      </c>
      <c r="F9" s="711" t="s">
        <v>3117</v>
      </c>
      <c r="G9" s="712" t="s">
        <v>2119</v>
      </c>
      <c r="H9" s="713">
        <v>12000</v>
      </c>
      <c r="I9" s="712">
        <v>0</v>
      </c>
      <c r="J9" s="712">
        <v>12</v>
      </c>
      <c r="K9" s="698">
        <f t="shared" si="0"/>
        <v>1000</v>
      </c>
      <c r="L9" s="712">
        <v>2.0833</v>
      </c>
      <c r="M9" s="725">
        <f t="shared" ref="M9:M15" si="2">L9*H9</f>
        <v>24999.6</v>
      </c>
      <c r="N9" s="727" t="s">
        <v>3118</v>
      </c>
      <c r="O9" s="712"/>
      <c r="P9" s="712"/>
      <c r="Q9" s="727">
        <v>43663</v>
      </c>
      <c r="R9" s="711"/>
      <c r="S9" s="712" t="s">
        <v>1427</v>
      </c>
      <c r="T9" s="712"/>
      <c r="U9" s="768">
        <v>43558</v>
      </c>
      <c r="V9" s="712"/>
      <c r="W9" s="712" t="s">
        <v>3119</v>
      </c>
      <c r="X9" s="769"/>
      <c r="Y9" s="712" t="s">
        <v>123</v>
      </c>
      <c r="Z9" s="789"/>
      <c r="AA9" s="789"/>
      <c r="AB9" s="776">
        <f t="shared" ref="AB9:AB12" si="3">H9/12*6</f>
        <v>6000</v>
      </c>
      <c r="AC9" s="776">
        <f t="shared" ref="AC9:AC12" si="4">H9/12*4</f>
        <v>4000</v>
      </c>
      <c r="AD9" s="776">
        <f t="shared" ref="AD9:AD12" si="5">H9/12*2</f>
        <v>2000</v>
      </c>
      <c r="AE9" s="790">
        <f t="shared" si="1"/>
        <v>12000</v>
      </c>
      <c r="AF9" s="790"/>
      <c r="AG9" s="790">
        <f t="shared" ref="AG9:AG12" si="6">H9</f>
        <v>12000</v>
      </c>
      <c r="AH9" s="790"/>
      <c r="AI9" s="796">
        <f t="shared" ref="AI9:AI15" si="7">H9</f>
        <v>12000</v>
      </c>
      <c r="AJ9" s="790"/>
      <c r="AK9" s="790"/>
      <c r="AL9" s="769" t="s">
        <v>3120</v>
      </c>
      <c r="AM9" s="699"/>
      <c r="AN9" s="699"/>
      <c r="AO9" s="803"/>
      <c r="AP9" s="692"/>
    </row>
    <row r="10" s="693" customFormat="1" ht="24" customHeight="1" spans="1:42">
      <c r="A10" s="709">
        <v>43573</v>
      </c>
      <c r="B10" s="711" t="s">
        <v>3121</v>
      </c>
      <c r="C10" s="711">
        <v>4500018756</v>
      </c>
      <c r="D10" s="712" t="s">
        <v>3122</v>
      </c>
      <c r="E10" s="712" t="s">
        <v>662</v>
      </c>
      <c r="F10" s="711" t="s">
        <v>3123</v>
      </c>
      <c r="G10" s="712" t="s">
        <v>2119</v>
      </c>
      <c r="H10" s="713">
        <v>5004</v>
      </c>
      <c r="I10" s="712">
        <v>0</v>
      </c>
      <c r="J10" s="712">
        <v>6</v>
      </c>
      <c r="K10" s="698">
        <f t="shared" si="0"/>
        <v>834</v>
      </c>
      <c r="L10" s="712">
        <v>0.3659</v>
      </c>
      <c r="M10" s="725">
        <f t="shared" si="2"/>
        <v>1830.9636</v>
      </c>
      <c r="N10" s="727" t="s">
        <v>3118</v>
      </c>
      <c r="O10" s="712"/>
      <c r="P10" s="712"/>
      <c r="Q10" s="727">
        <v>43626</v>
      </c>
      <c r="R10" s="711"/>
      <c r="S10" s="712" t="s">
        <v>1427</v>
      </c>
      <c r="T10" s="712"/>
      <c r="U10" s="768" t="s">
        <v>3102</v>
      </c>
      <c r="V10" s="712"/>
      <c r="W10" s="712" t="s">
        <v>3124</v>
      </c>
      <c r="X10" s="769"/>
      <c r="Y10" s="712" t="s">
        <v>398</v>
      </c>
      <c r="Z10" s="789"/>
      <c r="AA10" s="789"/>
      <c r="AB10" s="776">
        <f>H10/6*3</f>
        <v>2502</v>
      </c>
      <c r="AC10" s="776">
        <f>H10/6*2</f>
        <v>1668</v>
      </c>
      <c r="AD10" s="776">
        <f>H10/6*1</f>
        <v>834</v>
      </c>
      <c r="AE10" s="790"/>
      <c r="AF10" s="790">
        <f>H10</f>
        <v>5004</v>
      </c>
      <c r="AG10" s="790"/>
      <c r="AH10" s="790">
        <f>H10</f>
        <v>5004</v>
      </c>
      <c r="AI10" s="796">
        <f t="shared" si="7"/>
        <v>5004</v>
      </c>
      <c r="AJ10" s="790"/>
      <c r="AK10" s="790"/>
      <c r="AL10" s="769" t="s">
        <v>3125</v>
      </c>
      <c r="AM10" s="699"/>
      <c r="AN10" s="699"/>
      <c r="AO10" s="803"/>
      <c r="AP10" s="692"/>
    </row>
    <row r="11" s="693" customFormat="1" ht="24" customHeight="1" spans="1:42">
      <c r="A11" s="709">
        <v>43607</v>
      </c>
      <c r="B11" s="711" t="s">
        <v>3126</v>
      </c>
      <c r="C11" s="711">
        <v>4500020443</v>
      </c>
      <c r="D11" s="712">
        <v>5000000106</v>
      </c>
      <c r="E11" s="712" t="s">
        <v>3127</v>
      </c>
      <c r="F11" s="711" t="s">
        <v>3117</v>
      </c>
      <c r="G11" s="712" t="s">
        <v>2119</v>
      </c>
      <c r="H11" s="713">
        <v>3000</v>
      </c>
      <c r="I11" s="712">
        <v>0</v>
      </c>
      <c r="J11" s="712">
        <v>12</v>
      </c>
      <c r="K11" s="698">
        <f t="shared" si="0"/>
        <v>250</v>
      </c>
      <c r="L11" s="712">
        <v>2.0833</v>
      </c>
      <c r="M11" s="725">
        <f t="shared" si="2"/>
        <v>6249.9</v>
      </c>
      <c r="N11" s="727" t="s">
        <v>3128</v>
      </c>
      <c r="O11" s="712" t="s">
        <v>3129</v>
      </c>
      <c r="P11" s="712"/>
      <c r="Q11" s="727">
        <v>43663</v>
      </c>
      <c r="R11" s="711"/>
      <c r="S11" s="712"/>
      <c r="T11" s="712"/>
      <c r="U11" s="768"/>
      <c r="V11" s="712"/>
      <c r="W11" s="712" t="s">
        <v>3119</v>
      </c>
      <c r="X11" s="769"/>
      <c r="Y11" s="712" t="s">
        <v>3130</v>
      </c>
      <c r="Z11" s="789"/>
      <c r="AA11" s="789"/>
      <c r="AB11" s="776">
        <f t="shared" si="3"/>
        <v>1500</v>
      </c>
      <c r="AC11" s="776">
        <f t="shared" si="4"/>
        <v>1000</v>
      </c>
      <c r="AD11" s="776">
        <f t="shared" si="5"/>
        <v>500</v>
      </c>
      <c r="AE11" s="790">
        <f t="shared" ref="AE11:AE15" si="8">H11</f>
        <v>3000</v>
      </c>
      <c r="AF11" s="790"/>
      <c r="AG11" s="790">
        <f t="shared" si="6"/>
        <v>3000</v>
      </c>
      <c r="AH11" s="790"/>
      <c r="AI11" s="796">
        <f t="shared" si="7"/>
        <v>3000</v>
      </c>
      <c r="AJ11" s="790"/>
      <c r="AK11" s="790"/>
      <c r="AL11" s="769" t="s">
        <v>3131</v>
      </c>
      <c r="AM11" s="699"/>
      <c r="AN11" s="699"/>
      <c r="AO11" s="803"/>
      <c r="AP11" s="692"/>
    </row>
    <row r="12" s="693" customFormat="1" ht="24" customHeight="1" spans="1:42">
      <c r="A12" s="709">
        <v>43636</v>
      </c>
      <c r="B12" s="711" t="s">
        <v>3132</v>
      </c>
      <c r="C12" s="711">
        <v>4500021666</v>
      </c>
      <c r="D12" s="712">
        <v>25024</v>
      </c>
      <c r="E12" s="712" t="s">
        <v>3133</v>
      </c>
      <c r="F12" s="711" t="s">
        <v>3117</v>
      </c>
      <c r="G12" s="712" t="s">
        <v>2119</v>
      </c>
      <c r="H12" s="713">
        <v>2400</v>
      </c>
      <c r="I12" s="712">
        <v>0</v>
      </c>
      <c r="J12" s="712">
        <v>12</v>
      </c>
      <c r="K12" s="698">
        <f t="shared" si="0"/>
        <v>200</v>
      </c>
      <c r="L12" s="712">
        <v>2.0833</v>
      </c>
      <c r="M12" s="725">
        <f t="shared" si="2"/>
        <v>4999.92</v>
      </c>
      <c r="N12" s="727" t="s">
        <v>3134</v>
      </c>
      <c r="O12" s="712" t="s">
        <v>3135</v>
      </c>
      <c r="P12" s="712"/>
      <c r="Q12" s="727">
        <v>43663</v>
      </c>
      <c r="R12" s="711"/>
      <c r="S12" s="712"/>
      <c r="T12" s="712"/>
      <c r="U12" s="768" t="s">
        <v>58</v>
      </c>
      <c r="V12" s="712"/>
      <c r="W12" s="712" t="s">
        <v>3119</v>
      </c>
      <c r="X12" s="769"/>
      <c r="Y12" s="712" t="s">
        <v>91</v>
      </c>
      <c r="Z12" s="789"/>
      <c r="AA12" s="789"/>
      <c r="AB12" s="776">
        <f t="shared" si="3"/>
        <v>1200</v>
      </c>
      <c r="AC12" s="776">
        <f t="shared" si="4"/>
        <v>800</v>
      </c>
      <c r="AD12" s="776">
        <f t="shared" si="5"/>
        <v>400</v>
      </c>
      <c r="AE12" s="790">
        <f t="shared" si="8"/>
        <v>2400</v>
      </c>
      <c r="AF12" s="790"/>
      <c r="AG12" s="790">
        <f t="shared" si="6"/>
        <v>2400</v>
      </c>
      <c r="AH12" s="790"/>
      <c r="AI12" s="796">
        <f t="shared" si="7"/>
        <v>2400</v>
      </c>
      <c r="AJ12" s="790"/>
      <c r="AK12" s="790"/>
      <c r="AL12" s="769" t="s">
        <v>3136</v>
      </c>
      <c r="AM12" s="699"/>
      <c r="AN12" s="699"/>
      <c r="AO12" s="803"/>
      <c r="AP12" s="692"/>
    </row>
    <row r="13" s="693" customFormat="1" ht="24" customHeight="1" spans="1:42">
      <c r="A13" s="709">
        <v>43551</v>
      </c>
      <c r="B13" s="711" t="s">
        <v>3137</v>
      </c>
      <c r="C13" s="711">
        <v>4500018014</v>
      </c>
      <c r="D13" s="712" t="s">
        <v>3138</v>
      </c>
      <c r="E13" s="712" t="s">
        <v>3139</v>
      </c>
      <c r="F13" s="711" t="s">
        <v>3140</v>
      </c>
      <c r="G13" s="712" t="s">
        <v>3141</v>
      </c>
      <c r="H13" s="713">
        <v>6000</v>
      </c>
      <c r="I13" s="712">
        <v>0</v>
      </c>
      <c r="J13" s="712">
        <v>12</v>
      </c>
      <c r="K13" s="698">
        <f t="shared" si="0"/>
        <v>500</v>
      </c>
      <c r="L13" s="712">
        <v>2.7</v>
      </c>
      <c r="M13" s="725">
        <f t="shared" si="2"/>
        <v>16200</v>
      </c>
      <c r="N13" s="727" t="s">
        <v>3142</v>
      </c>
      <c r="O13" s="712"/>
      <c r="P13" s="712"/>
      <c r="Q13" s="727">
        <v>43719</v>
      </c>
      <c r="R13" s="711"/>
      <c r="S13" s="712">
        <v>43552</v>
      </c>
      <c r="T13" s="712"/>
      <c r="U13" s="768" t="s">
        <v>3102</v>
      </c>
      <c r="V13" s="712"/>
      <c r="W13" s="712" t="s">
        <v>1992</v>
      </c>
      <c r="X13" s="769"/>
      <c r="Y13" s="712" t="s">
        <v>123</v>
      </c>
      <c r="Z13" s="789"/>
      <c r="AA13" s="789"/>
      <c r="AB13" s="776">
        <f>H13</f>
        <v>6000</v>
      </c>
      <c r="AC13" s="776"/>
      <c r="AD13" s="776"/>
      <c r="AE13" s="790">
        <f t="shared" si="8"/>
        <v>6000</v>
      </c>
      <c r="AF13" s="790"/>
      <c r="AG13" s="790"/>
      <c r="AH13" s="790"/>
      <c r="AI13" s="796">
        <f t="shared" si="7"/>
        <v>6000</v>
      </c>
      <c r="AJ13" s="790"/>
      <c r="AK13" s="790">
        <f t="shared" ref="AK13:AK15" si="9">H13</f>
        <v>6000</v>
      </c>
      <c r="AL13" s="769" t="s">
        <v>3143</v>
      </c>
      <c r="AM13" s="699"/>
      <c r="AN13" s="699"/>
      <c r="AO13" s="803"/>
      <c r="AP13" s="692"/>
    </row>
    <row r="14" s="693" customFormat="1" ht="24" customHeight="1" spans="1:42">
      <c r="A14" s="709">
        <v>43551</v>
      </c>
      <c r="B14" s="711" t="s">
        <v>3137</v>
      </c>
      <c r="C14" s="711">
        <v>4500018014</v>
      </c>
      <c r="D14" s="712" t="s">
        <v>3138</v>
      </c>
      <c r="E14" s="712" t="s">
        <v>3139</v>
      </c>
      <c r="F14" s="711" t="s">
        <v>3144</v>
      </c>
      <c r="G14" s="712" t="s">
        <v>2042</v>
      </c>
      <c r="H14" s="713">
        <v>3096</v>
      </c>
      <c r="I14" s="712">
        <v>0</v>
      </c>
      <c r="J14" s="712">
        <v>12</v>
      </c>
      <c r="K14" s="698">
        <f t="shared" si="0"/>
        <v>258</v>
      </c>
      <c r="L14" s="712">
        <v>2.76</v>
      </c>
      <c r="M14" s="725">
        <f t="shared" si="2"/>
        <v>8544.96</v>
      </c>
      <c r="N14" s="727" t="s">
        <v>3142</v>
      </c>
      <c r="O14" s="712"/>
      <c r="P14" s="712"/>
      <c r="Q14" s="727">
        <v>43719</v>
      </c>
      <c r="R14" s="711"/>
      <c r="S14" s="712">
        <v>43552</v>
      </c>
      <c r="T14" s="712"/>
      <c r="U14" s="768" t="s">
        <v>3102</v>
      </c>
      <c r="V14" s="712"/>
      <c r="W14" s="712" t="s">
        <v>1992</v>
      </c>
      <c r="X14" s="769"/>
      <c r="Y14" s="712" t="s">
        <v>123</v>
      </c>
      <c r="Z14" s="789"/>
      <c r="AA14" s="789"/>
      <c r="AB14" s="776"/>
      <c r="AC14" s="776"/>
      <c r="AD14" s="776">
        <f>H14</f>
        <v>3096</v>
      </c>
      <c r="AE14" s="790">
        <f t="shared" si="8"/>
        <v>3096</v>
      </c>
      <c r="AF14" s="790"/>
      <c r="AG14" s="790"/>
      <c r="AH14" s="790"/>
      <c r="AI14" s="796">
        <f t="shared" si="7"/>
        <v>3096</v>
      </c>
      <c r="AJ14" s="790"/>
      <c r="AK14" s="790">
        <f t="shared" si="9"/>
        <v>3096</v>
      </c>
      <c r="AL14" s="769"/>
      <c r="AM14" s="699"/>
      <c r="AN14" s="699"/>
      <c r="AO14" s="803"/>
      <c r="AP14" s="692"/>
    </row>
    <row r="15" s="693" customFormat="1" ht="24" customHeight="1" spans="1:42">
      <c r="A15" s="709">
        <v>43551</v>
      </c>
      <c r="B15" s="711" t="s">
        <v>3137</v>
      </c>
      <c r="C15" s="711">
        <v>4500018014</v>
      </c>
      <c r="D15" s="712" t="s">
        <v>3138</v>
      </c>
      <c r="E15" s="712" t="s">
        <v>3139</v>
      </c>
      <c r="F15" s="711" t="s">
        <v>3145</v>
      </c>
      <c r="G15" s="712" t="s">
        <v>2063</v>
      </c>
      <c r="H15" s="713">
        <v>3096</v>
      </c>
      <c r="I15" s="712">
        <v>0</v>
      </c>
      <c r="J15" s="712">
        <v>12</v>
      </c>
      <c r="K15" s="698">
        <f t="shared" si="0"/>
        <v>258</v>
      </c>
      <c r="L15" s="712">
        <v>2.76</v>
      </c>
      <c r="M15" s="725">
        <f t="shared" si="2"/>
        <v>8544.96</v>
      </c>
      <c r="N15" s="727" t="s">
        <v>3142</v>
      </c>
      <c r="O15" s="712"/>
      <c r="P15" s="712"/>
      <c r="Q15" s="727">
        <v>43719</v>
      </c>
      <c r="R15" s="711"/>
      <c r="S15" s="712">
        <v>43552</v>
      </c>
      <c r="T15" s="712"/>
      <c r="U15" s="768" t="s">
        <v>3102</v>
      </c>
      <c r="V15" s="712"/>
      <c r="W15" s="712" t="s">
        <v>1992</v>
      </c>
      <c r="X15" s="769"/>
      <c r="Y15" s="712" t="s">
        <v>123</v>
      </c>
      <c r="Z15" s="789"/>
      <c r="AA15" s="789"/>
      <c r="AB15" s="776"/>
      <c r="AC15" s="776">
        <f>H15</f>
        <v>3096</v>
      </c>
      <c r="AD15" s="776"/>
      <c r="AE15" s="790">
        <f t="shared" si="8"/>
        <v>3096</v>
      </c>
      <c r="AF15" s="790"/>
      <c r="AG15" s="790"/>
      <c r="AH15" s="790"/>
      <c r="AI15" s="796">
        <f t="shared" si="7"/>
        <v>3096</v>
      </c>
      <c r="AJ15" s="790"/>
      <c r="AK15" s="790">
        <f t="shared" si="9"/>
        <v>3096</v>
      </c>
      <c r="AL15" s="769"/>
      <c r="AM15" s="699"/>
      <c r="AN15" s="699"/>
      <c r="AO15" s="803"/>
      <c r="AP15" s="692"/>
    </row>
    <row r="16" s="693" customFormat="1" ht="24" customHeight="1" spans="1:42">
      <c r="A16" s="709">
        <v>43690</v>
      </c>
      <c r="B16" s="711" t="s">
        <v>3146</v>
      </c>
      <c r="C16" s="711">
        <v>4500023523</v>
      </c>
      <c r="D16" s="2334" t="s">
        <v>3147</v>
      </c>
      <c r="E16" s="712" t="s">
        <v>3148</v>
      </c>
      <c r="F16" s="711" t="s">
        <v>3117</v>
      </c>
      <c r="G16" s="712" t="s">
        <v>2119</v>
      </c>
      <c r="H16" s="713">
        <v>66000</v>
      </c>
      <c r="I16" s="712">
        <v>0</v>
      </c>
      <c r="J16" s="712">
        <v>12</v>
      </c>
      <c r="K16" s="698">
        <v>5500</v>
      </c>
      <c r="L16" s="712">
        <v>0</v>
      </c>
      <c r="M16" s="725">
        <v>0</v>
      </c>
      <c r="N16" s="727">
        <v>43746</v>
      </c>
      <c r="O16" s="712" t="s">
        <v>3149</v>
      </c>
      <c r="P16" s="712"/>
      <c r="Q16" s="727" t="s">
        <v>3150</v>
      </c>
      <c r="R16" s="711"/>
      <c r="S16" s="712" t="s">
        <v>1427</v>
      </c>
      <c r="T16" s="712"/>
      <c r="U16" s="768" t="s">
        <v>58</v>
      </c>
      <c r="V16" s="712"/>
      <c r="W16" s="712" t="s">
        <v>3119</v>
      </c>
      <c r="X16" s="769"/>
      <c r="Y16" s="712" t="s">
        <v>91</v>
      </c>
      <c r="Z16" s="789"/>
      <c r="AA16" s="789"/>
      <c r="AB16" s="776">
        <v>33000</v>
      </c>
      <c r="AC16" s="776">
        <v>22000</v>
      </c>
      <c r="AD16" s="776">
        <v>11000</v>
      </c>
      <c r="AE16" s="790">
        <v>66000</v>
      </c>
      <c r="AF16" s="790"/>
      <c r="AG16" s="790">
        <v>66000</v>
      </c>
      <c r="AH16" s="790"/>
      <c r="AI16" s="796">
        <v>66000</v>
      </c>
      <c r="AJ16" s="790"/>
      <c r="AK16" s="790"/>
      <c r="AL16" s="769" t="s">
        <v>3151</v>
      </c>
      <c r="AM16" s="699"/>
      <c r="AN16" s="699"/>
      <c r="AO16" s="803"/>
      <c r="AP16" s="692"/>
    </row>
    <row r="17" s="693" customFormat="1" ht="24" customHeight="1" spans="1:42">
      <c r="A17" s="709">
        <v>43690</v>
      </c>
      <c r="B17" s="711" t="s">
        <v>3146</v>
      </c>
      <c r="C17" s="711">
        <v>4500023523</v>
      </c>
      <c r="D17" s="2334" t="s">
        <v>3147</v>
      </c>
      <c r="E17" s="712" t="s">
        <v>3148</v>
      </c>
      <c r="F17" s="711" t="s">
        <v>3117</v>
      </c>
      <c r="G17" s="712" t="s">
        <v>2119</v>
      </c>
      <c r="H17" s="713">
        <v>66000</v>
      </c>
      <c r="I17" s="712">
        <v>0</v>
      </c>
      <c r="J17" s="712">
        <v>12</v>
      </c>
      <c r="K17" s="698">
        <v>5500</v>
      </c>
      <c r="L17" s="712">
        <v>0</v>
      </c>
      <c r="M17" s="725">
        <v>0</v>
      </c>
      <c r="N17" s="727">
        <v>43754</v>
      </c>
      <c r="O17" s="712" t="s">
        <v>3149</v>
      </c>
      <c r="P17" s="712"/>
      <c r="Q17" s="727" t="s">
        <v>3150</v>
      </c>
      <c r="R17" s="711"/>
      <c r="S17" s="712" t="s">
        <v>1427</v>
      </c>
      <c r="T17" s="712"/>
      <c r="U17" s="768" t="s">
        <v>58</v>
      </c>
      <c r="V17" s="712"/>
      <c r="W17" s="712" t="s">
        <v>3119</v>
      </c>
      <c r="X17" s="769"/>
      <c r="Y17" s="712" t="s">
        <v>91</v>
      </c>
      <c r="Z17" s="789"/>
      <c r="AA17" s="789"/>
      <c r="AB17" s="776">
        <v>33000</v>
      </c>
      <c r="AC17" s="776">
        <v>22000</v>
      </c>
      <c r="AD17" s="776">
        <v>11000</v>
      </c>
      <c r="AE17" s="790">
        <v>66000</v>
      </c>
      <c r="AF17" s="790"/>
      <c r="AG17" s="790">
        <v>66000</v>
      </c>
      <c r="AH17" s="790"/>
      <c r="AI17" s="796">
        <v>66000</v>
      </c>
      <c r="AJ17" s="790"/>
      <c r="AK17" s="790"/>
      <c r="AL17" s="769" t="s">
        <v>3151</v>
      </c>
      <c r="AM17" s="699"/>
      <c r="AN17" s="699"/>
      <c r="AO17" s="803"/>
      <c r="AP17" s="692"/>
    </row>
    <row r="18" s="693" customFormat="1" ht="24" customHeight="1" spans="1:42">
      <c r="A18" s="709">
        <v>43690</v>
      </c>
      <c r="B18" s="711" t="s">
        <v>3146</v>
      </c>
      <c r="C18" s="711">
        <v>4500023523</v>
      </c>
      <c r="D18" s="2334" t="s">
        <v>3147</v>
      </c>
      <c r="E18" s="712" t="s">
        <v>3148</v>
      </c>
      <c r="F18" s="711" t="s">
        <v>3117</v>
      </c>
      <c r="G18" s="712" t="s">
        <v>2119</v>
      </c>
      <c r="H18" s="713">
        <v>66000</v>
      </c>
      <c r="I18" s="712">
        <v>0</v>
      </c>
      <c r="J18" s="712">
        <v>12</v>
      </c>
      <c r="K18" s="698">
        <v>5500</v>
      </c>
      <c r="L18" s="712">
        <v>0</v>
      </c>
      <c r="M18" s="725">
        <v>0</v>
      </c>
      <c r="N18" s="727">
        <v>43764</v>
      </c>
      <c r="O18" s="712" t="s">
        <v>3149</v>
      </c>
      <c r="P18" s="712"/>
      <c r="Q18" s="727" t="s">
        <v>3150</v>
      </c>
      <c r="R18" s="711"/>
      <c r="S18" s="712" t="s">
        <v>1427</v>
      </c>
      <c r="T18" s="712"/>
      <c r="U18" s="768" t="s">
        <v>58</v>
      </c>
      <c r="V18" s="712"/>
      <c r="W18" s="712" t="s">
        <v>3119</v>
      </c>
      <c r="X18" s="769"/>
      <c r="Y18" s="712" t="s">
        <v>91</v>
      </c>
      <c r="Z18" s="789"/>
      <c r="AA18" s="789"/>
      <c r="AB18" s="776">
        <v>33000</v>
      </c>
      <c r="AC18" s="776">
        <v>22000</v>
      </c>
      <c r="AD18" s="776">
        <v>11000</v>
      </c>
      <c r="AE18" s="790">
        <v>66000</v>
      </c>
      <c r="AF18" s="790"/>
      <c r="AG18" s="790">
        <v>66000</v>
      </c>
      <c r="AH18" s="790"/>
      <c r="AI18" s="796">
        <v>66000</v>
      </c>
      <c r="AJ18" s="790"/>
      <c r="AK18" s="790"/>
      <c r="AL18" s="769" t="s">
        <v>3151</v>
      </c>
      <c r="AM18" s="699"/>
      <c r="AN18" s="699"/>
      <c r="AO18" s="803"/>
      <c r="AP18" s="692"/>
    </row>
    <row r="19" s="693" customFormat="1" ht="24" customHeight="1" spans="1:42">
      <c r="A19" s="709">
        <v>43692</v>
      </c>
      <c r="B19" s="711" t="s">
        <v>3152</v>
      </c>
      <c r="C19" s="711">
        <v>4500023601</v>
      </c>
      <c r="D19" s="712" t="s">
        <v>3153</v>
      </c>
      <c r="E19" s="712" t="s">
        <v>3154</v>
      </c>
      <c r="F19" s="711" t="s">
        <v>3117</v>
      </c>
      <c r="G19" s="712" t="s">
        <v>2119</v>
      </c>
      <c r="H19" s="713">
        <v>5004</v>
      </c>
      <c r="I19" s="712">
        <v>0</v>
      </c>
      <c r="J19" s="712">
        <v>12</v>
      </c>
      <c r="K19" s="698">
        <f t="shared" ref="K19:K34" si="10">H19/J19</f>
        <v>417</v>
      </c>
      <c r="L19" s="712">
        <v>2.4932</v>
      </c>
      <c r="M19" s="725">
        <f t="shared" ref="M19:M33" si="11">L19*H19</f>
        <v>12475.9728</v>
      </c>
      <c r="N19" s="727">
        <v>43729</v>
      </c>
      <c r="O19" s="712" t="s">
        <v>3155</v>
      </c>
      <c r="P19" s="712"/>
      <c r="Q19" s="727">
        <v>43720</v>
      </c>
      <c r="R19" s="711"/>
      <c r="S19" s="712" t="s">
        <v>1427</v>
      </c>
      <c r="T19" s="712"/>
      <c r="U19" s="768" t="s">
        <v>58</v>
      </c>
      <c r="V19" s="712"/>
      <c r="W19" s="712" t="s">
        <v>3119</v>
      </c>
      <c r="X19" s="769"/>
      <c r="Y19" s="712" t="s">
        <v>91</v>
      </c>
      <c r="Z19" s="789"/>
      <c r="AA19" s="789"/>
      <c r="AB19" s="776">
        <f t="shared" ref="AB19:AB23" si="12">H19/12*6</f>
        <v>2502</v>
      </c>
      <c r="AC19" s="776">
        <f t="shared" ref="AC19:AC23" si="13">H19/12*4</f>
        <v>1668</v>
      </c>
      <c r="AD19" s="776">
        <f t="shared" ref="AD19:AD23" si="14">H19/12*2</f>
        <v>834</v>
      </c>
      <c r="AE19" s="790">
        <f t="shared" ref="AE19:AE28" si="15">H19</f>
        <v>5004</v>
      </c>
      <c r="AF19" s="790"/>
      <c r="AG19" s="790">
        <f t="shared" ref="AG19:AG24" si="16">H19</f>
        <v>5004</v>
      </c>
      <c r="AH19" s="790"/>
      <c r="AI19" s="796">
        <f t="shared" ref="AI19:AI24" si="17">H19</f>
        <v>5004</v>
      </c>
      <c r="AJ19" s="790"/>
      <c r="AK19" s="790"/>
      <c r="AL19" s="769" t="s">
        <v>3156</v>
      </c>
      <c r="AM19" s="699"/>
      <c r="AN19" s="699"/>
      <c r="AO19" s="803"/>
      <c r="AP19" s="692"/>
    </row>
    <row r="20" s="693" customFormat="1" ht="24" customHeight="1" spans="1:42">
      <c r="A20" s="709">
        <v>43700</v>
      </c>
      <c r="B20" s="711" t="s">
        <v>3157</v>
      </c>
      <c r="C20" s="694">
        <v>4500023893</v>
      </c>
      <c r="D20" s="711"/>
      <c r="E20" s="712" t="s">
        <v>3158</v>
      </c>
      <c r="F20" s="711" t="s">
        <v>3117</v>
      </c>
      <c r="G20" s="712" t="s">
        <v>2119</v>
      </c>
      <c r="H20" s="713">
        <v>3000</v>
      </c>
      <c r="I20" s="712">
        <v>0</v>
      </c>
      <c r="J20" s="712">
        <v>12</v>
      </c>
      <c r="K20" s="698">
        <f t="shared" si="10"/>
        <v>250</v>
      </c>
      <c r="L20" s="728">
        <v>2.5672</v>
      </c>
      <c r="M20" s="725">
        <f t="shared" si="11"/>
        <v>7701.6</v>
      </c>
      <c r="N20" s="727">
        <v>43729</v>
      </c>
      <c r="O20" s="717" t="s">
        <v>3159</v>
      </c>
      <c r="P20" s="729"/>
      <c r="Q20" s="727">
        <v>43731</v>
      </c>
      <c r="R20" s="770"/>
      <c r="S20" s="768">
        <v>43700</v>
      </c>
      <c r="T20" s="744"/>
      <c r="U20" s="744" t="s">
        <v>1427</v>
      </c>
      <c r="V20" s="712"/>
      <c r="W20" s="712" t="s">
        <v>3160</v>
      </c>
      <c r="X20" s="769"/>
      <c r="Y20" s="712" t="s">
        <v>819</v>
      </c>
      <c r="Z20" s="712"/>
      <c r="AA20" s="712"/>
      <c r="AB20" s="776">
        <f t="shared" si="12"/>
        <v>1500</v>
      </c>
      <c r="AC20" s="776">
        <f t="shared" si="13"/>
        <v>1000</v>
      </c>
      <c r="AD20" s="776">
        <f t="shared" si="14"/>
        <v>500</v>
      </c>
      <c r="AE20" s="790"/>
      <c r="AF20" s="790">
        <f>H20</f>
        <v>3000</v>
      </c>
      <c r="AG20" s="790"/>
      <c r="AH20" s="790">
        <f t="shared" ref="AH20:AH25" si="18">H20</f>
        <v>3000</v>
      </c>
      <c r="AI20" s="790">
        <f t="shared" si="17"/>
        <v>3000</v>
      </c>
      <c r="AJ20" s="776"/>
      <c r="AK20" s="776"/>
      <c r="AL20" s="716" t="s">
        <v>3161</v>
      </c>
      <c r="AM20" s="699"/>
      <c r="AN20" s="699"/>
      <c r="AO20" s="803"/>
      <c r="AP20" s="692"/>
    </row>
    <row r="21" s="693" customFormat="1" ht="24" customHeight="1" spans="1:42">
      <c r="A21" s="709">
        <v>43659</v>
      </c>
      <c r="B21" s="711" t="s">
        <v>508</v>
      </c>
      <c r="C21" s="694">
        <v>4500022494</v>
      </c>
      <c r="D21" s="711"/>
      <c r="E21" s="712" t="s">
        <v>633</v>
      </c>
      <c r="F21" s="711" t="s">
        <v>3117</v>
      </c>
      <c r="G21" s="712" t="s">
        <v>2119</v>
      </c>
      <c r="H21" s="713">
        <v>3000</v>
      </c>
      <c r="I21" s="712">
        <v>0</v>
      </c>
      <c r="J21" s="712">
        <v>12</v>
      </c>
      <c r="K21" s="698">
        <v>250</v>
      </c>
      <c r="L21" s="728">
        <v>2.5354</v>
      </c>
      <c r="M21" s="725">
        <v>7606.2</v>
      </c>
      <c r="N21" s="727">
        <v>43748</v>
      </c>
      <c r="O21" s="717" t="s">
        <v>3162</v>
      </c>
      <c r="P21" s="729"/>
      <c r="Q21" s="727">
        <v>43750</v>
      </c>
      <c r="R21" s="770"/>
      <c r="S21" s="768" t="s">
        <v>1427</v>
      </c>
      <c r="T21" s="744"/>
      <c r="U21" s="744" t="s">
        <v>1427</v>
      </c>
      <c r="V21" s="712"/>
      <c r="W21" s="712" t="s">
        <v>3119</v>
      </c>
      <c r="X21" s="769"/>
      <c r="Y21" s="712" t="s">
        <v>634</v>
      </c>
      <c r="Z21" s="712"/>
      <c r="AA21" s="712"/>
      <c r="AB21" s="776">
        <v>1000</v>
      </c>
      <c r="AC21" s="776">
        <v>1000</v>
      </c>
      <c r="AD21" s="776">
        <v>1000</v>
      </c>
      <c r="AE21" s="790">
        <v>3000</v>
      </c>
      <c r="AF21" s="790"/>
      <c r="AG21" s="790">
        <v>3000</v>
      </c>
      <c r="AH21" s="790"/>
      <c r="AI21" s="790">
        <v>3000</v>
      </c>
      <c r="AJ21" s="776"/>
      <c r="AK21" s="776"/>
      <c r="AL21" s="716" t="s">
        <v>3163</v>
      </c>
      <c r="AM21" s="699"/>
      <c r="AN21" s="699"/>
      <c r="AO21" s="803"/>
      <c r="AP21" s="692"/>
    </row>
    <row r="22" s="693" customFormat="1" ht="24" customHeight="1" spans="1:42">
      <c r="A22" s="714">
        <v>43692</v>
      </c>
      <c r="B22" s="715" t="s">
        <v>3152</v>
      </c>
      <c r="C22" s="715">
        <v>4500023601</v>
      </c>
      <c r="D22" s="716" t="s">
        <v>3153</v>
      </c>
      <c r="E22" s="716" t="s">
        <v>3154</v>
      </c>
      <c r="F22" s="711" t="s">
        <v>3117</v>
      </c>
      <c r="G22" s="712" t="s">
        <v>2119</v>
      </c>
      <c r="H22" s="713">
        <v>0</v>
      </c>
      <c r="I22" s="712">
        <v>0</v>
      </c>
      <c r="J22" s="712"/>
      <c r="K22" s="698">
        <v>0</v>
      </c>
      <c r="L22" s="728">
        <v>0</v>
      </c>
      <c r="M22" s="725">
        <f t="shared" si="11"/>
        <v>0</v>
      </c>
      <c r="N22" s="727">
        <v>43729</v>
      </c>
      <c r="O22" s="717" t="s">
        <v>3155</v>
      </c>
      <c r="P22" s="729"/>
      <c r="Q22" s="727">
        <v>43720</v>
      </c>
      <c r="R22" s="770"/>
      <c r="S22" s="768" t="s">
        <v>1427</v>
      </c>
      <c r="T22" s="744"/>
      <c r="U22" s="744" t="s">
        <v>58</v>
      </c>
      <c r="V22" s="712"/>
      <c r="W22" s="712" t="s">
        <v>3119</v>
      </c>
      <c r="X22" s="769"/>
      <c r="Y22" s="712" t="s">
        <v>91</v>
      </c>
      <c r="Z22" s="712"/>
      <c r="AA22" s="712"/>
      <c r="AB22" s="776">
        <f t="shared" si="12"/>
        <v>0</v>
      </c>
      <c r="AC22" s="776">
        <f t="shared" si="13"/>
        <v>0</v>
      </c>
      <c r="AD22" s="776">
        <f t="shared" si="14"/>
        <v>0</v>
      </c>
      <c r="AE22" s="790">
        <f t="shared" si="15"/>
        <v>0</v>
      </c>
      <c r="AF22" s="790"/>
      <c r="AG22" s="790">
        <f t="shared" si="16"/>
        <v>0</v>
      </c>
      <c r="AH22" s="790"/>
      <c r="AI22" s="790">
        <f t="shared" si="17"/>
        <v>0</v>
      </c>
      <c r="AJ22" s="790"/>
      <c r="AK22" s="790"/>
      <c r="AL22" s="769" t="s">
        <v>3156</v>
      </c>
      <c r="AM22" s="699"/>
      <c r="AN22" s="699"/>
      <c r="AO22" s="803"/>
      <c r="AP22" s="692"/>
    </row>
    <row r="23" s="693" customFormat="1" ht="24" customHeight="1" spans="1:42">
      <c r="A23" s="709">
        <v>43700</v>
      </c>
      <c r="B23" s="711" t="s">
        <v>3157</v>
      </c>
      <c r="C23" s="694">
        <v>4500023893</v>
      </c>
      <c r="D23" s="711"/>
      <c r="E23" s="712" t="s">
        <v>3158</v>
      </c>
      <c r="F23" s="711" t="s">
        <v>3117</v>
      </c>
      <c r="G23" s="712" t="s">
        <v>2119</v>
      </c>
      <c r="H23" s="713">
        <v>0</v>
      </c>
      <c r="I23" s="712">
        <v>0</v>
      </c>
      <c r="J23" s="712">
        <v>12</v>
      </c>
      <c r="K23" s="698">
        <f t="shared" si="10"/>
        <v>0</v>
      </c>
      <c r="L23" s="728">
        <v>2.5672</v>
      </c>
      <c r="M23" s="725">
        <f t="shared" si="11"/>
        <v>0</v>
      </c>
      <c r="N23" s="727">
        <v>43729</v>
      </c>
      <c r="O23" s="717" t="s">
        <v>3159</v>
      </c>
      <c r="P23" s="729"/>
      <c r="Q23" s="727">
        <v>43731</v>
      </c>
      <c r="R23" s="770"/>
      <c r="S23" s="768">
        <v>43700</v>
      </c>
      <c r="T23" s="744"/>
      <c r="U23" s="744" t="s">
        <v>1427</v>
      </c>
      <c r="V23" s="712"/>
      <c r="W23" s="712" t="s">
        <v>3160</v>
      </c>
      <c r="X23" s="769"/>
      <c r="Y23" s="712" t="s">
        <v>819</v>
      </c>
      <c r="Z23" s="712"/>
      <c r="AA23" s="712"/>
      <c r="AB23" s="776">
        <f t="shared" si="12"/>
        <v>0</v>
      </c>
      <c r="AC23" s="776">
        <f t="shared" si="13"/>
        <v>0</v>
      </c>
      <c r="AD23" s="776">
        <f t="shared" si="14"/>
        <v>0</v>
      </c>
      <c r="AE23" s="790"/>
      <c r="AF23" s="790">
        <f>H23</f>
        <v>0</v>
      </c>
      <c r="AG23" s="790"/>
      <c r="AH23" s="790">
        <f t="shared" si="18"/>
        <v>0</v>
      </c>
      <c r="AI23" s="790">
        <f t="shared" si="17"/>
        <v>0</v>
      </c>
      <c r="AJ23" s="776"/>
      <c r="AK23" s="776"/>
      <c r="AL23" s="716" t="s">
        <v>3161</v>
      </c>
      <c r="AM23" s="699"/>
      <c r="AN23" s="699"/>
      <c r="AO23" s="803"/>
      <c r="AP23" s="692"/>
    </row>
    <row r="24" s="693" customFormat="1" ht="24" customHeight="1" spans="1:42">
      <c r="A24" s="709">
        <v>43659</v>
      </c>
      <c r="B24" s="711" t="s">
        <v>508</v>
      </c>
      <c r="C24" s="711">
        <v>4500022494</v>
      </c>
      <c r="D24" s="712"/>
      <c r="E24" s="717" t="s">
        <v>633</v>
      </c>
      <c r="F24" s="711" t="s">
        <v>3117</v>
      </c>
      <c r="G24" s="712" t="s">
        <v>2119</v>
      </c>
      <c r="H24" s="713">
        <v>3000</v>
      </c>
      <c r="I24" s="712">
        <v>0</v>
      </c>
      <c r="J24" s="712">
        <v>12</v>
      </c>
      <c r="K24" s="698">
        <f t="shared" si="10"/>
        <v>250</v>
      </c>
      <c r="L24" s="728">
        <v>2.5354</v>
      </c>
      <c r="M24" s="725">
        <f t="shared" si="11"/>
        <v>7606.2</v>
      </c>
      <c r="N24" s="727">
        <v>43748</v>
      </c>
      <c r="O24" s="717" t="s">
        <v>3162</v>
      </c>
      <c r="P24" s="729"/>
      <c r="Q24" s="727">
        <v>43750</v>
      </c>
      <c r="R24" s="770"/>
      <c r="S24" s="712" t="s">
        <v>1427</v>
      </c>
      <c r="T24" s="744"/>
      <c r="U24" s="744" t="s">
        <v>1427</v>
      </c>
      <c r="V24" s="712"/>
      <c r="W24" s="712" t="s">
        <v>3119</v>
      </c>
      <c r="X24" s="769"/>
      <c r="Y24" s="712" t="s">
        <v>634</v>
      </c>
      <c r="Z24" s="789"/>
      <c r="AA24" s="789"/>
      <c r="AB24" s="776">
        <f>H24/3</f>
        <v>1000</v>
      </c>
      <c r="AC24" s="776">
        <f>H24/3</f>
        <v>1000</v>
      </c>
      <c r="AD24" s="776">
        <f>H24/3</f>
        <v>1000</v>
      </c>
      <c r="AE24" s="790">
        <f t="shared" si="15"/>
        <v>3000</v>
      </c>
      <c r="AF24" s="713"/>
      <c r="AG24" s="790">
        <f t="shared" si="16"/>
        <v>3000</v>
      </c>
      <c r="AH24" s="790"/>
      <c r="AI24" s="796">
        <f t="shared" si="17"/>
        <v>3000</v>
      </c>
      <c r="AJ24" s="790"/>
      <c r="AK24" s="790"/>
      <c r="AL24" s="769" t="s">
        <v>3163</v>
      </c>
      <c r="AM24" s="699"/>
      <c r="AN24" s="699"/>
      <c r="AO24" s="803"/>
      <c r="AP24" s="692"/>
    </row>
    <row r="25" s="693" customFormat="1" ht="24" customHeight="1" spans="1:42">
      <c r="A25" s="709">
        <v>43678</v>
      </c>
      <c r="B25" s="711" t="s">
        <v>3152</v>
      </c>
      <c r="C25" s="711">
        <v>4500022847</v>
      </c>
      <c r="D25" s="712" t="s">
        <v>3164</v>
      </c>
      <c r="E25" s="712" t="s">
        <v>3165</v>
      </c>
      <c r="F25" s="711" t="s">
        <v>3140</v>
      </c>
      <c r="G25" s="712" t="s">
        <v>3141</v>
      </c>
      <c r="H25" s="713">
        <v>2508</v>
      </c>
      <c r="I25" s="712">
        <v>0</v>
      </c>
      <c r="J25" s="712">
        <v>12</v>
      </c>
      <c r="K25" s="698">
        <f t="shared" si="10"/>
        <v>209</v>
      </c>
      <c r="L25" s="728">
        <v>2.5357</v>
      </c>
      <c r="M25" s="725">
        <f t="shared" si="11"/>
        <v>6359.5356</v>
      </c>
      <c r="N25" s="727">
        <v>43733</v>
      </c>
      <c r="O25" s="717" t="s">
        <v>3166</v>
      </c>
      <c r="P25" s="729"/>
      <c r="Q25" s="727">
        <v>43735</v>
      </c>
      <c r="R25" s="770"/>
      <c r="S25" s="712" t="s">
        <v>3112</v>
      </c>
      <c r="T25" s="744"/>
      <c r="U25" s="744" t="s">
        <v>3167</v>
      </c>
      <c r="V25" s="712"/>
      <c r="W25" s="712" t="s">
        <v>3119</v>
      </c>
      <c r="X25" s="769"/>
      <c r="Y25" s="712" t="s">
        <v>91</v>
      </c>
      <c r="Z25" s="712"/>
      <c r="AA25" s="712"/>
      <c r="AB25" s="776">
        <f>H25</f>
        <v>2508</v>
      </c>
      <c r="AC25" s="776"/>
      <c r="AD25" s="776"/>
      <c r="AE25" s="790">
        <f t="shared" si="15"/>
        <v>2508</v>
      </c>
      <c r="AF25" s="790"/>
      <c r="AG25" s="711"/>
      <c r="AH25" s="790">
        <f t="shared" si="18"/>
        <v>2508</v>
      </c>
      <c r="AI25" s="790"/>
      <c r="AJ25" s="790">
        <f>H25</f>
        <v>2508</v>
      </c>
      <c r="AK25" s="790"/>
      <c r="AL25" s="790"/>
      <c r="AM25" s="769" t="s">
        <v>3168</v>
      </c>
      <c r="AN25" s="699"/>
      <c r="AO25" s="699"/>
      <c r="AP25" s="803"/>
    </row>
    <row r="26" s="693" customFormat="1" ht="24" customHeight="1" spans="1:42">
      <c r="A26" s="709">
        <v>43720</v>
      </c>
      <c r="B26" s="711" t="s">
        <v>3152</v>
      </c>
      <c r="C26" s="711">
        <v>4500024558</v>
      </c>
      <c r="D26" s="712" t="s">
        <v>3164</v>
      </c>
      <c r="E26" s="712" t="s">
        <v>3165</v>
      </c>
      <c r="F26" s="711" t="s">
        <v>3140</v>
      </c>
      <c r="G26" s="712" t="s">
        <v>3141</v>
      </c>
      <c r="H26" s="713">
        <v>7500</v>
      </c>
      <c r="I26" s="712">
        <v>0</v>
      </c>
      <c r="J26" s="712">
        <v>12</v>
      </c>
      <c r="K26" s="698">
        <f t="shared" si="10"/>
        <v>625</v>
      </c>
      <c r="L26" s="728">
        <v>2.4692</v>
      </c>
      <c r="M26" s="725">
        <f t="shared" si="11"/>
        <v>18519</v>
      </c>
      <c r="N26" s="727">
        <v>43769</v>
      </c>
      <c r="O26" s="730" t="s">
        <v>3169</v>
      </c>
      <c r="P26" s="731"/>
      <c r="Q26" s="727">
        <v>43770</v>
      </c>
      <c r="R26" s="770"/>
      <c r="S26" s="712" t="s">
        <v>3112</v>
      </c>
      <c r="T26" s="744"/>
      <c r="U26" s="744" t="s">
        <v>3170</v>
      </c>
      <c r="V26" s="712"/>
      <c r="W26" s="712" t="s">
        <v>3119</v>
      </c>
      <c r="X26" s="769"/>
      <c r="Y26" s="712" t="s">
        <v>91</v>
      </c>
      <c r="Z26" s="712"/>
      <c r="AA26" s="712"/>
      <c r="AB26" s="776">
        <f>H26</f>
        <v>7500</v>
      </c>
      <c r="AC26" s="776"/>
      <c r="AD26" s="776"/>
      <c r="AE26" s="790">
        <f t="shared" si="15"/>
        <v>7500</v>
      </c>
      <c r="AF26" s="790"/>
      <c r="AG26" s="711"/>
      <c r="AH26" s="790"/>
      <c r="AI26" s="790">
        <f t="shared" ref="AI26:AI28" si="19">H26</f>
        <v>7500</v>
      </c>
      <c r="AJ26" s="790"/>
      <c r="AK26" s="790"/>
      <c r="AL26" s="790"/>
      <c r="AM26" s="769">
        <f t="shared" ref="AM26:AM28" si="20">H26</f>
        <v>7500</v>
      </c>
      <c r="AN26" s="699"/>
      <c r="AO26" s="699"/>
      <c r="AP26" s="804" t="s">
        <v>3171</v>
      </c>
    </row>
    <row r="27" s="693" customFormat="1" ht="24" customHeight="1" spans="1:42">
      <c r="A27" s="709">
        <v>43720</v>
      </c>
      <c r="B27" s="711" t="s">
        <v>3152</v>
      </c>
      <c r="C27" s="711">
        <v>4500024558</v>
      </c>
      <c r="D27" s="712" t="s">
        <v>3164</v>
      </c>
      <c r="E27" s="712" t="s">
        <v>3165</v>
      </c>
      <c r="F27" s="711" t="s">
        <v>3144</v>
      </c>
      <c r="G27" s="712" t="s">
        <v>2042</v>
      </c>
      <c r="H27" s="713">
        <v>5508</v>
      </c>
      <c r="I27" s="712">
        <v>0</v>
      </c>
      <c r="J27" s="712">
        <v>12</v>
      </c>
      <c r="K27" s="698">
        <f t="shared" si="10"/>
        <v>459</v>
      </c>
      <c r="L27" s="728">
        <v>2.4692</v>
      </c>
      <c r="M27" s="725">
        <f t="shared" si="11"/>
        <v>13600.3536</v>
      </c>
      <c r="N27" s="727">
        <v>43769</v>
      </c>
      <c r="O27" s="732"/>
      <c r="P27" s="733"/>
      <c r="Q27" s="727">
        <v>43770</v>
      </c>
      <c r="R27" s="770"/>
      <c r="S27" s="712" t="s">
        <v>3112</v>
      </c>
      <c r="T27" s="744"/>
      <c r="U27" s="744" t="s">
        <v>3170</v>
      </c>
      <c r="V27" s="712"/>
      <c r="W27" s="712" t="s">
        <v>3119</v>
      </c>
      <c r="X27" s="769"/>
      <c r="Y27" s="712" t="s">
        <v>91</v>
      </c>
      <c r="Z27" s="712"/>
      <c r="AA27" s="712"/>
      <c r="AB27" s="776"/>
      <c r="AC27" s="776"/>
      <c r="AD27" s="776">
        <f>H27</f>
        <v>5508</v>
      </c>
      <c r="AE27" s="790">
        <f t="shared" si="15"/>
        <v>5508</v>
      </c>
      <c r="AF27" s="790"/>
      <c r="AG27" s="711"/>
      <c r="AH27" s="790"/>
      <c r="AI27" s="790">
        <f t="shared" si="19"/>
        <v>5508</v>
      </c>
      <c r="AJ27" s="790"/>
      <c r="AK27" s="790"/>
      <c r="AL27" s="790"/>
      <c r="AM27" s="769">
        <f t="shared" si="20"/>
        <v>5508</v>
      </c>
      <c r="AN27" s="699"/>
      <c r="AO27" s="699"/>
      <c r="AP27" s="803"/>
    </row>
    <row r="28" s="693" customFormat="1" ht="24" customHeight="1" spans="1:42">
      <c r="A28" s="709">
        <v>43720</v>
      </c>
      <c r="B28" s="711" t="s">
        <v>3152</v>
      </c>
      <c r="C28" s="711">
        <v>4500024558</v>
      </c>
      <c r="D28" s="712" t="s">
        <v>3164</v>
      </c>
      <c r="E28" s="712" t="s">
        <v>3165</v>
      </c>
      <c r="F28" s="711" t="s">
        <v>3145</v>
      </c>
      <c r="G28" s="712" t="s">
        <v>2063</v>
      </c>
      <c r="H28" s="713">
        <v>5508</v>
      </c>
      <c r="I28" s="712">
        <v>0</v>
      </c>
      <c r="J28" s="712">
        <v>12</v>
      </c>
      <c r="K28" s="698">
        <f t="shared" si="10"/>
        <v>459</v>
      </c>
      <c r="L28" s="728">
        <v>2.4692</v>
      </c>
      <c r="M28" s="725">
        <f t="shared" si="11"/>
        <v>13600.3536</v>
      </c>
      <c r="N28" s="727">
        <v>43769</v>
      </c>
      <c r="O28" s="734"/>
      <c r="P28" s="735"/>
      <c r="Q28" s="727">
        <v>43770</v>
      </c>
      <c r="R28" s="770"/>
      <c r="S28" s="712" t="s">
        <v>3112</v>
      </c>
      <c r="T28" s="744"/>
      <c r="U28" s="744" t="s">
        <v>3170</v>
      </c>
      <c r="V28" s="712"/>
      <c r="W28" s="712" t="s">
        <v>3119</v>
      </c>
      <c r="X28" s="769"/>
      <c r="Y28" s="712" t="s">
        <v>91</v>
      </c>
      <c r="Z28" s="712"/>
      <c r="AA28" s="712"/>
      <c r="AB28" s="776"/>
      <c r="AC28" s="776">
        <f>H28</f>
        <v>5508</v>
      </c>
      <c r="AD28" s="776"/>
      <c r="AE28" s="790">
        <f t="shared" si="15"/>
        <v>5508</v>
      </c>
      <c r="AF28" s="790"/>
      <c r="AG28" s="711"/>
      <c r="AH28" s="790"/>
      <c r="AI28" s="790">
        <f t="shared" si="19"/>
        <v>5508</v>
      </c>
      <c r="AJ28" s="790"/>
      <c r="AK28" s="790"/>
      <c r="AL28" s="790"/>
      <c r="AM28" s="769">
        <f t="shared" si="20"/>
        <v>5508</v>
      </c>
      <c r="AN28" s="699"/>
      <c r="AO28" s="699"/>
      <c r="AP28" s="803"/>
    </row>
    <row r="29" s="693" customFormat="1" ht="24" customHeight="1" spans="1:42">
      <c r="A29" s="709">
        <v>43752</v>
      </c>
      <c r="B29" s="711" t="s">
        <v>3132</v>
      </c>
      <c r="C29" s="711">
        <v>4500025668</v>
      </c>
      <c r="D29" s="712">
        <v>25518</v>
      </c>
      <c r="E29" s="712" t="s">
        <v>3133</v>
      </c>
      <c r="F29" s="711" t="s">
        <v>3117</v>
      </c>
      <c r="G29" s="712" t="s">
        <v>2119</v>
      </c>
      <c r="H29" s="713">
        <v>3600</v>
      </c>
      <c r="I29" s="712">
        <v>0</v>
      </c>
      <c r="J29" s="712">
        <v>12</v>
      </c>
      <c r="K29" s="698">
        <f t="shared" si="10"/>
        <v>300</v>
      </c>
      <c r="L29" s="728">
        <v>2.5295</v>
      </c>
      <c r="M29" s="725">
        <f t="shared" si="11"/>
        <v>9106.2</v>
      </c>
      <c r="N29" s="727">
        <v>43782</v>
      </c>
      <c r="O29" s="734" t="s">
        <v>3172</v>
      </c>
      <c r="P29" s="735"/>
      <c r="Q29" s="727">
        <v>43784</v>
      </c>
      <c r="R29" s="770"/>
      <c r="S29" s="712" t="s">
        <v>1427</v>
      </c>
      <c r="T29" s="744"/>
      <c r="U29" s="744" t="s">
        <v>58</v>
      </c>
      <c r="V29" s="712"/>
      <c r="W29" s="712" t="s">
        <v>3173</v>
      </c>
      <c r="X29" s="769"/>
      <c r="Y29" s="712" t="s">
        <v>91</v>
      </c>
      <c r="Z29" s="712"/>
      <c r="AA29" s="712"/>
      <c r="AB29" s="776">
        <f t="shared" ref="AB29:AB32" si="21">H29/3</f>
        <v>1200</v>
      </c>
      <c r="AC29" s="776">
        <f t="shared" ref="AC29:AC32" si="22">H29/3</f>
        <v>1200</v>
      </c>
      <c r="AD29" s="776">
        <f t="shared" ref="AD29:AD32" si="23">H29/3</f>
        <v>1200</v>
      </c>
      <c r="AE29" s="790"/>
      <c r="AF29" s="790">
        <f t="shared" ref="AF29:AF32" si="24">H29</f>
        <v>3600</v>
      </c>
      <c r="AG29" s="711"/>
      <c r="AH29" s="790"/>
      <c r="AI29" s="790"/>
      <c r="AJ29" s="790">
        <f t="shared" ref="AJ29:AJ32" si="25">H29</f>
        <v>3600</v>
      </c>
      <c r="AK29" s="790"/>
      <c r="AL29" s="790"/>
      <c r="AM29" s="769"/>
      <c r="AN29" s="699"/>
      <c r="AO29" s="699"/>
      <c r="AP29" s="804" t="s">
        <v>3174</v>
      </c>
    </row>
    <row r="30" s="693" customFormat="1" ht="24" customHeight="1" spans="1:42">
      <c r="A30" s="709">
        <v>43720</v>
      </c>
      <c r="B30" s="711" t="s">
        <v>3132</v>
      </c>
      <c r="C30" s="711">
        <v>4500024573</v>
      </c>
      <c r="D30" s="712">
        <v>25404</v>
      </c>
      <c r="E30" s="712" t="s">
        <v>3133</v>
      </c>
      <c r="F30" s="711" t="s">
        <v>3117</v>
      </c>
      <c r="G30" s="712" t="s">
        <v>2119</v>
      </c>
      <c r="H30" s="713">
        <v>6852</v>
      </c>
      <c r="I30" s="712">
        <v>0</v>
      </c>
      <c r="J30" s="712">
        <v>12</v>
      </c>
      <c r="K30" s="698">
        <f t="shared" si="10"/>
        <v>571</v>
      </c>
      <c r="L30" s="728">
        <v>0</v>
      </c>
      <c r="M30" s="728">
        <f t="shared" si="11"/>
        <v>0</v>
      </c>
      <c r="N30" s="736" t="s">
        <v>3175</v>
      </c>
      <c r="O30" s="712" t="s">
        <v>56</v>
      </c>
      <c r="P30" s="737"/>
      <c r="Q30" s="759">
        <v>43766</v>
      </c>
      <c r="R30" s="737">
        <v>43768</v>
      </c>
      <c r="S30" s="694">
        <v>43720</v>
      </c>
      <c r="T30" s="694"/>
      <c r="U30" s="705" t="s">
        <v>58</v>
      </c>
      <c r="V30" s="698"/>
      <c r="W30" s="698" t="s">
        <v>3176</v>
      </c>
      <c r="X30" s="698"/>
      <c r="Y30" s="530" t="s">
        <v>91</v>
      </c>
      <c r="Z30" s="694"/>
      <c r="AA30" s="698"/>
      <c r="AB30" s="698">
        <f t="shared" si="21"/>
        <v>2284</v>
      </c>
      <c r="AC30" s="698">
        <f t="shared" si="22"/>
        <v>2284</v>
      </c>
      <c r="AD30" s="698">
        <f t="shared" si="23"/>
        <v>2284</v>
      </c>
      <c r="AE30" s="698">
        <f>H30</f>
        <v>6852</v>
      </c>
      <c r="AF30" s="698"/>
      <c r="AG30" s="698"/>
      <c r="AH30" s="698"/>
      <c r="AI30" s="694">
        <f>H30</f>
        <v>6852</v>
      </c>
      <c r="AJ30" s="694"/>
      <c r="AK30" s="694"/>
      <c r="AL30" s="694"/>
      <c r="AM30" s="692">
        <f>H30</f>
        <v>6852</v>
      </c>
      <c r="AN30" s="797"/>
      <c r="AO30" s="692"/>
      <c r="AP30" s="802" t="s">
        <v>3177</v>
      </c>
    </row>
    <row r="31" s="693" customFormat="1" ht="24" customHeight="1" spans="1:42">
      <c r="A31" s="709">
        <v>43742</v>
      </c>
      <c r="B31" s="711" t="s">
        <v>3132</v>
      </c>
      <c r="C31" s="711">
        <v>4500025383</v>
      </c>
      <c r="D31" s="712" t="s">
        <v>3178</v>
      </c>
      <c r="E31" s="712" t="s">
        <v>2146</v>
      </c>
      <c r="F31" s="711" t="s">
        <v>3123</v>
      </c>
      <c r="G31" s="712" t="s">
        <v>2119</v>
      </c>
      <c r="H31" s="713">
        <v>4002</v>
      </c>
      <c r="I31" s="712">
        <v>0</v>
      </c>
      <c r="J31" s="712">
        <v>6</v>
      </c>
      <c r="K31" s="698">
        <f t="shared" si="10"/>
        <v>667</v>
      </c>
      <c r="L31" s="728">
        <v>2.5282</v>
      </c>
      <c r="M31" s="728">
        <f t="shared" si="11"/>
        <v>10117.8564</v>
      </c>
      <c r="N31" s="736">
        <v>43876</v>
      </c>
      <c r="O31" s="712" t="s">
        <v>3179</v>
      </c>
      <c r="P31" s="737"/>
      <c r="Q31" s="759">
        <v>43878</v>
      </c>
      <c r="R31" s="737"/>
      <c r="S31" s="705" t="s">
        <v>1427</v>
      </c>
      <c r="T31" s="694"/>
      <c r="U31" s="705" t="s">
        <v>1427</v>
      </c>
      <c r="V31" s="698"/>
      <c r="W31" s="698" t="s">
        <v>3180</v>
      </c>
      <c r="X31" s="698"/>
      <c r="Y31" s="530" t="s">
        <v>91</v>
      </c>
      <c r="Z31" s="694"/>
      <c r="AA31" s="698"/>
      <c r="AB31" s="698">
        <f t="shared" si="21"/>
        <v>1334</v>
      </c>
      <c r="AC31" s="698">
        <f t="shared" si="22"/>
        <v>1334</v>
      </c>
      <c r="AD31" s="698">
        <f t="shared" si="23"/>
        <v>1334</v>
      </c>
      <c r="AE31" s="698"/>
      <c r="AF31" s="698">
        <f t="shared" si="24"/>
        <v>4002</v>
      </c>
      <c r="AG31" s="698"/>
      <c r="AH31" s="698"/>
      <c r="AI31" s="694"/>
      <c r="AJ31" s="694">
        <f t="shared" si="25"/>
        <v>4002</v>
      </c>
      <c r="AK31" s="694"/>
      <c r="AL31" s="694"/>
      <c r="AM31" s="692"/>
      <c r="AN31" s="797"/>
      <c r="AO31" s="692"/>
      <c r="AP31" s="802" t="s">
        <v>3181</v>
      </c>
    </row>
    <row r="32" s="693" customFormat="1" ht="24" customHeight="1" spans="1:42">
      <c r="A32" s="709">
        <v>43742</v>
      </c>
      <c r="B32" s="711" t="s">
        <v>3132</v>
      </c>
      <c r="C32" s="711">
        <v>4500025382</v>
      </c>
      <c r="D32" s="712" t="s">
        <v>3182</v>
      </c>
      <c r="E32" s="712" t="s">
        <v>2146</v>
      </c>
      <c r="F32" s="711" t="s">
        <v>3123</v>
      </c>
      <c r="G32" s="712" t="s">
        <v>2119</v>
      </c>
      <c r="H32" s="713">
        <v>6000</v>
      </c>
      <c r="I32" s="712">
        <v>0</v>
      </c>
      <c r="J32" s="712">
        <v>6</v>
      </c>
      <c r="K32" s="698">
        <f t="shared" si="10"/>
        <v>1000</v>
      </c>
      <c r="L32" s="728">
        <v>2.4929</v>
      </c>
      <c r="M32" s="728">
        <f t="shared" si="11"/>
        <v>14957.4</v>
      </c>
      <c r="N32" s="736">
        <v>43862</v>
      </c>
      <c r="O32" s="712" t="s">
        <v>3179</v>
      </c>
      <c r="P32" s="737"/>
      <c r="Q32" s="759">
        <v>43864</v>
      </c>
      <c r="R32" s="737"/>
      <c r="S32" s="705" t="s">
        <v>1427</v>
      </c>
      <c r="T32" s="694"/>
      <c r="U32" s="705" t="s">
        <v>1427</v>
      </c>
      <c r="V32" s="698"/>
      <c r="W32" s="698" t="s">
        <v>3180</v>
      </c>
      <c r="X32" s="698"/>
      <c r="Y32" s="530" t="s">
        <v>91</v>
      </c>
      <c r="Z32" s="694"/>
      <c r="AA32" s="698"/>
      <c r="AB32" s="698">
        <f t="shared" si="21"/>
        <v>2000</v>
      </c>
      <c r="AC32" s="698">
        <f t="shared" si="22"/>
        <v>2000</v>
      </c>
      <c r="AD32" s="698">
        <f t="shared" si="23"/>
        <v>2000</v>
      </c>
      <c r="AE32" s="698"/>
      <c r="AF32" s="698">
        <f t="shared" si="24"/>
        <v>6000</v>
      </c>
      <c r="AG32" s="698"/>
      <c r="AH32" s="698"/>
      <c r="AI32" s="694"/>
      <c r="AJ32" s="694">
        <f t="shared" si="25"/>
        <v>6000</v>
      </c>
      <c r="AK32" s="694"/>
      <c r="AL32" s="694"/>
      <c r="AM32" s="692"/>
      <c r="AN32" s="797"/>
      <c r="AO32" s="692"/>
      <c r="AP32" s="802" t="s">
        <v>3181</v>
      </c>
    </row>
    <row r="33" s="693" customFormat="1" ht="24" customHeight="1" spans="1:42">
      <c r="A33" s="709">
        <v>43783</v>
      </c>
      <c r="B33" s="711" t="s">
        <v>3121</v>
      </c>
      <c r="C33" s="711">
        <v>4500026793</v>
      </c>
      <c r="D33" s="712"/>
      <c r="E33" s="712" t="s">
        <v>3183</v>
      </c>
      <c r="F33" s="711" t="s">
        <v>3184</v>
      </c>
      <c r="G33" s="712" t="s">
        <v>3185</v>
      </c>
      <c r="H33" s="713">
        <v>504</v>
      </c>
      <c r="I33" s="712">
        <v>0</v>
      </c>
      <c r="J33" s="712">
        <v>12</v>
      </c>
      <c r="K33" s="698">
        <f t="shared" si="10"/>
        <v>42</v>
      </c>
      <c r="L33" s="738">
        <v>0</v>
      </c>
      <c r="M33" s="725">
        <f t="shared" si="11"/>
        <v>0</v>
      </c>
      <c r="N33" s="727" t="s">
        <v>3186</v>
      </c>
      <c r="O33" s="739"/>
      <c r="P33" s="703"/>
      <c r="Q33" s="727" t="s">
        <v>3186</v>
      </c>
      <c r="R33" s="770"/>
      <c r="S33" s="744" t="s">
        <v>3112</v>
      </c>
      <c r="T33" s="744"/>
      <c r="U33" s="768" t="s">
        <v>1427</v>
      </c>
      <c r="V33" s="712"/>
      <c r="W33" s="712" t="s">
        <v>3187</v>
      </c>
      <c r="X33" s="769"/>
      <c r="Y33" s="712" t="s">
        <v>398</v>
      </c>
      <c r="Z33" s="789"/>
      <c r="AA33" s="789"/>
      <c r="AB33" s="776">
        <f>H33</f>
        <v>504</v>
      </c>
      <c r="AC33" s="776"/>
      <c r="AD33" s="776"/>
      <c r="AE33" s="776"/>
      <c r="AF33" s="776"/>
      <c r="AG33" s="790">
        <f>H33</f>
        <v>504</v>
      </c>
      <c r="AH33" s="790"/>
      <c r="AI33" s="790"/>
      <c r="AJ33" s="790"/>
      <c r="AK33" s="790"/>
      <c r="AL33" s="796"/>
      <c r="AM33" s="796"/>
      <c r="AN33" s="776"/>
      <c r="AO33" s="776"/>
      <c r="AP33" s="716" t="s">
        <v>3188</v>
      </c>
    </row>
    <row r="34" s="693" customFormat="1" ht="24" customHeight="1" spans="1:42">
      <c r="A34" s="709">
        <v>43824</v>
      </c>
      <c r="B34" s="711" t="s">
        <v>3189</v>
      </c>
      <c r="C34" s="711">
        <v>4500027944</v>
      </c>
      <c r="D34" s="712"/>
      <c r="E34" s="712" t="s">
        <v>3190</v>
      </c>
      <c r="F34" s="711" t="s">
        <v>686</v>
      </c>
      <c r="G34" s="712" t="s">
        <v>484</v>
      </c>
      <c r="H34" s="713">
        <v>600</v>
      </c>
      <c r="I34" s="712" t="s">
        <v>3102</v>
      </c>
      <c r="J34" s="712">
        <v>12</v>
      </c>
      <c r="K34" s="698">
        <f t="shared" si="10"/>
        <v>50</v>
      </c>
      <c r="L34" s="738">
        <v>47.0193</v>
      </c>
      <c r="M34" s="725">
        <f>L34*K34</f>
        <v>2350.965</v>
      </c>
      <c r="N34" s="727">
        <v>43876</v>
      </c>
      <c r="O34" s="739" t="s">
        <v>3191</v>
      </c>
      <c r="P34" s="703"/>
      <c r="Q34" s="727">
        <v>43879</v>
      </c>
      <c r="R34" s="770"/>
      <c r="S34" s="744">
        <v>43833</v>
      </c>
      <c r="T34" s="744"/>
      <c r="U34" s="768" t="s">
        <v>58</v>
      </c>
      <c r="V34" s="712"/>
      <c r="W34" s="712" t="s">
        <v>3192</v>
      </c>
      <c r="X34" s="769"/>
      <c r="Y34" s="712" t="s">
        <v>752</v>
      </c>
      <c r="Z34" s="789"/>
      <c r="AA34" s="789"/>
      <c r="AB34" s="776">
        <v>200</v>
      </c>
      <c r="AC34" s="776">
        <v>200</v>
      </c>
      <c r="AD34" s="776">
        <v>200</v>
      </c>
      <c r="AE34" s="776">
        <f>H34</f>
        <v>600</v>
      </c>
      <c r="AF34" s="776"/>
      <c r="AG34" s="790"/>
      <c r="AH34" s="790"/>
      <c r="AI34" s="790"/>
      <c r="AJ34" s="790"/>
      <c r="AK34" s="790"/>
      <c r="AL34" s="796"/>
      <c r="AM34" s="796">
        <f>H34/3</f>
        <v>200</v>
      </c>
      <c r="AN34" s="776">
        <f>H34/3</f>
        <v>200</v>
      </c>
      <c r="AO34" s="776">
        <f>H34/3</f>
        <v>200</v>
      </c>
      <c r="AP34" s="716" t="s">
        <v>3193</v>
      </c>
    </row>
    <row r="35" s="693" customFormat="1" ht="24" customHeight="1" spans="1:42">
      <c r="A35" s="709">
        <v>43796</v>
      </c>
      <c r="B35" s="711" t="s">
        <v>3194</v>
      </c>
      <c r="C35" s="711">
        <v>4500027172</v>
      </c>
      <c r="D35" s="712">
        <v>17500758</v>
      </c>
      <c r="E35" s="712" t="s">
        <v>3195</v>
      </c>
      <c r="F35" s="711" t="s">
        <v>3117</v>
      </c>
      <c r="G35" s="712" t="s">
        <v>2119</v>
      </c>
      <c r="H35" s="713">
        <v>0</v>
      </c>
      <c r="I35" s="712">
        <v>0</v>
      </c>
      <c r="J35" s="712">
        <v>0</v>
      </c>
      <c r="K35" s="698">
        <v>0</v>
      </c>
      <c r="L35" s="740">
        <v>0</v>
      </c>
      <c r="M35" s="725">
        <f t="shared" ref="M35:M39" si="26">L35*H35</f>
        <v>0</v>
      </c>
      <c r="N35" s="741">
        <v>43846</v>
      </c>
      <c r="O35" s="726" t="s">
        <v>3196</v>
      </c>
      <c r="P35" s="742"/>
      <c r="Q35" s="727">
        <v>43864</v>
      </c>
      <c r="R35" s="771">
        <v>43865</v>
      </c>
      <c r="S35" s="744">
        <v>43818</v>
      </c>
      <c r="T35" s="744"/>
      <c r="U35" s="744">
        <v>43829</v>
      </c>
      <c r="V35" s="712"/>
      <c r="W35" s="712" t="s">
        <v>3173</v>
      </c>
      <c r="X35" s="769"/>
      <c r="Y35" s="712" t="s">
        <v>258</v>
      </c>
      <c r="Z35" s="789"/>
      <c r="AA35" s="789"/>
      <c r="AB35" s="776">
        <f t="shared" ref="AB35:AB38" si="27">H35/3</f>
        <v>0</v>
      </c>
      <c r="AC35" s="776">
        <f t="shared" ref="AC35:AC38" si="28">H35/3</f>
        <v>0</v>
      </c>
      <c r="AD35" s="776">
        <f t="shared" ref="AD35:AD38" si="29">H35/3</f>
        <v>0</v>
      </c>
      <c r="AE35" s="776"/>
      <c r="AF35" s="776">
        <f t="shared" ref="AF35:AF39" si="30">H35</f>
        <v>0</v>
      </c>
      <c r="AG35" s="790"/>
      <c r="AH35" s="790"/>
      <c r="AI35" s="790"/>
      <c r="AJ35" s="790">
        <f t="shared" ref="AJ35:AJ39" si="31">H35</f>
        <v>0</v>
      </c>
      <c r="AK35" s="790"/>
      <c r="AL35" s="796"/>
      <c r="AM35" s="796"/>
      <c r="AN35" s="776"/>
      <c r="AO35" s="776"/>
      <c r="AP35" s="716" t="s">
        <v>3197</v>
      </c>
    </row>
    <row r="36" s="693" customFormat="1" ht="24" customHeight="1" spans="1:42">
      <c r="A36" s="709">
        <v>43811</v>
      </c>
      <c r="B36" s="711" t="s">
        <v>3194</v>
      </c>
      <c r="C36" s="711">
        <v>4500026236</v>
      </c>
      <c r="D36" s="712">
        <v>17452585</v>
      </c>
      <c r="E36" s="712" t="s">
        <v>3195</v>
      </c>
      <c r="F36" s="711" t="s">
        <v>3117</v>
      </c>
      <c r="G36" s="712" t="s">
        <v>2119</v>
      </c>
      <c r="H36" s="713">
        <v>0</v>
      </c>
      <c r="I36" s="712">
        <v>0</v>
      </c>
      <c r="J36" s="712">
        <v>0</v>
      </c>
      <c r="K36" s="698">
        <v>0</v>
      </c>
      <c r="L36" s="740">
        <v>2.7686</v>
      </c>
      <c r="M36" s="725">
        <f t="shared" si="26"/>
        <v>0</v>
      </c>
      <c r="N36" s="741">
        <v>43887</v>
      </c>
      <c r="O36" s="726" t="s">
        <v>3198</v>
      </c>
      <c r="P36" s="742"/>
      <c r="Q36" s="727">
        <v>43889</v>
      </c>
      <c r="R36" s="771"/>
      <c r="S36" s="744">
        <v>43818</v>
      </c>
      <c r="T36" s="744"/>
      <c r="U36" s="744">
        <v>43829</v>
      </c>
      <c r="V36" s="712"/>
      <c r="W36" s="712" t="s">
        <v>3173</v>
      </c>
      <c r="X36" s="769"/>
      <c r="Y36" s="712" t="s">
        <v>258</v>
      </c>
      <c r="Z36" s="789"/>
      <c r="AA36" s="789"/>
      <c r="AB36" s="776">
        <f t="shared" si="27"/>
        <v>0</v>
      </c>
      <c r="AC36" s="776">
        <f t="shared" si="28"/>
        <v>0</v>
      </c>
      <c r="AD36" s="776">
        <f t="shared" si="29"/>
        <v>0</v>
      </c>
      <c r="AE36" s="776"/>
      <c r="AF36" s="776">
        <f t="shared" si="30"/>
        <v>0</v>
      </c>
      <c r="AG36" s="790"/>
      <c r="AH36" s="790"/>
      <c r="AI36" s="790"/>
      <c r="AJ36" s="790">
        <f t="shared" si="31"/>
        <v>0</v>
      </c>
      <c r="AK36" s="790"/>
      <c r="AL36" s="796"/>
      <c r="AM36" s="796"/>
      <c r="AN36" s="776"/>
      <c r="AO36" s="776"/>
      <c r="AP36" s="716" t="s">
        <v>3199</v>
      </c>
    </row>
    <row r="37" s="693" customFormat="1" ht="24" customHeight="1" spans="1:42">
      <c r="A37" s="709">
        <v>43818</v>
      </c>
      <c r="B37" s="711" t="s">
        <v>3194</v>
      </c>
      <c r="C37" s="711">
        <v>4500026240</v>
      </c>
      <c r="D37" s="712">
        <v>17452788</v>
      </c>
      <c r="E37" s="712" t="s">
        <v>3195</v>
      </c>
      <c r="F37" s="711" t="s">
        <v>3117</v>
      </c>
      <c r="G37" s="712" t="s">
        <v>2119</v>
      </c>
      <c r="H37" s="713">
        <v>192</v>
      </c>
      <c r="I37" s="712">
        <v>0</v>
      </c>
      <c r="J37" s="712">
        <v>12</v>
      </c>
      <c r="K37" s="698">
        <f t="shared" ref="K37:K39" si="32">H37/J37</f>
        <v>16</v>
      </c>
      <c r="L37" s="740">
        <v>2.7686</v>
      </c>
      <c r="M37" s="725">
        <f t="shared" si="26"/>
        <v>531.5712</v>
      </c>
      <c r="N37" s="741">
        <v>43896</v>
      </c>
      <c r="O37" s="726" t="s">
        <v>3200</v>
      </c>
      <c r="P37" s="742"/>
      <c r="Q37" s="727">
        <v>43899</v>
      </c>
      <c r="R37" s="771"/>
      <c r="S37" s="744">
        <v>43839</v>
      </c>
      <c r="T37" s="744"/>
      <c r="U37" s="744">
        <v>43839</v>
      </c>
      <c r="V37" s="712"/>
      <c r="W37" s="712" t="s">
        <v>3173</v>
      </c>
      <c r="X37" s="769"/>
      <c r="Y37" s="712" t="s">
        <v>258</v>
      </c>
      <c r="Z37" s="789"/>
      <c r="AA37" s="789"/>
      <c r="AB37" s="776">
        <f t="shared" si="27"/>
        <v>64</v>
      </c>
      <c r="AC37" s="776">
        <f t="shared" si="28"/>
        <v>64</v>
      </c>
      <c r="AD37" s="776">
        <f t="shared" si="29"/>
        <v>64</v>
      </c>
      <c r="AE37" s="776"/>
      <c r="AF37" s="776">
        <f t="shared" si="30"/>
        <v>192</v>
      </c>
      <c r="AG37" s="790"/>
      <c r="AH37" s="790"/>
      <c r="AI37" s="790"/>
      <c r="AJ37" s="790">
        <f t="shared" si="31"/>
        <v>192</v>
      </c>
      <c r="AK37" s="790"/>
      <c r="AL37" s="796"/>
      <c r="AM37" s="796"/>
      <c r="AN37" s="776"/>
      <c r="AO37" s="776"/>
      <c r="AP37" s="716" t="s">
        <v>3201</v>
      </c>
    </row>
    <row r="38" s="693" customFormat="1" ht="24" customHeight="1" spans="1:42">
      <c r="A38" s="709">
        <v>43720</v>
      </c>
      <c r="B38" s="711" t="s">
        <v>3132</v>
      </c>
      <c r="C38" s="711">
        <v>4500024573</v>
      </c>
      <c r="D38" s="712">
        <v>25404</v>
      </c>
      <c r="E38" s="712" t="s">
        <v>3133</v>
      </c>
      <c r="F38" s="711" t="s">
        <v>3117</v>
      </c>
      <c r="G38" s="712" t="s">
        <v>2119</v>
      </c>
      <c r="H38" s="713">
        <v>0</v>
      </c>
      <c r="I38" s="712">
        <v>0</v>
      </c>
      <c r="J38" s="712">
        <v>12</v>
      </c>
      <c r="K38" s="698">
        <f t="shared" si="32"/>
        <v>0</v>
      </c>
      <c r="L38" s="728">
        <v>0</v>
      </c>
      <c r="M38" s="728">
        <f t="shared" si="26"/>
        <v>0</v>
      </c>
      <c r="N38" s="743" t="s">
        <v>3175</v>
      </c>
      <c r="O38" s="744"/>
      <c r="P38" s="742"/>
      <c r="Q38" s="743">
        <v>43766</v>
      </c>
      <c r="R38" s="772">
        <v>43768</v>
      </c>
      <c r="S38" s="759">
        <v>43720</v>
      </c>
      <c r="T38" s="759"/>
      <c r="U38" s="748" t="s">
        <v>58</v>
      </c>
      <c r="V38" s="698"/>
      <c r="W38" s="694" t="s">
        <v>3176</v>
      </c>
      <c r="X38" s="530" t="s">
        <v>3175</v>
      </c>
      <c r="Y38" s="530" t="s">
        <v>91</v>
      </c>
      <c r="Z38" s="694"/>
      <c r="AA38" s="698"/>
      <c r="AB38" s="698">
        <f t="shared" si="27"/>
        <v>0</v>
      </c>
      <c r="AC38" s="698">
        <f t="shared" si="28"/>
        <v>0</v>
      </c>
      <c r="AD38" s="698">
        <f t="shared" si="29"/>
        <v>0</v>
      </c>
      <c r="AE38" s="698">
        <f>H38</f>
        <v>0</v>
      </c>
      <c r="AF38" s="698"/>
      <c r="AG38" s="698"/>
      <c r="AH38" s="698"/>
      <c r="AI38" s="694">
        <f>H38</f>
        <v>0</v>
      </c>
      <c r="AJ38" s="694"/>
      <c r="AK38" s="694"/>
      <c r="AL38" s="694"/>
      <c r="AM38" s="698">
        <f>H38</f>
        <v>0</v>
      </c>
      <c r="AN38" s="776"/>
      <c r="AO38" s="698"/>
      <c r="AP38" s="802" t="s">
        <v>3177</v>
      </c>
    </row>
    <row r="39" s="693" customFormat="1" ht="24" customHeight="1" spans="1:42">
      <c r="A39" s="709">
        <v>43843</v>
      </c>
      <c r="B39" s="711" t="s">
        <v>3202</v>
      </c>
      <c r="C39" s="711">
        <v>4500028148</v>
      </c>
      <c r="D39" s="712">
        <v>7538840</v>
      </c>
      <c r="E39" s="712" t="s">
        <v>230</v>
      </c>
      <c r="F39" s="711" t="s">
        <v>3203</v>
      </c>
      <c r="G39" s="712" t="s">
        <v>2119</v>
      </c>
      <c r="H39" s="713">
        <v>0</v>
      </c>
      <c r="I39" s="712">
        <v>0</v>
      </c>
      <c r="J39" s="712">
        <v>12</v>
      </c>
      <c r="K39" s="698">
        <f t="shared" si="32"/>
        <v>0</v>
      </c>
      <c r="L39" s="738">
        <v>2.5324</v>
      </c>
      <c r="M39" s="738">
        <f t="shared" si="26"/>
        <v>0</v>
      </c>
      <c r="N39" s="743" t="s">
        <v>3204</v>
      </c>
      <c r="O39" s="742"/>
      <c r="P39" s="742"/>
      <c r="Q39" s="743">
        <v>43924</v>
      </c>
      <c r="R39" s="771"/>
      <c r="S39" s="744">
        <v>43843</v>
      </c>
      <c r="T39" s="744"/>
      <c r="U39" s="744" t="s">
        <v>3205</v>
      </c>
      <c r="V39" s="712"/>
      <c r="W39" s="712" t="s">
        <v>3173</v>
      </c>
      <c r="X39" s="773" t="s">
        <v>3175</v>
      </c>
      <c r="Y39" s="712" t="s">
        <v>91</v>
      </c>
      <c r="Z39" s="789"/>
      <c r="AA39" s="789"/>
      <c r="AB39" s="776">
        <f t="shared" ref="AB39:AB42" si="33">H39/12*7</f>
        <v>0</v>
      </c>
      <c r="AC39" s="776">
        <f t="shared" ref="AC39:AC42" si="34">H39/12*3</f>
        <v>0</v>
      </c>
      <c r="AD39" s="776">
        <f t="shared" ref="AD39:AD42" si="35">H39/12*2</f>
        <v>0</v>
      </c>
      <c r="AE39" s="776"/>
      <c r="AF39" s="776">
        <f t="shared" si="30"/>
        <v>0</v>
      </c>
      <c r="AG39" s="790"/>
      <c r="AH39" s="790"/>
      <c r="AI39" s="790"/>
      <c r="AJ39" s="790">
        <f t="shared" si="31"/>
        <v>0</v>
      </c>
      <c r="AK39" s="790"/>
      <c r="AL39" s="796"/>
      <c r="AM39" s="796"/>
      <c r="AN39" s="776"/>
      <c r="AO39" s="776"/>
      <c r="AP39" s="716" t="s">
        <v>3206</v>
      </c>
    </row>
    <row r="40" s="693" customFormat="1" ht="24" customHeight="1" spans="1:42">
      <c r="A40" s="709">
        <v>43879</v>
      </c>
      <c r="B40" s="711" t="s">
        <v>3121</v>
      </c>
      <c r="C40" s="711">
        <v>4500028482</v>
      </c>
      <c r="D40" s="712">
        <v>310066</v>
      </c>
      <c r="E40" s="712" t="s">
        <v>1474</v>
      </c>
      <c r="F40" s="711" t="s">
        <v>3117</v>
      </c>
      <c r="G40" s="712" t="s">
        <v>2119</v>
      </c>
      <c r="H40" s="713">
        <v>504</v>
      </c>
      <c r="I40" s="712">
        <v>0</v>
      </c>
      <c r="J40" s="712">
        <v>12</v>
      </c>
      <c r="K40" s="698">
        <f t="shared" ref="K40:K42" si="36">H40/J40</f>
        <v>42</v>
      </c>
      <c r="L40" s="740">
        <v>2.5139</v>
      </c>
      <c r="M40" s="725">
        <f t="shared" ref="M40:M42" si="37">L40*H40</f>
        <v>1267.0056</v>
      </c>
      <c r="N40" s="741">
        <v>43900</v>
      </c>
      <c r="O40" s="726" t="s">
        <v>3207</v>
      </c>
      <c r="P40" s="742"/>
      <c r="Q40" s="727">
        <v>43900</v>
      </c>
      <c r="R40" s="771"/>
      <c r="S40" s="744">
        <v>43878</v>
      </c>
      <c r="T40" s="744"/>
      <c r="U40" s="744" t="s">
        <v>58</v>
      </c>
      <c r="V40" s="712"/>
      <c r="W40" s="712" t="s">
        <v>3208</v>
      </c>
      <c r="X40" s="769"/>
      <c r="Y40" s="712" t="s">
        <v>398</v>
      </c>
      <c r="Z40" s="789"/>
      <c r="AA40" s="789"/>
      <c r="AB40" s="776">
        <f>H40/3</f>
        <v>168</v>
      </c>
      <c r="AC40" s="776">
        <f>H40/3</f>
        <v>168</v>
      </c>
      <c r="AD40" s="776">
        <f>H40/3</f>
        <v>168</v>
      </c>
      <c r="AE40" s="776"/>
      <c r="AF40" s="776"/>
      <c r="AG40" s="790"/>
      <c r="AH40" s="790">
        <f>H40</f>
        <v>504</v>
      </c>
      <c r="AI40" s="790"/>
      <c r="AJ40" s="790"/>
      <c r="AK40" s="790"/>
      <c r="AL40" s="796"/>
      <c r="AM40" s="796">
        <f>H40</f>
        <v>504</v>
      </c>
      <c r="AN40" s="776"/>
      <c r="AO40" s="776"/>
      <c r="AP40" s="716" t="s">
        <v>3209</v>
      </c>
    </row>
    <row r="41" s="693" customFormat="1" ht="24" customHeight="1" spans="1:42">
      <c r="A41" s="709">
        <v>43879</v>
      </c>
      <c r="B41" s="711" t="s">
        <v>3202</v>
      </c>
      <c r="C41" s="711">
        <v>4500028527</v>
      </c>
      <c r="D41" s="712">
        <v>6241044</v>
      </c>
      <c r="E41" s="712" t="s">
        <v>230</v>
      </c>
      <c r="F41" s="711" t="s">
        <v>3203</v>
      </c>
      <c r="G41" s="712" t="s">
        <v>2119</v>
      </c>
      <c r="H41" s="713">
        <v>0</v>
      </c>
      <c r="I41" s="712">
        <v>0</v>
      </c>
      <c r="J41" s="712">
        <v>12</v>
      </c>
      <c r="K41" s="698">
        <f t="shared" si="36"/>
        <v>0</v>
      </c>
      <c r="L41" s="738">
        <v>2.3324</v>
      </c>
      <c r="M41" s="738">
        <f t="shared" si="37"/>
        <v>0</v>
      </c>
      <c r="N41" s="743" t="s">
        <v>3204</v>
      </c>
      <c r="O41" s="742"/>
      <c r="P41" s="742"/>
      <c r="Q41" s="743">
        <v>43927</v>
      </c>
      <c r="R41" s="771"/>
      <c r="S41" s="744">
        <v>43878</v>
      </c>
      <c r="T41" s="744"/>
      <c r="U41" s="744" t="s">
        <v>3210</v>
      </c>
      <c r="V41" s="712"/>
      <c r="W41" s="712" t="s">
        <v>3173</v>
      </c>
      <c r="X41" s="773" t="s">
        <v>3175</v>
      </c>
      <c r="Y41" s="712" t="s">
        <v>91</v>
      </c>
      <c r="Z41" s="789"/>
      <c r="AA41" s="789"/>
      <c r="AB41" s="776">
        <f t="shared" si="33"/>
        <v>0</v>
      </c>
      <c r="AC41" s="776">
        <f t="shared" si="34"/>
        <v>0</v>
      </c>
      <c r="AD41" s="776">
        <f t="shared" si="35"/>
        <v>0</v>
      </c>
      <c r="AE41" s="776"/>
      <c r="AF41" s="776">
        <f t="shared" ref="AF41:AF47" si="38">H41</f>
        <v>0</v>
      </c>
      <c r="AG41" s="790"/>
      <c r="AH41" s="790"/>
      <c r="AI41" s="790"/>
      <c r="AJ41" s="790">
        <f t="shared" ref="AJ41:AJ47" si="39">H41</f>
        <v>0</v>
      </c>
      <c r="AK41" s="790"/>
      <c r="AL41" s="796"/>
      <c r="AM41" s="796"/>
      <c r="AN41" s="776"/>
      <c r="AO41" s="776"/>
      <c r="AP41" s="795" t="s">
        <v>3211</v>
      </c>
    </row>
    <row r="42" s="693" customFormat="1" ht="24" customHeight="1" spans="1:42">
      <c r="A42" s="709">
        <v>43879</v>
      </c>
      <c r="B42" s="711" t="s">
        <v>3202</v>
      </c>
      <c r="C42" s="711">
        <v>4500028524</v>
      </c>
      <c r="D42" s="712">
        <v>6998046</v>
      </c>
      <c r="E42" s="712" t="s">
        <v>230</v>
      </c>
      <c r="F42" s="711" t="s">
        <v>3203</v>
      </c>
      <c r="G42" s="712" t="s">
        <v>2119</v>
      </c>
      <c r="H42" s="713">
        <v>0</v>
      </c>
      <c r="I42" s="712">
        <v>0</v>
      </c>
      <c r="J42" s="712">
        <v>12</v>
      </c>
      <c r="K42" s="698">
        <f t="shared" si="36"/>
        <v>0</v>
      </c>
      <c r="L42" s="738">
        <v>2.3222</v>
      </c>
      <c r="M42" s="745">
        <f t="shared" si="37"/>
        <v>0</v>
      </c>
      <c r="N42" s="727" t="s">
        <v>3204</v>
      </c>
      <c r="O42" s="742"/>
      <c r="P42" s="742"/>
      <c r="Q42" s="727">
        <v>43948</v>
      </c>
      <c r="R42" s="771"/>
      <c r="S42" s="744">
        <v>43878</v>
      </c>
      <c r="T42" s="744"/>
      <c r="U42" s="744" t="s">
        <v>3205</v>
      </c>
      <c r="V42" s="712"/>
      <c r="W42" s="712" t="s">
        <v>3173</v>
      </c>
      <c r="X42" s="769" t="s">
        <v>3175</v>
      </c>
      <c r="Y42" s="712" t="s">
        <v>91</v>
      </c>
      <c r="Z42" s="789"/>
      <c r="AA42" s="789"/>
      <c r="AB42" s="776">
        <f t="shared" si="33"/>
        <v>0</v>
      </c>
      <c r="AC42" s="776">
        <f t="shared" si="34"/>
        <v>0</v>
      </c>
      <c r="AD42" s="776">
        <f t="shared" si="35"/>
        <v>0</v>
      </c>
      <c r="AE42" s="776"/>
      <c r="AF42" s="776">
        <f t="shared" si="38"/>
        <v>0</v>
      </c>
      <c r="AG42" s="790"/>
      <c r="AH42" s="790"/>
      <c r="AI42" s="790"/>
      <c r="AJ42" s="790">
        <f t="shared" si="39"/>
        <v>0</v>
      </c>
      <c r="AK42" s="790"/>
      <c r="AL42" s="796"/>
      <c r="AM42" s="796"/>
      <c r="AN42" s="776"/>
      <c r="AO42" s="776"/>
      <c r="AP42" s="795" t="s">
        <v>3212</v>
      </c>
    </row>
    <row r="43" s="693" customFormat="1" ht="24" customHeight="1" spans="1:42">
      <c r="A43" s="709">
        <v>43879</v>
      </c>
      <c r="B43" s="711" t="s">
        <v>3121</v>
      </c>
      <c r="C43" s="711">
        <v>4500028482</v>
      </c>
      <c r="D43" s="712">
        <v>310066</v>
      </c>
      <c r="E43" s="712" t="s">
        <v>1474</v>
      </c>
      <c r="F43" s="711" t="s">
        <v>3117</v>
      </c>
      <c r="G43" s="712" t="s">
        <v>2119</v>
      </c>
      <c r="H43" s="713">
        <v>0</v>
      </c>
      <c r="I43" s="712">
        <v>0</v>
      </c>
      <c r="J43" s="712">
        <v>0</v>
      </c>
      <c r="K43" s="746" t="e">
        <f t="shared" ref="K43:K49" si="40">H43/J43</f>
        <v>#DIV/0!</v>
      </c>
      <c r="L43" s="747">
        <v>0</v>
      </c>
      <c r="M43" s="745">
        <f t="shared" ref="M43:M47" si="41">L43*H43</f>
        <v>0</v>
      </c>
      <c r="N43" s="743">
        <v>43900</v>
      </c>
      <c r="O43" s="748" t="s">
        <v>3207</v>
      </c>
      <c r="P43" s="742"/>
      <c r="Q43" s="743">
        <v>43900</v>
      </c>
      <c r="R43" s="771"/>
      <c r="S43" s="744">
        <v>43878</v>
      </c>
      <c r="T43" s="744"/>
      <c r="U43" s="744" t="s">
        <v>58</v>
      </c>
      <c r="V43" s="712"/>
      <c r="W43" s="712" t="s">
        <v>3208</v>
      </c>
      <c r="X43" s="530" t="s">
        <v>3175</v>
      </c>
      <c r="Y43" s="712" t="s">
        <v>398</v>
      </c>
      <c r="Z43" s="789"/>
      <c r="AA43" s="789"/>
      <c r="AB43" s="776">
        <f>H43/3</f>
        <v>0</v>
      </c>
      <c r="AC43" s="776">
        <f>H43/3</f>
        <v>0</v>
      </c>
      <c r="AD43" s="776">
        <f>H43/3</f>
        <v>0</v>
      </c>
      <c r="AE43" s="776"/>
      <c r="AF43" s="776"/>
      <c r="AG43" s="790"/>
      <c r="AH43" s="790">
        <f>H43</f>
        <v>0</v>
      </c>
      <c r="AI43" s="790"/>
      <c r="AJ43" s="790"/>
      <c r="AK43" s="790"/>
      <c r="AL43" s="796"/>
      <c r="AM43" s="796">
        <f>H43</f>
        <v>0</v>
      </c>
      <c r="AN43" s="776"/>
      <c r="AO43" s="776"/>
      <c r="AP43" s="795" t="s">
        <v>3209</v>
      </c>
    </row>
    <row r="44" s="693" customFormat="1" ht="24" customHeight="1" spans="1:42">
      <c r="A44" s="709">
        <v>43879</v>
      </c>
      <c r="B44" s="711" t="s">
        <v>3202</v>
      </c>
      <c r="C44" s="711">
        <v>4500028523</v>
      </c>
      <c r="D44" s="712">
        <v>6998045</v>
      </c>
      <c r="E44" s="712" t="s">
        <v>230</v>
      </c>
      <c r="F44" s="711" t="s">
        <v>3203</v>
      </c>
      <c r="G44" s="712" t="s">
        <v>2119</v>
      </c>
      <c r="H44" s="713">
        <v>0</v>
      </c>
      <c r="I44" s="712">
        <v>0</v>
      </c>
      <c r="J44" s="712">
        <v>12</v>
      </c>
      <c r="K44" s="698">
        <f t="shared" si="40"/>
        <v>0</v>
      </c>
      <c r="L44" s="738">
        <v>2.3325</v>
      </c>
      <c r="M44" s="738">
        <f t="shared" si="41"/>
        <v>0</v>
      </c>
      <c r="N44" s="743">
        <v>43917</v>
      </c>
      <c r="O44" s="744" t="s">
        <v>3213</v>
      </c>
      <c r="P44" s="749"/>
      <c r="Q44" s="743">
        <v>43920</v>
      </c>
      <c r="R44" s="774">
        <v>43928</v>
      </c>
      <c r="S44" s="775">
        <v>43878</v>
      </c>
      <c r="T44" s="737"/>
      <c r="U44" s="759" t="s">
        <v>3214</v>
      </c>
      <c r="V44" s="776"/>
      <c r="W44" s="776" t="s">
        <v>3180</v>
      </c>
      <c r="X44" s="773" t="s">
        <v>3175</v>
      </c>
      <c r="Y44" s="790" t="s">
        <v>91</v>
      </c>
      <c r="Z44" s="790"/>
      <c r="AA44" s="790"/>
      <c r="AB44" s="790">
        <f t="shared" ref="AB44:AB46" si="42">H44/12*7</f>
        <v>0</v>
      </c>
      <c r="AC44" s="790">
        <f t="shared" ref="AC44:AC46" si="43">H44/12*3</f>
        <v>0</v>
      </c>
      <c r="AD44" s="790">
        <f t="shared" ref="AD44:AD46" si="44">H44/12*2</f>
        <v>0</v>
      </c>
      <c r="AE44" s="790"/>
      <c r="AF44" s="776">
        <f t="shared" si="38"/>
        <v>0</v>
      </c>
      <c r="AG44" s="776"/>
      <c r="AH44" s="798"/>
      <c r="AI44" s="799"/>
      <c r="AJ44" s="799">
        <f t="shared" si="39"/>
        <v>0</v>
      </c>
      <c r="AK44" s="711"/>
      <c r="AL44" s="698"/>
      <c r="AM44" s="698"/>
      <c r="AN44" s="694"/>
      <c r="AO44" s="692"/>
      <c r="AP44" s="802" t="s">
        <v>3215</v>
      </c>
    </row>
    <row r="45" s="693" customFormat="1" ht="24" customHeight="1" spans="1:42">
      <c r="A45" s="709">
        <v>43879</v>
      </c>
      <c r="B45" s="711" t="s">
        <v>3202</v>
      </c>
      <c r="C45" s="711">
        <v>4500028525</v>
      </c>
      <c r="D45" s="712">
        <v>6998047</v>
      </c>
      <c r="E45" s="712" t="s">
        <v>230</v>
      </c>
      <c r="F45" s="711" t="s">
        <v>3203</v>
      </c>
      <c r="G45" s="712" t="s">
        <v>2119</v>
      </c>
      <c r="H45" s="713">
        <v>0</v>
      </c>
      <c r="I45" s="712">
        <v>0</v>
      </c>
      <c r="J45" s="712">
        <v>12</v>
      </c>
      <c r="K45" s="698">
        <f t="shared" si="40"/>
        <v>0</v>
      </c>
      <c r="L45" s="738">
        <v>2.3691</v>
      </c>
      <c r="M45" s="745">
        <f t="shared" si="41"/>
        <v>0</v>
      </c>
      <c r="N45" s="727" t="s">
        <v>3204</v>
      </c>
      <c r="O45" s="742"/>
      <c r="P45" s="742"/>
      <c r="Q45" s="727">
        <v>43980</v>
      </c>
      <c r="R45" s="771"/>
      <c r="S45" s="744">
        <v>43878</v>
      </c>
      <c r="T45" s="744"/>
      <c r="U45" s="744" t="s">
        <v>3205</v>
      </c>
      <c r="V45" s="712"/>
      <c r="W45" s="712" t="s">
        <v>3173</v>
      </c>
      <c r="X45" s="769" t="s">
        <v>3175</v>
      </c>
      <c r="Y45" s="712" t="s">
        <v>91</v>
      </c>
      <c r="Z45" s="789"/>
      <c r="AA45" s="789"/>
      <c r="AB45" s="776">
        <f t="shared" si="42"/>
        <v>0</v>
      </c>
      <c r="AC45" s="776">
        <f t="shared" si="43"/>
        <v>0</v>
      </c>
      <c r="AD45" s="776">
        <f t="shared" si="44"/>
        <v>0</v>
      </c>
      <c r="AE45" s="776"/>
      <c r="AF45" s="776">
        <f t="shared" si="38"/>
        <v>0</v>
      </c>
      <c r="AG45" s="790"/>
      <c r="AH45" s="790"/>
      <c r="AI45" s="790"/>
      <c r="AJ45" s="790">
        <f t="shared" si="39"/>
        <v>0</v>
      </c>
      <c r="AK45" s="790"/>
      <c r="AL45" s="796"/>
      <c r="AM45" s="796"/>
      <c r="AN45" s="776"/>
      <c r="AO45" s="776"/>
      <c r="AP45" s="795" t="s">
        <v>3206</v>
      </c>
    </row>
    <row r="46" s="693" customFormat="1" ht="24" customHeight="1" spans="1:42">
      <c r="A46" s="709">
        <v>43907</v>
      </c>
      <c r="B46" s="711" t="s">
        <v>3202</v>
      </c>
      <c r="C46" s="711">
        <v>4500029466</v>
      </c>
      <c r="D46" s="712">
        <v>7549969</v>
      </c>
      <c r="E46" s="712" t="s">
        <v>230</v>
      </c>
      <c r="F46" s="711" t="s">
        <v>3203</v>
      </c>
      <c r="G46" s="712" t="s">
        <v>2119</v>
      </c>
      <c r="H46" s="713">
        <v>0</v>
      </c>
      <c r="I46" s="712">
        <v>0</v>
      </c>
      <c r="J46" s="712">
        <v>12</v>
      </c>
      <c r="K46" s="698">
        <f t="shared" si="40"/>
        <v>0</v>
      </c>
      <c r="L46" s="738">
        <v>2.2785</v>
      </c>
      <c r="M46" s="745">
        <f t="shared" si="41"/>
        <v>0</v>
      </c>
      <c r="N46" s="727" t="s">
        <v>3204</v>
      </c>
      <c r="O46" s="742"/>
      <c r="P46" s="742"/>
      <c r="Q46" s="727">
        <v>43983</v>
      </c>
      <c r="R46" s="771"/>
      <c r="S46" s="744">
        <v>43907</v>
      </c>
      <c r="T46" s="744"/>
      <c r="U46" s="744" t="s">
        <v>1427</v>
      </c>
      <c r="V46" s="712"/>
      <c r="W46" s="712" t="s">
        <v>3216</v>
      </c>
      <c r="X46" s="769" t="s">
        <v>3175</v>
      </c>
      <c r="Y46" s="712" t="s">
        <v>91</v>
      </c>
      <c r="Z46" s="789"/>
      <c r="AA46" s="789"/>
      <c r="AB46" s="776">
        <f t="shared" si="42"/>
        <v>0</v>
      </c>
      <c r="AC46" s="776">
        <f t="shared" si="43"/>
        <v>0</v>
      </c>
      <c r="AD46" s="776">
        <f t="shared" si="44"/>
        <v>0</v>
      </c>
      <c r="AE46" s="776"/>
      <c r="AF46" s="776">
        <f t="shared" si="38"/>
        <v>0</v>
      </c>
      <c r="AG46" s="790"/>
      <c r="AH46" s="790"/>
      <c r="AI46" s="790"/>
      <c r="AJ46" s="790">
        <f t="shared" si="39"/>
        <v>0</v>
      </c>
      <c r="AK46" s="790"/>
      <c r="AL46" s="796"/>
      <c r="AM46" s="796"/>
      <c r="AN46" s="776"/>
      <c r="AO46" s="776"/>
      <c r="AP46" s="795" t="s">
        <v>3206</v>
      </c>
    </row>
    <row r="47" s="693" customFormat="1" ht="24" customHeight="1" spans="1:42">
      <c r="A47" s="709">
        <v>43900</v>
      </c>
      <c r="B47" s="711" t="s">
        <v>3146</v>
      </c>
      <c r="C47" s="711">
        <v>4500028861</v>
      </c>
      <c r="D47" s="712">
        <v>778260</v>
      </c>
      <c r="E47" s="712" t="s">
        <v>3217</v>
      </c>
      <c r="F47" s="711" t="s">
        <v>3123</v>
      </c>
      <c r="G47" s="712" t="s">
        <v>2119</v>
      </c>
      <c r="H47" s="713">
        <v>0</v>
      </c>
      <c r="I47" s="712">
        <v>0</v>
      </c>
      <c r="J47" s="712">
        <v>6</v>
      </c>
      <c r="K47" s="698">
        <f t="shared" si="40"/>
        <v>0</v>
      </c>
      <c r="L47" s="738">
        <v>2.4981</v>
      </c>
      <c r="M47" s="738">
        <f t="shared" si="41"/>
        <v>0</v>
      </c>
      <c r="N47" s="743">
        <v>43922</v>
      </c>
      <c r="O47" s="742" t="s">
        <v>3218</v>
      </c>
      <c r="P47" s="742"/>
      <c r="Q47" s="743">
        <v>43924</v>
      </c>
      <c r="R47" s="771"/>
      <c r="S47" s="744">
        <v>43888</v>
      </c>
      <c r="T47" s="744"/>
      <c r="U47" s="744">
        <v>43906</v>
      </c>
      <c r="V47" s="712"/>
      <c r="W47" s="712" t="s">
        <v>3216</v>
      </c>
      <c r="X47" s="773" t="s">
        <v>3175</v>
      </c>
      <c r="Y47" s="712" t="s">
        <v>91</v>
      </c>
      <c r="Z47" s="789"/>
      <c r="AA47" s="789"/>
      <c r="AB47" s="776">
        <f>H47/3</f>
        <v>0</v>
      </c>
      <c r="AC47" s="776">
        <f>H47/3</f>
        <v>0</v>
      </c>
      <c r="AD47" s="776">
        <f>H47/3</f>
        <v>0</v>
      </c>
      <c r="AE47" s="776"/>
      <c r="AF47" s="776">
        <f t="shared" si="38"/>
        <v>0</v>
      </c>
      <c r="AG47" s="790"/>
      <c r="AH47" s="790"/>
      <c r="AI47" s="790"/>
      <c r="AJ47" s="790">
        <f t="shared" si="39"/>
        <v>0</v>
      </c>
      <c r="AK47" s="790"/>
      <c r="AL47" s="796"/>
      <c r="AM47" s="796"/>
      <c r="AN47" s="776"/>
      <c r="AO47" s="776"/>
      <c r="AP47" s="795" t="s">
        <v>3219</v>
      </c>
    </row>
    <row r="48" s="693" customFormat="1" ht="24" customHeight="1" spans="1:42">
      <c r="A48" s="709">
        <v>43904</v>
      </c>
      <c r="B48" s="711" t="s">
        <v>3202</v>
      </c>
      <c r="C48" s="711">
        <v>4500029358</v>
      </c>
      <c r="D48" s="712">
        <v>6242945</v>
      </c>
      <c r="E48" s="712" t="s">
        <v>230</v>
      </c>
      <c r="F48" s="711" t="s">
        <v>3203</v>
      </c>
      <c r="G48" s="712" t="s">
        <v>2119</v>
      </c>
      <c r="H48" s="713">
        <v>5000</v>
      </c>
      <c r="I48" s="712">
        <v>0</v>
      </c>
      <c r="J48" s="712">
        <v>12</v>
      </c>
      <c r="K48" s="698">
        <f t="shared" si="40"/>
        <v>416.666666666667</v>
      </c>
      <c r="L48" s="738">
        <v>2.2784</v>
      </c>
      <c r="M48" s="745">
        <v>34176</v>
      </c>
      <c r="N48" s="741">
        <v>44006</v>
      </c>
      <c r="O48" s="750" t="s">
        <v>3220</v>
      </c>
      <c r="P48" s="742"/>
      <c r="Q48" s="727">
        <v>44008</v>
      </c>
      <c r="R48" s="771"/>
      <c r="S48" s="744">
        <v>43903</v>
      </c>
      <c r="T48" s="744"/>
      <c r="U48" s="744" t="s">
        <v>1427</v>
      </c>
      <c r="V48" s="712"/>
      <c r="W48" s="712" t="s">
        <v>3216</v>
      </c>
      <c r="X48" s="769"/>
      <c r="Y48" s="712" t="s">
        <v>91</v>
      </c>
      <c r="Z48" s="789"/>
      <c r="AA48" s="789"/>
      <c r="AB48" s="776">
        <v>8750</v>
      </c>
      <c r="AC48" s="776">
        <v>3750</v>
      </c>
      <c r="AD48" s="776">
        <v>2500</v>
      </c>
      <c r="AE48" s="776"/>
      <c r="AF48" s="776">
        <v>15000</v>
      </c>
      <c r="AG48" s="790"/>
      <c r="AH48" s="790"/>
      <c r="AI48" s="790"/>
      <c r="AJ48" s="790">
        <v>15000</v>
      </c>
      <c r="AK48" s="790"/>
      <c r="AL48" s="796"/>
      <c r="AM48" s="796"/>
      <c r="AN48" s="776"/>
      <c r="AO48" s="776"/>
      <c r="AP48" s="795" t="s">
        <v>3206</v>
      </c>
    </row>
    <row r="49" s="693" customFormat="1" ht="24" customHeight="1" spans="1:42">
      <c r="A49" s="709">
        <v>43904</v>
      </c>
      <c r="B49" s="711" t="s">
        <v>3202</v>
      </c>
      <c r="C49" s="711">
        <v>4500029361</v>
      </c>
      <c r="D49" s="712">
        <v>6242948</v>
      </c>
      <c r="E49" s="712" t="s">
        <v>230</v>
      </c>
      <c r="F49" s="711" t="s">
        <v>3203</v>
      </c>
      <c r="G49" s="712" t="s">
        <v>2119</v>
      </c>
      <c r="H49" s="713">
        <v>6000</v>
      </c>
      <c r="I49" s="712">
        <v>0</v>
      </c>
      <c r="J49" s="712">
        <v>12</v>
      </c>
      <c r="K49" s="698">
        <f t="shared" si="40"/>
        <v>500</v>
      </c>
      <c r="L49" s="738">
        <v>2.2604</v>
      </c>
      <c r="M49" s="745">
        <v>47468.4</v>
      </c>
      <c r="N49" s="741">
        <v>44034</v>
      </c>
      <c r="O49" s="750" t="s">
        <v>3220</v>
      </c>
      <c r="P49" s="742"/>
      <c r="Q49" s="727">
        <v>44036</v>
      </c>
      <c r="R49" s="771"/>
      <c r="S49" s="744">
        <v>43903</v>
      </c>
      <c r="T49" s="744"/>
      <c r="U49" s="744" t="s">
        <v>1427</v>
      </c>
      <c r="V49" s="712"/>
      <c r="W49" s="712" t="s">
        <v>3216</v>
      </c>
      <c r="X49" s="769"/>
      <c r="Y49" s="712" t="s">
        <v>91</v>
      </c>
      <c r="Z49" s="789"/>
      <c r="AA49" s="789"/>
      <c r="AB49" s="776">
        <v>12250</v>
      </c>
      <c r="AC49" s="776">
        <v>5250</v>
      </c>
      <c r="AD49" s="776">
        <v>3500</v>
      </c>
      <c r="AE49" s="776"/>
      <c r="AF49" s="776">
        <v>21000</v>
      </c>
      <c r="AG49" s="790"/>
      <c r="AH49" s="790"/>
      <c r="AI49" s="790"/>
      <c r="AJ49" s="790">
        <v>21000</v>
      </c>
      <c r="AK49" s="790"/>
      <c r="AL49" s="796"/>
      <c r="AM49" s="796"/>
      <c r="AN49" s="776"/>
      <c r="AO49" s="776"/>
      <c r="AP49" s="795" t="s">
        <v>3211</v>
      </c>
    </row>
    <row r="50" s="693" customFormat="1" ht="24" customHeight="1" spans="1:42">
      <c r="A50" s="709">
        <v>43904</v>
      </c>
      <c r="B50" s="711" t="s">
        <v>3202</v>
      </c>
      <c r="C50" s="711">
        <v>4500029364</v>
      </c>
      <c r="D50" s="712">
        <v>6242950</v>
      </c>
      <c r="E50" s="712" t="s">
        <v>230</v>
      </c>
      <c r="F50" s="711" t="s">
        <v>3203</v>
      </c>
      <c r="G50" s="712" t="s">
        <v>2119</v>
      </c>
      <c r="H50" s="713">
        <v>10000</v>
      </c>
      <c r="I50" s="712">
        <v>0</v>
      </c>
      <c r="J50" s="712">
        <v>12</v>
      </c>
      <c r="K50" s="698">
        <f t="shared" ref="K50:K57" si="45">H50/J50</f>
        <v>833.333333333333</v>
      </c>
      <c r="L50" s="738">
        <v>2.2604</v>
      </c>
      <c r="M50" s="745">
        <v>67812</v>
      </c>
      <c r="N50" s="741">
        <v>44069</v>
      </c>
      <c r="O50" s="750" t="s">
        <v>3220</v>
      </c>
      <c r="P50" s="742"/>
      <c r="Q50" s="727">
        <v>44071</v>
      </c>
      <c r="R50" s="771"/>
      <c r="S50" s="744">
        <v>43903</v>
      </c>
      <c r="T50" s="744"/>
      <c r="U50" s="744" t="s">
        <v>1427</v>
      </c>
      <c r="V50" s="712"/>
      <c r="W50" s="712" t="s">
        <v>3216</v>
      </c>
      <c r="X50" s="769"/>
      <c r="Y50" s="712" t="s">
        <v>91</v>
      </c>
      <c r="Z50" s="789"/>
      <c r="AA50" s="789"/>
      <c r="AB50" s="776">
        <v>17500</v>
      </c>
      <c r="AC50" s="776">
        <v>7500</v>
      </c>
      <c r="AD50" s="776">
        <v>5000</v>
      </c>
      <c r="AE50" s="776"/>
      <c r="AF50" s="776">
        <v>30000</v>
      </c>
      <c r="AG50" s="790"/>
      <c r="AH50" s="790"/>
      <c r="AI50" s="790"/>
      <c r="AJ50" s="790">
        <v>30000</v>
      </c>
      <c r="AK50" s="790"/>
      <c r="AL50" s="796"/>
      <c r="AM50" s="796"/>
      <c r="AN50" s="776"/>
      <c r="AO50" s="776"/>
      <c r="AP50" s="795" t="s">
        <v>3221</v>
      </c>
    </row>
    <row r="51" s="693" customFormat="1" ht="24" customHeight="1" spans="1:42">
      <c r="A51" s="709">
        <v>43904</v>
      </c>
      <c r="B51" s="711" t="s">
        <v>3202</v>
      </c>
      <c r="C51" s="711">
        <v>4500029367</v>
      </c>
      <c r="D51" s="712">
        <v>6242970</v>
      </c>
      <c r="E51" s="712" t="s">
        <v>230</v>
      </c>
      <c r="F51" s="711" t="s">
        <v>3203</v>
      </c>
      <c r="G51" s="712" t="s">
        <v>2119</v>
      </c>
      <c r="H51" s="713">
        <v>16000</v>
      </c>
      <c r="I51" s="712">
        <v>0</v>
      </c>
      <c r="J51" s="712">
        <v>12</v>
      </c>
      <c r="K51" s="698">
        <f t="shared" si="45"/>
        <v>1333.33333333333</v>
      </c>
      <c r="L51" s="738">
        <v>2.2603</v>
      </c>
      <c r="M51" s="745">
        <v>115275.3</v>
      </c>
      <c r="N51" s="741">
        <v>44086</v>
      </c>
      <c r="O51" s="750" t="s">
        <v>3220</v>
      </c>
      <c r="P51" s="742"/>
      <c r="Q51" s="727">
        <v>44088</v>
      </c>
      <c r="R51" s="771"/>
      <c r="S51" s="744">
        <v>43907</v>
      </c>
      <c r="T51" s="744"/>
      <c r="U51" s="744" t="s">
        <v>1427</v>
      </c>
      <c r="V51" s="712"/>
      <c r="W51" s="712" t="s">
        <v>3216</v>
      </c>
      <c r="X51" s="769"/>
      <c r="Y51" s="712" t="s">
        <v>91</v>
      </c>
      <c r="Z51" s="789"/>
      <c r="AA51" s="789"/>
      <c r="AB51" s="776">
        <v>29750</v>
      </c>
      <c r="AC51" s="776">
        <v>12750</v>
      </c>
      <c r="AD51" s="776">
        <v>8500</v>
      </c>
      <c r="AE51" s="776"/>
      <c r="AF51" s="776">
        <v>51000</v>
      </c>
      <c r="AG51" s="790"/>
      <c r="AH51" s="790"/>
      <c r="AI51" s="790"/>
      <c r="AJ51" s="790">
        <v>51000</v>
      </c>
      <c r="AK51" s="790"/>
      <c r="AL51" s="796"/>
      <c r="AM51" s="796"/>
      <c r="AN51" s="776"/>
      <c r="AO51" s="776"/>
      <c r="AP51" s="795" t="s">
        <v>3221</v>
      </c>
    </row>
    <row r="52" s="693" customFormat="1" ht="24" customHeight="1" spans="1:42">
      <c r="A52" s="709">
        <v>43904</v>
      </c>
      <c r="B52" s="711" t="s">
        <v>3202</v>
      </c>
      <c r="C52" s="711">
        <v>4500029368</v>
      </c>
      <c r="D52" s="712">
        <v>6242975</v>
      </c>
      <c r="E52" s="712" t="s">
        <v>230</v>
      </c>
      <c r="F52" s="711" t="s">
        <v>3222</v>
      </c>
      <c r="G52" s="712" t="s">
        <v>3223</v>
      </c>
      <c r="H52" s="713">
        <v>5000</v>
      </c>
      <c r="I52" s="712">
        <v>0</v>
      </c>
      <c r="J52" s="712">
        <v>6</v>
      </c>
      <c r="K52" s="698">
        <f t="shared" si="45"/>
        <v>833.333333333333</v>
      </c>
      <c r="L52" s="738">
        <v>6.798</v>
      </c>
      <c r="M52" s="745">
        <v>101970</v>
      </c>
      <c r="N52" s="741">
        <v>44100</v>
      </c>
      <c r="O52" s="750" t="s">
        <v>3220</v>
      </c>
      <c r="P52" s="742"/>
      <c r="Q52" s="727">
        <v>44103</v>
      </c>
      <c r="R52" s="771"/>
      <c r="S52" s="744">
        <v>43903</v>
      </c>
      <c r="T52" s="744"/>
      <c r="U52" s="744" t="s">
        <v>1427</v>
      </c>
      <c r="V52" s="712"/>
      <c r="W52" s="712" t="s">
        <v>3224</v>
      </c>
      <c r="X52" s="769"/>
      <c r="Y52" s="712" t="s">
        <v>91</v>
      </c>
      <c r="Z52" s="789"/>
      <c r="AA52" s="789"/>
      <c r="AB52" s="694">
        <v>15000</v>
      </c>
      <c r="AC52" s="698">
        <v>15000</v>
      </c>
      <c r="AD52" s="698">
        <v>15000</v>
      </c>
      <c r="AE52" s="776"/>
      <c r="AF52" s="776">
        <v>15000</v>
      </c>
      <c r="AG52" s="790"/>
      <c r="AH52" s="790"/>
      <c r="AI52" s="790"/>
      <c r="AJ52" s="790"/>
      <c r="AK52" s="790"/>
      <c r="AL52" s="796"/>
      <c r="AM52" s="796"/>
      <c r="AN52" s="776"/>
      <c r="AO52" s="776">
        <v>15000</v>
      </c>
      <c r="AP52" s="795" t="s">
        <v>3225</v>
      </c>
    </row>
    <row r="53" s="693" customFormat="1" ht="24" customHeight="1" spans="1:42">
      <c r="A53" s="709">
        <v>43904</v>
      </c>
      <c r="B53" s="711" t="s">
        <v>3202</v>
      </c>
      <c r="C53" s="711">
        <v>4500029369</v>
      </c>
      <c r="D53" s="712">
        <v>6242971</v>
      </c>
      <c r="E53" s="712" t="s">
        <v>230</v>
      </c>
      <c r="F53" s="711" t="s">
        <v>3203</v>
      </c>
      <c r="G53" s="712" t="s">
        <v>2119</v>
      </c>
      <c r="H53" s="713">
        <v>8000</v>
      </c>
      <c r="I53" s="712">
        <v>0</v>
      </c>
      <c r="J53" s="712">
        <v>12</v>
      </c>
      <c r="K53" s="698">
        <f t="shared" si="45"/>
        <v>666.666666666667</v>
      </c>
      <c r="L53" s="738">
        <v>2.2731</v>
      </c>
      <c r="M53" s="745">
        <v>54554.4</v>
      </c>
      <c r="N53" s="741">
        <v>44123</v>
      </c>
      <c r="O53" s="750" t="s">
        <v>3220</v>
      </c>
      <c r="P53" s="742"/>
      <c r="Q53" s="727">
        <v>44125</v>
      </c>
      <c r="R53" s="771"/>
      <c r="S53" s="744">
        <v>43903</v>
      </c>
      <c r="T53" s="744"/>
      <c r="U53" s="744" t="s">
        <v>1427</v>
      </c>
      <c r="V53" s="712"/>
      <c r="W53" s="712" t="s">
        <v>3216</v>
      </c>
      <c r="X53" s="769"/>
      <c r="Y53" s="712" t="s">
        <v>91</v>
      </c>
      <c r="Z53" s="789"/>
      <c r="AA53" s="789"/>
      <c r="AB53" s="776">
        <v>14000</v>
      </c>
      <c r="AC53" s="776">
        <v>6000</v>
      </c>
      <c r="AD53" s="776">
        <v>4000</v>
      </c>
      <c r="AE53" s="776"/>
      <c r="AF53" s="776">
        <v>24000</v>
      </c>
      <c r="AG53" s="790"/>
      <c r="AH53" s="790"/>
      <c r="AI53" s="790"/>
      <c r="AJ53" s="790">
        <v>24000</v>
      </c>
      <c r="AK53" s="790"/>
      <c r="AL53" s="796"/>
      <c r="AM53" s="796"/>
      <c r="AN53" s="776"/>
      <c r="AO53" s="776"/>
      <c r="AP53" s="795" t="s">
        <v>3206</v>
      </c>
    </row>
    <row r="54" s="693" customFormat="1" ht="24" customHeight="1" spans="1:42">
      <c r="A54" s="709">
        <v>43904</v>
      </c>
      <c r="B54" s="711" t="s">
        <v>3202</v>
      </c>
      <c r="C54" s="711">
        <v>4500029371</v>
      </c>
      <c r="D54" s="712">
        <v>6242973</v>
      </c>
      <c r="E54" s="712" t="s">
        <v>230</v>
      </c>
      <c r="F54" s="711" t="s">
        <v>3203</v>
      </c>
      <c r="G54" s="712" t="s">
        <v>2119</v>
      </c>
      <c r="H54" s="713">
        <v>2500</v>
      </c>
      <c r="I54" s="712">
        <v>0</v>
      </c>
      <c r="J54" s="712">
        <v>12</v>
      </c>
      <c r="K54" s="698">
        <f t="shared" si="45"/>
        <v>208.333333333333</v>
      </c>
      <c r="L54" s="738">
        <v>2.2784</v>
      </c>
      <c r="M54" s="745">
        <v>17088</v>
      </c>
      <c r="N54" s="741">
        <v>44158</v>
      </c>
      <c r="O54" s="750" t="s">
        <v>3220</v>
      </c>
      <c r="P54" s="742"/>
      <c r="Q54" s="727">
        <v>44160</v>
      </c>
      <c r="R54" s="771"/>
      <c r="S54" s="744">
        <v>43903</v>
      </c>
      <c r="T54" s="744"/>
      <c r="U54" s="744" t="s">
        <v>1427</v>
      </c>
      <c r="V54" s="712"/>
      <c r="W54" s="712" t="s">
        <v>3216</v>
      </c>
      <c r="X54" s="769"/>
      <c r="Y54" s="712" t="s">
        <v>91</v>
      </c>
      <c r="Z54" s="789"/>
      <c r="AA54" s="789"/>
      <c r="AB54" s="776">
        <v>4375</v>
      </c>
      <c r="AC54" s="776">
        <v>1875</v>
      </c>
      <c r="AD54" s="776">
        <v>1250</v>
      </c>
      <c r="AE54" s="776"/>
      <c r="AF54" s="776">
        <v>7500</v>
      </c>
      <c r="AG54" s="790"/>
      <c r="AH54" s="790"/>
      <c r="AI54" s="790"/>
      <c r="AJ54" s="790">
        <v>7500</v>
      </c>
      <c r="AK54" s="790"/>
      <c r="AL54" s="796"/>
      <c r="AM54" s="796"/>
      <c r="AN54" s="776"/>
      <c r="AO54" s="776"/>
      <c r="AP54" s="795" t="s">
        <v>3226</v>
      </c>
    </row>
    <row r="55" s="693" customFormat="1" ht="24" customHeight="1" spans="1:42">
      <c r="A55" s="718">
        <v>43908</v>
      </c>
      <c r="B55" s="711" t="s">
        <v>3227</v>
      </c>
      <c r="C55" s="711">
        <v>4500029504</v>
      </c>
      <c r="D55" s="711"/>
      <c r="E55" s="711" t="s">
        <v>3228</v>
      </c>
      <c r="F55" s="711" t="s">
        <v>3229</v>
      </c>
      <c r="G55" s="712" t="s">
        <v>2119</v>
      </c>
      <c r="H55" s="713">
        <v>0</v>
      </c>
      <c r="I55" s="711">
        <v>0</v>
      </c>
      <c r="J55" s="711">
        <v>6</v>
      </c>
      <c r="K55" s="698">
        <f t="shared" si="45"/>
        <v>0</v>
      </c>
      <c r="L55" s="751">
        <v>2.4245</v>
      </c>
      <c r="M55" s="745">
        <f>L55*H55</f>
        <v>0</v>
      </c>
      <c r="N55" s="742" t="s">
        <v>3230</v>
      </c>
      <c r="O55" s="742"/>
      <c r="P55" s="742"/>
      <c r="Q55" s="777">
        <v>43945</v>
      </c>
      <c r="R55" s="771"/>
      <c r="S55" s="770">
        <v>43920</v>
      </c>
      <c r="T55" s="744"/>
      <c r="U55" s="770">
        <v>43908</v>
      </c>
      <c r="V55" s="711"/>
      <c r="W55" s="711" t="s">
        <v>3231</v>
      </c>
      <c r="X55" s="778"/>
      <c r="Y55" s="712" t="s">
        <v>3232</v>
      </c>
      <c r="Z55" s="791"/>
      <c r="AA55" s="791"/>
      <c r="AB55" s="776">
        <f>H55/6*4</f>
        <v>0</v>
      </c>
      <c r="AC55" s="776">
        <f>H55/6</f>
        <v>0</v>
      </c>
      <c r="AD55" s="776">
        <f>H55/6</f>
        <v>0</v>
      </c>
      <c r="AE55" s="776"/>
      <c r="AF55" s="776"/>
      <c r="AG55" s="800"/>
      <c r="AH55" s="800">
        <f>H55</f>
        <v>0</v>
      </c>
      <c r="AI55" s="800"/>
      <c r="AJ55" s="800"/>
      <c r="AK55" s="800"/>
      <c r="AL55" s="801">
        <f>H55</f>
        <v>0</v>
      </c>
      <c r="AM55" s="801"/>
      <c r="AN55" s="776"/>
      <c r="AO55" s="776"/>
      <c r="AP55" s="795" t="s">
        <v>3233</v>
      </c>
    </row>
    <row r="56" s="693" customFormat="1" ht="24" customHeight="1" spans="1:42">
      <c r="A56" s="709">
        <v>43879</v>
      </c>
      <c r="B56" s="711" t="s">
        <v>3202</v>
      </c>
      <c r="C56" s="711">
        <v>4500028523</v>
      </c>
      <c r="D56" s="712">
        <v>6998045</v>
      </c>
      <c r="E56" s="712" t="s">
        <v>230</v>
      </c>
      <c r="F56" s="711" t="s">
        <v>3203</v>
      </c>
      <c r="G56" s="712" t="s">
        <v>2119</v>
      </c>
      <c r="H56" s="713">
        <v>20004</v>
      </c>
      <c r="I56" s="712">
        <v>0</v>
      </c>
      <c r="J56" s="712">
        <v>12</v>
      </c>
      <c r="K56" s="698">
        <f t="shared" si="45"/>
        <v>1667</v>
      </c>
      <c r="L56" s="738">
        <v>2.3325</v>
      </c>
      <c r="M56" s="744">
        <f>L56*H56</f>
        <v>46659.33</v>
      </c>
      <c r="N56" s="742" t="s">
        <v>3234</v>
      </c>
      <c r="O56" s="744" t="s">
        <v>3213</v>
      </c>
      <c r="P56" s="752"/>
      <c r="Q56" s="744">
        <v>43920</v>
      </c>
      <c r="R56" s="775"/>
      <c r="S56" s="775">
        <v>43878</v>
      </c>
      <c r="T56" s="776"/>
      <c r="U56" s="779" t="s">
        <v>3214</v>
      </c>
      <c r="V56" s="776"/>
      <c r="W56" s="776" t="s">
        <v>3180</v>
      </c>
      <c r="X56" s="776"/>
      <c r="Y56" s="790" t="s">
        <v>91</v>
      </c>
      <c r="Z56" s="790"/>
      <c r="AA56" s="790"/>
      <c r="AB56" s="790">
        <f>H56/12*7</f>
        <v>11669</v>
      </c>
      <c r="AC56" s="790">
        <f>H56/12*3</f>
        <v>5001</v>
      </c>
      <c r="AD56" s="790">
        <f>H56/12*2</f>
        <v>3334</v>
      </c>
      <c r="AE56" s="790"/>
      <c r="AF56" s="776">
        <f>H56</f>
        <v>20004</v>
      </c>
      <c r="AG56" s="776"/>
      <c r="AH56" s="798"/>
      <c r="AI56" s="799"/>
      <c r="AJ56" s="799">
        <f>H56</f>
        <v>20004</v>
      </c>
      <c r="AK56" s="711"/>
      <c r="AL56" s="698"/>
      <c r="AM56" s="698"/>
      <c r="AN56" s="694"/>
      <c r="AO56" s="692"/>
      <c r="AP56" s="802" t="s">
        <v>3215</v>
      </c>
    </row>
    <row r="57" s="693" customFormat="1" ht="24" customHeight="1" spans="1:42">
      <c r="A57" s="709">
        <v>43900</v>
      </c>
      <c r="B57" s="711" t="s">
        <v>3146</v>
      </c>
      <c r="C57" s="711">
        <v>4500028861</v>
      </c>
      <c r="D57" s="712">
        <v>778260</v>
      </c>
      <c r="E57" s="712" t="s">
        <v>3217</v>
      </c>
      <c r="F57" s="711" t="s">
        <v>3123</v>
      </c>
      <c r="G57" s="712" t="s">
        <v>2119</v>
      </c>
      <c r="H57" s="713">
        <v>2400</v>
      </c>
      <c r="I57" s="712">
        <v>0</v>
      </c>
      <c r="J57" s="712">
        <v>6</v>
      </c>
      <c r="K57" s="698">
        <f t="shared" si="45"/>
        <v>400</v>
      </c>
      <c r="L57" s="747">
        <v>2.4981</v>
      </c>
      <c r="M57" s="753">
        <f>L57*H57</f>
        <v>5995.44</v>
      </c>
      <c r="N57" s="754">
        <v>43922</v>
      </c>
      <c r="O57" s="750" t="s">
        <v>3235</v>
      </c>
      <c r="P57" s="742"/>
      <c r="Q57" s="727">
        <v>43924</v>
      </c>
      <c r="R57" s="771"/>
      <c r="S57" s="744">
        <v>43888</v>
      </c>
      <c r="T57" s="744"/>
      <c r="U57" s="744">
        <v>43906</v>
      </c>
      <c r="V57" s="712"/>
      <c r="W57" s="712" t="s">
        <v>3216</v>
      </c>
      <c r="X57" s="769"/>
      <c r="Y57" s="712" t="s">
        <v>91</v>
      </c>
      <c r="Z57" s="789"/>
      <c r="AA57" s="789"/>
      <c r="AB57" s="776">
        <f>H57/3</f>
        <v>800</v>
      </c>
      <c r="AC57" s="776">
        <f>H57/3</f>
        <v>800</v>
      </c>
      <c r="AD57" s="776">
        <f>H57/3</f>
        <v>800</v>
      </c>
      <c r="AE57" s="776"/>
      <c r="AF57" s="776">
        <f>H57</f>
        <v>2400</v>
      </c>
      <c r="AG57" s="790"/>
      <c r="AH57" s="790"/>
      <c r="AI57" s="790"/>
      <c r="AJ57" s="790">
        <f>H57</f>
        <v>2400</v>
      </c>
      <c r="AK57" s="790"/>
      <c r="AL57" s="796"/>
      <c r="AM57" s="796"/>
      <c r="AN57" s="776"/>
      <c r="AO57" s="776"/>
      <c r="AP57" s="795" t="s">
        <v>3219</v>
      </c>
    </row>
    <row r="58" s="693" customFormat="1" ht="24" customHeight="1" spans="1:42">
      <c r="A58" s="709">
        <v>43843</v>
      </c>
      <c r="B58" s="711" t="s">
        <v>3202</v>
      </c>
      <c r="C58" s="711">
        <v>4500028148</v>
      </c>
      <c r="D58" s="712">
        <v>7538840</v>
      </c>
      <c r="E58" s="712" t="s">
        <v>230</v>
      </c>
      <c r="F58" s="711" t="s">
        <v>3203</v>
      </c>
      <c r="G58" s="712" t="s">
        <v>2119</v>
      </c>
      <c r="H58" s="713">
        <v>1500</v>
      </c>
      <c r="I58" s="712">
        <v>0</v>
      </c>
      <c r="J58" s="712">
        <v>12</v>
      </c>
      <c r="K58" s="698">
        <v>125</v>
      </c>
      <c r="L58" s="738">
        <v>2.5324</v>
      </c>
      <c r="M58" s="745">
        <v>3798.6</v>
      </c>
      <c r="N58" s="741">
        <v>43922</v>
      </c>
      <c r="O58" s="742" t="s">
        <v>3234</v>
      </c>
      <c r="P58" s="742"/>
      <c r="Q58" s="727">
        <v>43924</v>
      </c>
      <c r="R58" s="771"/>
      <c r="S58" s="744">
        <v>43843</v>
      </c>
      <c r="T58" s="744"/>
      <c r="U58" s="744" t="s">
        <v>3205</v>
      </c>
      <c r="V58" s="712"/>
      <c r="W58" s="712" t="s">
        <v>3173</v>
      </c>
      <c r="X58" s="769"/>
      <c r="Y58" s="712" t="s">
        <v>91</v>
      </c>
      <c r="Z58" s="789"/>
      <c r="AA58" s="789"/>
      <c r="AB58" s="776">
        <v>875</v>
      </c>
      <c r="AC58" s="776">
        <v>375</v>
      </c>
      <c r="AD58" s="776">
        <v>250</v>
      </c>
      <c r="AE58" s="776"/>
      <c r="AF58" s="776">
        <v>1500</v>
      </c>
      <c r="AG58" s="790"/>
      <c r="AH58" s="790"/>
      <c r="AI58" s="790"/>
      <c r="AJ58" s="790">
        <v>1500</v>
      </c>
      <c r="AK58" s="790"/>
      <c r="AL58" s="796"/>
      <c r="AM58" s="796"/>
      <c r="AN58" s="776"/>
      <c r="AO58" s="776"/>
      <c r="AP58" s="716" t="s">
        <v>3206</v>
      </c>
    </row>
    <row r="59" s="693" customFormat="1" ht="24" customHeight="1" spans="1:42">
      <c r="A59" s="709">
        <v>43879</v>
      </c>
      <c r="B59" s="711" t="s">
        <v>3202</v>
      </c>
      <c r="C59" s="711">
        <v>4500028527</v>
      </c>
      <c r="D59" s="712">
        <v>6241044</v>
      </c>
      <c r="E59" s="712" t="s">
        <v>230</v>
      </c>
      <c r="F59" s="711" t="s">
        <v>3203</v>
      </c>
      <c r="G59" s="712" t="s">
        <v>2119</v>
      </c>
      <c r="H59" s="713">
        <v>12744</v>
      </c>
      <c r="I59" s="712">
        <v>0</v>
      </c>
      <c r="J59" s="712">
        <v>12</v>
      </c>
      <c r="K59" s="698">
        <v>1062</v>
      </c>
      <c r="L59" s="728">
        <v>2.3324</v>
      </c>
      <c r="M59" s="745">
        <v>29724.1056</v>
      </c>
      <c r="N59" s="741">
        <v>43924</v>
      </c>
      <c r="O59" s="742" t="s">
        <v>3234</v>
      </c>
      <c r="P59" s="742"/>
      <c r="Q59" s="727">
        <v>43927</v>
      </c>
      <c r="R59" s="771"/>
      <c r="S59" s="744">
        <v>43878</v>
      </c>
      <c r="T59" s="744"/>
      <c r="U59" s="744" t="s">
        <v>3210</v>
      </c>
      <c r="V59" s="712"/>
      <c r="W59" s="712" t="s">
        <v>3173</v>
      </c>
      <c r="X59" s="769"/>
      <c r="Y59" s="712" t="s">
        <v>91</v>
      </c>
      <c r="Z59" s="789"/>
      <c r="AA59" s="789"/>
      <c r="AB59" s="776">
        <v>7434</v>
      </c>
      <c r="AC59" s="776">
        <v>3186</v>
      </c>
      <c r="AD59" s="776">
        <v>2124</v>
      </c>
      <c r="AE59" s="776"/>
      <c r="AF59" s="776">
        <v>12744</v>
      </c>
      <c r="AG59" s="790"/>
      <c r="AH59" s="790"/>
      <c r="AI59" s="790"/>
      <c r="AJ59" s="790">
        <v>12744</v>
      </c>
      <c r="AK59" s="790"/>
      <c r="AL59" s="796"/>
      <c r="AM59" s="796"/>
      <c r="AN59" s="776"/>
      <c r="AO59" s="776"/>
      <c r="AP59" s="795" t="s">
        <v>3211</v>
      </c>
    </row>
    <row r="60" s="693" customFormat="1" ht="24" customHeight="1" spans="1:42">
      <c r="A60" s="709">
        <v>43879</v>
      </c>
      <c r="B60" s="711" t="s">
        <v>3202</v>
      </c>
      <c r="C60" s="711">
        <v>4500028524</v>
      </c>
      <c r="D60" s="712">
        <v>6998046</v>
      </c>
      <c r="E60" s="712" t="s">
        <v>230</v>
      </c>
      <c r="F60" s="711" t="s">
        <v>3203</v>
      </c>
      <c r="G60" s="712" t="s">
        <v>2119</v>
      </c>
      <c r="H60" s="713">
        <v>35004</v>
      </c>
      <c r="I60" s="712">
        <v>0</v>
      </c>
      <c r="J60" s="712">
        <v>12</v>
      </c>
      <c r="K60" s="698">
        <v>2917</v>
      </c>
      <c r="L60" s="738">
        <v>2.3222</v>
      </c>
      <c r="M60" s="745">
        <v>81286.2888</v>
      </c>
      <c r="N60" s="741">
        <v>43946</v>
      </c>
      <c r="O60" s="742" t="s">
        <v>3234</v>
      </c>
      <c r="P60" s="742"/>
      <c r="Q60" s="727">
        <v>43948</v>
      </c>
      <c r="R60" s="771"/>
      <c r="S60" s="744">
        <v>43878</v>
      </c>
      <c r="T60" s="744"/>
      <c r="U60" s="744" t="s">
        <v>3205</v>
      </c>
      <c r="V60" s="712"/>
      <c r="W60" s="712" t="s">
        <v>3173</v>
      </c>
      <c r="X60" s="769"/>
      <c r="Y60" s="712" t="s">
        <v>91</v>
      </c>
      <c r="Z60" s="789"/>
      <c r="AA60" s="789"/>
      <c r="AB60" s="776">
        <v>20419</v>
      </c>
      <c r="AC60" s="776">
        <v>8751</v>
      </c>
      <c r="AD60" s="776">
        <v>5834</v>
      </c>
      <c r="AE60" s="776"/>
      <c r="AF60" s="776">
        <v>35004</v>
      </c>
      <c r="AG60" s="790"/>
      <c r="AH60" s="790"/>
      <c r="AI60" s="790"/>
      <c r="AJ60" s="790">
        <v>35004</v>
      </c>
      <c r="AK60" s="790"/>
      <c r="AL60" s="796"/>
      <c r="AM60" s="796"/>
      <c r="AN60" s="776"/>
      <c r="AO60" s="776"/>
      <c r="AP60" s="795" t="s">
        <v>3212</v>
      </c>
    </row>
    <row r="61" s="693" customFormat="1" ht="24" customHeight="1" spans="1:42">
      <c r="A61" s="709">
        <v>43879</v>
      </c>
      <c r="B61" s="711" t="s">
        <v>3202</v>
      </c>
      <c r="C61" s="711">
        <v>4500028525</v>
      </c>
      <c r="D61" s="712">
        <v>6998047</v>
      </c>
      <c r="E61" s="712" t="s">
        <v>230</v>
      </c>
      <c r="F61" s="711" t="s">
        <v>3203</v>
      </c>
      <c r="G61" s="712" t="s">
        <v>2119</v>
      </c>
      <c r="H61" s="713">
        <v>20004</v>
      </c>
      <c r="I61" s="712">
        <v>0</v>
      </c>
      <c r="J61" s="712">
        <v>12</v>
      </c>
      <c r="K61" s="698">
        <v>1667</v>
      </c>
      <c r="L61" s="738">
        <v>2.3691</v>
      </c>
      <c r="M61" s="745">
        <v>47391.4764</v>
      </c>
      <c r="N61" s="741">
        <v>43978</v>
      </c>
      <c r="O61" s="742" t="s">
        <v>3234</v>
      </c>
      <c r="P61" s="742"/>
      <c r="Q61" s="727">
        <v>43980</v>
      </c>
      <c r="R61" s="771"/>
      <c r="S61" s="744">
        <v>43878</v>
      </c>
      <c r="T61" s="744"/>
      <c r="U61" s="744" t="s">
        <v>3205</v>
      </c>
      <c r="V61" s="712"/>
      <c r="W61" s="712" t="s">
        <v>3173</v>
      </c>
      <c r="X61" s="769"/>
      <c r="Y61" s="712" t="s">
        <v>91</v>
      </c>
      <c r="Z61" s="789"/>
      <c r="AA61" s="789"/>
      <c r="AB61" s="776">
        <v>11669</v>
      </c>
      <c r="AC61" s="776">
        <v>5001</v>
      </c>
      <c r="AD61" s="776">
        <v>3334</v>
      </c>
      <c r="AE61" s="776"/>
      <c r="AF61" s="776">
        <v>20004</v>
      </c>
      <c r="AG61" s="790"/>
      <c r="AH61" s="790"/>
      <c r="AI61" s="790"/>
      <c r="AJ61" s="790">
        <v>20004</v>
      </c>
      <c r="AK61" s="790"/>
      <c r="AL61" s="796"/>
      <c r="AM61" s="796"/>
      <c r="AN61" s="776"/>
      <c r="AO61" s="776"/>
      <c r="AP61" s="795" t="s">
        <v>3206</v>
      </c>
    </row>
    <row r="62" s="693" customFormat="1" ht="24" customHeight="1" spans="1:42">
      <c r="A62" s="709">
        <v>43907</v>
      </c>
      <c r="B62" s="711" t="s">
        <v>3202</v>
      </c>
      <c r="C62" s="711">
        <v>4500029466</v>
      </c>
      <c r="D62" s="712">
        <v>7549969</v>
      </c>
      <c r="E62" s="712" t="s">
        <v>230</v>
      </c>
      <c r="F62" s="711" t="s">
        <v>3203</v>
      </c>
      <c r="G62" s="712" t="s">
        <v>2119</v>
      </c>
      <c r="H62" s="713">
        <v>1800</v>
      </c>
      <c r="I62" s="712">
        <v>0</v>
      </c>
      <c r="J62" s="712">
        <v>12</v>
      </c>
      <c r="K62" s="698">
        <v>150</v>
      </c>
      <c r="L62" s="738">
        <v>2.2785</v>
      </c>
      <c r="M62" s="745">
        <v>4101.3</v>
      </c>
      <c r="N62" s="741">
        <v>43979</v>
      </c>
      <c r="O62" s="742" t="s">
        <v>3234</v>
      </c>
      <c r="P62" s="742"/>
      <c r="Q62" s="727">
        <v>43983</v>
      </c>
      <c r="R62" s="771"/>
      <c r="S62" s="744">
        <v>43907</v>
      </c>
      <c r="T62" s="744"/>
      <c r="U62" s="744" t="s">
        <v>1427</v>
      </c>
      <c r="V62" s="712"/>
      <c r="W62" s="712" t="s">
        <v>3216</v>
      </c>
      <c r="X62" s="769"/>
      <c r="Y62" s="712" t="s">
        <v>91</v>
      </c>
      <c r="Z62" s="789"/>
      <c r="AA62" s="789"/>
      <c r="AB62" s="776">
        <v>1050</v>
      </c>
      <c r="AC62" s="776">
        <v>450</v>
      </c>
      <c r="AD62" s="776">
        <v>300</v>
      </c>
      <c r="AE62" s="776"/>
      <c r="AF62" s="776">
        <v>1800</v>
      </c>
      <c r="AG62" s="790"/>
      <c r="AH62" s="790"/>
      <c r="AI62" s="790"/>
      <c r="AJ62" s="790">
        <v>1800</v>
      </c>
      <c r="AK62" s="790"/>
      <c r="AL62" s="796"/>
      <c r="AM62" s="796"/>
      <c r="AN62" s="776"/>
      <c r="AO62" s="776"/>
      <c r="AP62" s="795" t="s">
        <v>3206</v>
      </c>
    </row>
    <row r="63" s="693" customFormat="1" ht="24" customHeight="1" spans="1:42">
      <c r="A63" s="719">
        <v>43943</v>
      </c>
      <c r="B63" s="720" t="s">
        <v>3227</v>
      </c>
      <c r="C63" s="720">
        <v>4500030924</v>
      </c>
      <c r="E63" s="720" t="s">
        <v>3236</v>
      </c>
      <c r="F63" s="720" t="s">
        <v>3117</v>
      </c>
      <c r="G63" s="721" t="s">
        <v>2119</v>
      </c>
      <c r="H63" s="722">
        <v>0</v>
      </c>
      <c r="I63" s="720">
        <v>0</v>
      </c>
      <c r="J63" s="720">
        <v>12</v>
      </c>
      <c r="K63" s="755">
        <f>H63/J63</f>
        <v>0</v>
      </c>
      <c r="L63" s="756">
        <v>2.6566</v>
      </c>
      <c r="M63" s="757">
        <f>L63*H63</f>
        <v>0</v>
      </c>
      <c r="N63" s="758" t="s">
        <v>3237</v>
      </c>
      <c r="O63" s="759"/>
      <c r="P63" s="742"/>
      <c r="Q63" s="777">
        <v>44020</v>
      </c>
      <c r="R63" s="771"/>
      <c r="S63" s="744" t="s">
        <v>1427</v>
      </c>
      <c r="T63" s="744"/>
      <c r="U63" s="744" t="s">
        <v>1427</v>
      </c>
      <c r="V63" s="711"/>
      <c r="W63" s="711" t="s">
        <v>3231</v>
      </c>
      <c r="X63" s="778"/>
      <c r="Y63" s="712" t="s">
        <v>3238</v>
      </c>
      <c r="Z63" s="791"/>
      <c r="AA63" s="791"/>
      <c r="AB63" s="776">
        <f>H63/3</f>
        <v>0</v>
      </c>
      <c r="AC63" s="776">
        <f>H63/3</f>
        <v>0</v>
      </c>
      <c r="AD63" s="776">
        <f>H63/3</f>
        <v>0</v>
      </c>
      <c r="AE63" s="776"/>
      <c r="AF63" s="776"/>
      <c r="AG63" s="800"/>
      <c r="AH63" s="800">
        <f>H63</f>
        <v>0</v>
      </c>
      <c r="AI63" s="800"/>
      <c r="AJ63" s="800"/>
      <c r="AK63" s="800"/>
      <c r="AL63" s="801">
        <f>H63</f>
        <v>0</v>
      </c>
      <c r="AM63" s="801"/>
      <c r="AN63" s="776"/>
      <c r="AO63" s="776"/>
      <c r="AP63" s="795" t="s">
        <v>3239</v>
      </c>
    </row>
    <row r="64" s="693" customFormat="1" ht="24" customHeight="1" spans="1:42">
      <c r="A64" s="723">
        <v>43943</v>
      </c>
      <c r="B64" s="720" t="s">
        <v>3227</v>
      </c>
      <c r="C64" s="720">
        <v>4500030924</v>
      </c>
      <c r="D64" s="694"/>
      <c r="E64" s="712" t="s">
        <v>3236</v>
      </c>
      <c r="F64" s="711" t="s">
        <v>3117</v>
      </c>
      <c r="G64" s="712" t="s">
        <v>2119</v>
      </c>
      <c r="H64" s="711">
        <v>816</v>
      </c>
      <c r="I64" s="712">
        <v>0</v>
      </c>
      <c r="J64" s="721">
        <v>12</v>
      </c>
      <c r="K64" s="755">
        <f t="shared" ref="K64:K67" si="46">H64/J64</f>
        <v>68</v>
      </c>
      <c r="L64" s="747">
        <v>2.6566</v>
      </c>
      <c r="M64" s="725">
        <f t="shared" ref="M64:M72" si="47">L64*H64</f>
        <v>2167.7856</v>
      </c>
      <c r="N64" s="760" t="s">
        <v>3240</v>
      </c>
      <c r="O64" s="748"/>
      <c r="P64" s="742"/>
      <c r="Q64" s="727">
        <v>44020</v>
      </c>
      <c r="R64" s="771"/>
      <c r="S64" s="744" t="s">
        <v>1427</v>
      </c>
      <c r="T64" s="744"/>
      <c r="U64" s="744" t="s">
        <v>1427</v>
      </c>
      <c r="V64" s="712"/>
      <c r="W64" s="712" t="s">
        <v>3241</v>
      </c>
      <c r="X64" s="769"/>
      <c r="Y64" s="712" t="s">
        <v>3238</v>
      </c>
      <c r="Z64" s="789"/>
      <c r="AA64" s="789"/>
      <c r="AB64" s="776">
        <f t="shared" ref="AB64:AB69" si="48">H64/3</f>
        <v>272</v>
      </c>
      <c r="AC64" s="776">
        <f t="shared" ref="AC64:AC69" si="49">H64/3</f>
        <v>272</v>
      </c>
      <c r="AD64" s="776">
        <f t="shared" ref="AD64:AD69" si="50">H64/3</f>
        <v>272</v>
      </c>
      <c r="AE64" s="776"/>
      <c r="AF64" s="776"/>
      <c r="AG64" s="790"/>
      <c r="AH64" s="790">
        <f>H64</f>
        <v>816</v>
      </c>
      <c r="AI64" s="790"/>
      <c r="AJ64" s="790"/>
      <c r="AK64" s="790"/>
      <c r="AL64" s="796">
        <f>H64</f>
        <v>816</v>
      </c>
      <c r="AM64" s="796"/>
      <c r="AN64" s="776"/>
      <c r="AO64" s="776"/>
      <c r="AP64" s="795" t="s">
        <v>3242</v>
      </c>
    </row>
    <row r="65" s="693" customFormat="1" ht="24" customHeight="1" spans="1:42">
      <c r="A65" s="723">
        <v>43908</v>
      </c>
      <c r="B65" s="720" t="s">
        <v>3227</v>
      </c>
      <c r="C65" s="720">
        <v>4500029504</v>
      </c>
      <c r="D65" s="694"/>
      <c r="E65" s="712" t="s">
        <v>3228</v>
      </c>
      <c r="F65" s="711" t="s">
        <v>3229</v>
      </c>
      <c r="G65" s="712" t="s">
        <v>2119</v>
      </c>
      <c r="H65" s="711">
        <v>2880</v>
      </c>
      <c r="I65" s="712">
        <v>0</v>
      </c>
      <c r="J65" s="721">
        <v>6</v>
      </c>
      <c r="K65" s="755">
        <f t="shared" si="46"/>
        <v>480</v>
      </c>
      <c r="L65" s="747">
        <v>2.4245</v>
      </c>
      <c r="M65" s="725">
        <f t="shared" si="47"/>
        <v>6982.56</v>
      </c>
      <c r="N65" s="760" t="s">
        <v>3243</v>
      </c>
      <c r="O65" s="748"/>
      <c r="P65" s="742"/>
      <c r="Q65" s="727">
        <v>43945</v>
      </c>
      <c r="R65" s="771"/>
      <c r="S65" s="744">
        <v>43920</v>
      </c>
      <c r="T65" s="744"/>
      <c r="U65" s="744">
        <v>43908</v>
      </c>
      <c r="V65" s="712"/>
      <c r="W65" s="712" t="s">
        <v>3241</v>
      </c>
      <c r="X65" s="769"/>
      <c r="Y65" s="712" t="s">
        <v>3232</v>
      </c>
      <c r="Z65" s="789"/>
      <c r="AA65" s="789"/>
      <c r="AB65" s="776">
        <f>H65/6*4</f>
        <v>1920</v>
      </c>
      <c r="AC65" s="776">
        <f>H65/6</f>
        <v>480</v>
      </c>
      <c r="AD65" s="776">
        <f>H65/6</f>
        <v>480</v>
      </c>
      <c r="AE65" s="776"/>
      <c r="AF65" s="776"/>
      <c r="AG65" s="790"/>
      <c r="AH65" s="790">
        <f>H65</f>
        <v>2880</v>
      </c>
      <c r="AI65" s="790"/>
      <c r="AJ65" s="790"/>
      <c r="AK65" s="790"/>
      <c r="AL65" s="796">
        <f>H65</f>
        <v>2880</v>
      </c>
      <c r="AM65" s="796"/>
      <c r="AN65" s="776"/>
      <c r="AO65" s="776"/>
      <c r="AP65" s="795" t="s">
        <v>3244</v>
      </c>
    </row>
    <row r="66" s="693" customFormat="1" ht="24" customHeight="1" spans="1:42">
      <c r="A66" s="723">
        <v>44030</v>
      </c>
      <c r="B66" s="720" t="s">
        <v>3245</v>
      </c>
      <c r="C66" s="720">
        <v>4500035845</v>
      </c>
      <c r="D66" s="694"/>
      <c r="E66" s="712" t="s">
        <v>1937</v>
      </c>
      <c r="F66" s="711" t="s">
        <v>3246</v>
      </c>
      <c r="G66" s="712" t="s">
        <v>3247</v>
      </c>
      <c r="H66" s="711">
        <v>600</v>
      </c>
      <c r="I66" s="712">
        <v>0</v>
      </c>
      <c r="J66" s="721">
        <v>6</v>
      </c>
      <c r="K66" s="755">
        <f t="shared" si="46"/>
        <v>100</v>
      </c>
      <c r="L66" s="747">
        <v>3.52</v>
      </c>
      <c r="M66" s="725">
        <f t="shared" si="47"/>
        <v>2112</v>
      </c>
      <c r="N66" s="760">
        <v>44055</v>
      </c>
      <c r="O66" s="748" t="s">
        <v>3248</v>
      </c>
      <c r="P66" s="742"/>
      <c r="Q66" s="727">
        <v>44057</v>
      </c>
      <c r="R66" s="771"/>
      <c r="S66" s="744" t="s">
        <v>1427</v>
      </c>
      <c r="T66" s="744" t="s">
        <v>1427</v>
      </c>
      <c r="U66" s="744" t="s">
        <v>1888</v>
      </c>
      <c r="V66" s="712"/>
      <c r="W66" s="712" t="s">
        <v>1938</v>
      </c>
      <c r="X66" s="769"/>
      <c r="Y66" s="712"/>
      <c r="Z66" s="789">
        <f t="shared" ref="Z66:Z71" si="51">H66</f>
        <v>600</v>
      </c>
      <c r="AA66" s="789">
        <f t="shared" ref="AA66:AA71" si="52">H66</f>
        <v>600</v>
      </c>
      <c r="AB66" s="776"/>
      <c r="AC66" s="776">
        <f t="shared" ref="AC66:AC71" si="53">H66</f>
        <v>600</v>
      </c>
      <c r="AD66" s="776"/>
      <c r="AE66" s="776"/>
      <c r="AF66" s="776"/>
      <c r="AG66" s="790" t="s">
        <v>3249</v>
      </c>
      <c r="AH66" s="790"/>
      <c r="AI66" s="790"/>
      <c r="AJ66" s="790"/>
      <c r="AK66" s="790"/>
      <c r="AL66" s="796"/>
      <c r="AM66" s="796"/>
      <c r="AN66" s="776"/>
      <c r="AO66" s="776"/>
      <c r="AP66" s="795"/>
    </row>
    <row r="67" s="693" customFormat="1" ht="24" customHeight="1" spans="1:42">
      <c r="A67" s="718">
        <v>44041</v>
      </c>
      <c r="B67" s="711" t="s">
        <v>3250</v>
      </c>
      <c r="C67" s="711">
        <v>4500036357</v>
      </c>
      <c r="D67" s="711">
        <v>4500114951</v>
      </c>
      <c r="E67" s="711" t="s">
        <v>3251</v>
      </c>
      <c r="F67" s="711" t="s">
        <v>3117</v>
      </c>
      <c r="G67" s="712" t="s">
        <v>3252</v>
      </c>
      <c r="H67" s="711">
        <v>1608</v>
      </c>
      <c r="I67" s="711">
        <v>0</v>
      </c>
      <c r="J67" s="711">
        <v>12</v>
      </c>
      <c r="K67" s="698">
        <f t="shared" si="46"/>
        <v>134</v>
      </c>
      <c r="L67" s="751">
        <v>2.3786</v>
      </c>
      <c r="M67" s="745">
        <f t="shared" si="47"/>
        <v>3824.7888</v>
      </c>
      <c r="N67" s="777">
        <v>44086</v>
      </c>
      <c r="O67" s="748" t="s">
        <v>3253</v>
      </c>
      <c r="P67" s="742"/>
      <c r="Q67" s="777">
        <v>44088</v>
      </c>
      <c r="R67" s="771"/>
      <c r="S67" s="744" t="s">
        <v>1427</v>
      </c>
      <c r="T67" s="744"/>
      <c r="U67" s="744" t="s">
        <v>1427</v>
      </c>
      <c r="V67" s="711"/>
      <c r="W67" s="711" t="s">
        <v>3254</v>
      </c>
      <c r="X67" s="778"/>
      <c r="Y67" s="712" t="s">
        <v>3255</v>
      </c>
      <c r="Z67" s="791"/>
      <c r="AA67" s="791"/>
      <c r="AB67" s="800">
        <f t="shared" si="48"/>
        <v>536</v>
      </c>
      <c r="AC67" s="776">
        <f t="shared" si="49"/>
        <v>536</v>
      </c>
      <c r="AD67" s="776">
        <f t="shared" si="50"/>
        <v>536</v>
      </c>
      <c r="AE67" s="776"/>
      <c r="AF67" s="776"/>
      <c r="AG67" s="800"/>
      <c r="AH67" s="800"/>
      <c r="AI67" s="800"/>
      <c r="AJ67" s="800">
        <f t="shared" ref="AJ67:AJ69" si="54">H67</f>
        <v>1608</v>
      </c>
      <c r="AK67" s="800"/>
      <c r="AL67" s="801"/>
      <c r="AM67" s="801"/>
      <c r="AN67" s="776">
        <f>H67</f>
        <v>1608</v>
      </c>
      <c r="AO67" s="776"/>
      <c r="AP67" s="798" t="s">
        <v>3256</v>
      </c>
    </row>
    <row r="68" s="693" customFormat="1" ht="24" customHeight="1" spans="1:42">
      <c r="A68" s="718">
        <v>44041</v>
      </c>
      <c r="B68" s="711" t="s">
        <v>3250</v>
      </c>
      <c r="C68" s="711">
        <v>4500036357</v>
      </c>
      <c r="D68" s="711">
        <v>4500114951</v>
      </c>
      <c r="E68" s="711" t="s">
        <v>3251</v>
      </c>
      <c r="F68" s="720" t="s">
        <v>3117</v>
      </c>
      <c r="G68" s="712" t="s">
        <v>3252</v>
      </c>
      <c r="H68" s="713">
        <v>0</v>
      </c>
      <c r="I68" s="711">
        <v>0</v>
      </c>
      <c r="J68" s="711">
        <v>0</v>
      </c>
      <c r="K68" s="698">
        <v>0</v>
      </c>
      <c r="L68" s="751">
        <v>0</v>
      </c>
      <c r="M68" s="745">
        <f t="shared" si="47"/>
        <v>0</v>
      </c>
      <c r="N68" s="777">
        <v>44086</v>
      </c>
      <c r="O68" s="748" t="s">
        <v>3257</v>
      </c>
      <c r="P68" s="742"/>
      <c r="Q68" s="777">
        <v>44088</v>
      </c>
      <c r="R68" s="771"/>
      <c r="S68" s="744" t="s">
        <v>1427</v>
      </c>
      <c r="T68" s="744"/>
      <c r="U68" s="744" t="s">
        <v>1427</v>
      </c>
      <c r="V68" s="711"/>
      <c r="W68" s="711" t="s">
        <v>3254</v>
      </c>
      <c r="X68" s="778"/>
      <c r="Y68" s="712" t="s">
        <v>3255</v>
      </c>
      <c r="Z68" s="791"/>
      <c r="AA68" s="791"/>
      <c r="AB68" s="800">
        <f t="shared" si="48"/>
        <v>0</v>
      </c>
      <c r="AC68" s="776">
        <f t="shared" si="49"/>
        <v>0</v>
      </c>
      <c r="AD68" s="776">
        <f t="shared" si="50"/>
        <v>0</v>
      </c>
      <c r="AE68" s="776"/>
      <c r="AF68" s="776"/>
      <c r="AG68" s="800"/>
      <c r="AH68" s="800"/>
      <c r="AI68" s="800"/>
      <c r="AJ68" s="800">
        <f t="shared" si="54"/>
        <v>0</v>
      </c>
      <c r="AK68" s="800"/>
      <c r="AL68" s="801"/>
      <c r="AM68" s="801"/>
      <c r="AN68" s="776">
        <f>H68</f>
        <v>0</v>
      </c>
      <c r="AO68" s="776"/>
      <c r="AP68" s="798" t="s">
        <v>3256</v>
      </c>
    </row>
    <row r="69" s="693" customFormat="1" ht="24" customHeight="1" spans="1:42">
      <c r="A69" s="718">
        <v>44046</v>
      </c>
      <c r="B69" s="711" t="s">
        <v>3245</v>
      </c>
      <c r="C69" s="711">
        <v>4500036557</v>
      </c>
      <c r="D69" s="711"/>
      <c r="E69" s="711" t="s">
        <v>3258</v>
      </c>
      <c r="F69" s="720" t="s">
        <v>3117</v>
      </c>
      <c r="G69" s="712" t="s">
        <v>3252</v>
      </c>
      <c r="H69" s="713">
        <v>0</v>
      </c>
      <c r="I69" s="711">
        <v>0</v>
      </c>
      <c r="J69" s="711">
        <v>0</v>
      </c>
      <c r="K69" s="698">
        <v>0</v>
      </c>
      <c r="L69" s="751">
        <v>0</v>
      </c>
      <c r="M69" s="745">
        <f t="shared" si="47"/>
        <v>0</v>
      </c>
      <c r="N69" s="777">
        <v>44086</v>
      </c>
      <c r="O69" s="748" t="s">
        <v>3257</v>
      </c>
      <c r="P69" s="742"/>
      <c r="Q69" s="777">
        <v>44089</v>
      </c>
      <c r="R69" s="771"/>
      <c r="S69" s="744" t="s">
        <v>1427</v>
      </c>
      <c r="T69" s="744" t="s">
        <v>1427</v>
      </c>
      <c r="U69" s="744" t="s">
        <v>1427</v>
      </c>
      <c r="V69" s="711"/>
      <c r="W69" s="711" t="s">
        <v>3259</v>
      </c>
      <c r="X69" s="778"/>
      <c r="Y69" s="712" t="s">
        <v>752</v>
      </c>
      <c r="Z69" s="791"/>
      <c r="AA69" s="791"/>
      <c r="AB69" s="800">
        <f t="shared" si="48"/>
        <v>0</v>
      </c>
      <c r="AC69" s="776">
        <f t="shared" si="49"/>
        <v>0</v>
      </c>
      <c r="AD69" s="776">
        <f t="shared" si="50"/>
        <v>0</v>
      </c>
      <c r="AE69" s="776"/>
      <c r="AF69" s="776">
        <f>H69</f>
        <v>0</v>
      </c>
      <c r="AG69" s="800"/>
      <c r="AH69" s="800"/>
      <c r="AI69" s="800"/>
      <c r="AJ69" s="800">
        <f t="shared" si="54"/>
        <v>0</v>
      </c>
      <c r="AK69" s="800"/>
      <c r="AL69" s="801"/>
      <c r="AM69" s="801"/>
      <c r="AN69" s="776"/>
      <c r="AO69" s="776"/>
      <c r="AP69" s="863" t="s">
        <v>3260</v>
      </c>
    </row>
    <row r="70" s="693" customFormat="1" ht="24" customHeight="1" spans="1:42">
      <c r="A70" s="718">
        <v>44030</v>
      </c>
      <c r="B70" s="711" t="s">
        <v>3245</v>
      </c>
      <c r="C70" s="711">
        <v>4500035845</v>
      </c>
      <c r="D70" s="711"/>
      <c r="E70" s="711" t="s">
        <v>1937</v>
      </c>
      <c r="F70" s="711" t="s">
        <v>3246</v>
      </c>
      <c r="G70" s="712" t="s">
        <v>3247</v>
      </c>
      <c r="H70" s="713">
        <v>0</v>
      </c>
      <c r="I70" s="711">
        <v>0</v>
      </c>
      <c r="J70" s="711">
        <v>6</v>
      </c>
      <c r="K70" s="698">
        <f>H70/J70</f>
        <v>0</v>
      </c>
      <c r="L70" s="819">
        <v>3.52</v>
      </c>
      <c r="M70" s="820">
        <f t="shared" si="47"/>
        <v>0</v>
      </c>
      <c r="N70" s="777" t="s">
        <v>3261</v>
      </c>
      <c r="O70" s="770"/>
      <c r="P70" s="821"/>
      <c r="Q70" s="777">
        <v>44057</v>
      </c>
      <c r="R70" s="771"/>
      <c r="S70" s="744" t="s">
        <v>1427</v>
      </c>
      <c r="T70" s="744" t="s">
        <v>1427</v>
      </c>
      <c r="U70" s="770" t="s">
        <v>3262</v>
      </c>
      <c r="V70" s="778"/>
      <c r="W70" s="712" t="s">
        <v>1938</v>
      </c>
      <c r="X70" s="791"/>
      <c r="Y70" s="791"/>
      <c r="Z70" s="711">
        <f t="shared" si="51"/>
        <v>0</v>
      </c>
      <c r="AA70" s="800">
        <f t="shared" si="52"/>
        <v>0</v>
      </c>
      <c r="AB70" s="800"/>
      <c r="AC70" s="779">
        <f t="shared" si="53"/>
        <v>0</v>
      </c>
      <c r="AD70" s="779"/>
      <c r="AE70" s="852"/>
      <c r="AF70" s="852"/>
      <c r="AG70" s="856" t="s">
        <v>3249</v>
      </c>
      <c r="AH70" s="699"/>
      <c r="AI70" s="699"/>
      <c r="AJ70" s="803"/>
      <c r="AK70" s="692"/>
      <c r="AL70" s="692"/>
      <c r="AM70" s="692"/>
      <c r="AN70" s="692"/>
      <c r="AO70" s="692"/>
      <c r="AP70" s="692"/>
    </row>
    <row r="71" s="693" customFormat="1" ht="24" customHeight="1" spans="1:42">
      <c r="A71" s="718">
        <v>44029</v>
      </c>
      <c r="B71" s="711" t="s">
        <v>3263</v>
      </c>
      <c r="C71" s="711">
        <v>4500035629</v>
      </c>
      <c r="D71" s="711"/>
      <c r="E71" s="711" t="s">
        <v>3264</v>
      </c>
      <c r="F71" s="711" t="s">
        <v>3246</v>
      </c>
      <c r="G71" s="712" t="s">
        <v>3247</v>
      </c>
      <c r="H71" s="713">
        <v>0</v>
      </c>
      <c r="I71" s="711">
        <v>0</v>
      </c>
      <c r="J71" s="711">
        <v>6</v>
      </c>
      <c r="K71" s="698">
        <f>H71/J71</f>
        <v>0</v>
      </c>
      <c r="L71" s="819">
        <v>2.5518</v>
      </c>
      <c r="M71" s="820">
        <f t="shared" si="47"/>
        <v>0</v>
      </c>
      <c r="N71" s="777" t="s">
        <v>3265</v>
      </c>
      <c r="O71" s="770"/>
      <c r="P71" s="821"/>
      <c r="Q71" s="777">
        <v>44099</v>
      </c>
      <c r="R71" s="771"/>
      <c r="S71" s="744" t="s">
        <v>1427</v>
      </c>
      <c r="T71" s="744" t="s">
        <v>3266</v>
      </c>
      <c r="U71" s="770" t="s">
        <v>3262</v>
      </c>
      <c r="V71" s="778"/>
      <c r="W71" s="712" t="s">
        <v>3267</v>
      </c>
      <c r="X71" s="791"/>
      <c r="Y71" s="791"/>
      <c r="Z71" s="711">
        <f t="shared" si="51"/>
        <v>0</v>
      </c>
      <c r="AA71" s="800">
        <f t="shared" si="52"/>
        <v>0</v>
      </c>
      <c r="AB71" s="800"/>
      <c r="AC71" s="779">
        <f t="shared" si="53"/>
        <v>0</v>
      </c>
      <c r="AD71" s="779"/>
      <c r="AE71" s="852"/>
      <c r="AF71" s="852"/>
      <c r="AG71" s="769" t="s">
        <v>3268</v>
      </c>
      <c r="AH71" s="699"/>
      <c r="AI71" s="699"/>
      <c r="AJ71" s="803"/>
      <c r="AK71" s="692"/>
      <c r="AL71" s="692"/>
      <c r="AM71" s="692"/>
      <c r="AN71" s="692"/>
      <c r="AO71" s="692"/>
      <c r="AP71" s="692"/>
    </row>
    <row r="72" s="693" customFormat="1" ht="24" customHeight="1" spans="1:42">
      <c r="A72" s="718">
        <v>44089</v>
      </c>
      <c r="B72" s="711" t="s">
        <v>3132</v>
      </c>
      <c r="C72" s="711">
        <v>4500038549</v>
      </c>
      <c r="D72" s="711" t="s">
        <v>3269</v>
      </c>
      <c r="E72" s="711" t="s">
        <v>2146</v>
      </c>
      <c r="F72" s="711" t="s">
        <v>3123</v>
      </c>
      <c r="G72" s="712" t="s">
        <v>3252</v>
      </c>
      <c r="H72" s="713">
        <v>0</v>
      </c>
      <c r="I72" s="711">
        <v>0</v>
      </c>
      <c r="J72" s="711">
        <v>6</v>
      </c>
      <c r="K72" s="698">
        <f>H72/J72</f>
        <v>0</v>
      </c>
      <c r="L72" s="751">
        <v>2.3073</v>
      </c>
      <c r="M72" s="745">
        <f t="shared" si="47"/>
        <v>0</v>
      </c>
      <c r="N72" s="777" t="s">
        <v>3270</v>
      </c>
      <c r="O72" s="759"/>
      <c r="P72" s="742"/>
      <c r="Q72" s="777" t="s">
        <v>3271</v>
      </c>
      <c r="R72" s="771"/>
      <c r="S72" s="744">
        <v>44140</v>
      </c>
      <c r="T72" s="744"/>
      <c r="U72" s="744" t="s">
        <v>3272</v>
      </c>
      <c r="V72" s="768">
        <v>44160</v>
      </c>
      <c r="W72" s="711" t="s">
        <v>3273</v>
      </c>
      <c r="X72" s="778"/>
      <c r="Y72" s="712" t="s">
        <v>91</v>
      </c>
      <c r="Z72" s="791"/>
      <c r="AA72" s="791"/>
      <c r="AB72" s="698">
        <f>H72/3</f>
        <v>0</v>
      </c>
      <c r="AC72" s="711">
        <f>H72/3</f>
        <v>0</v>
      </c>
      <c r="AD72" s="698">
        <f>H72/3</f>
        <v>0</v>
      </c>
      <c r="AE72" s="776"/>
      <c r="AF72" s="776">
        <f>H72</f>
        <v>0</v>
      </c>
      <c r="AG72" s="800"/>
      <c r="AH72" s="800"/>
      <c r="AI72" s="800"/>
      <c r="AJ72" s="800">
        <f>H72</f>
        <v>0</v>
      </c>
      <c r="AK72" s="800"/>
      <c r="AL72" s="801"/>
      <c r="AM72" s="801"/>
      <c r="AN72" s="776"/>
      <c r="AO72" s="776"/>
      <c r="AP72" s="794" t="s">
        <v>3274</v>
      </c>
    </row>
    <row r="73" s="692" customFormat="1" ht="24" customHeight="1" spans="1:42">
      <c r="A73" s="709">
        <v>43824</v>
      </c>
      <c r="B73" s="711" t="s">
        <v>3189</v>
      </c>
      <c r="C73" s="711">
        <v>4500027944</v>
      </c>
      <c r="D73" s="712"/>
      <c r="E73" s="712" t="s">
        <v>3190</v>
      </c>
      <c r="F73" s="710" t="s">
        <v>686</v>
      </c>
      <c r="G73" s="712" t="s">
        <v>484</v>
      </c>
      <c r="H73" s="706">
        <v>0</v>
      </c>
      <c r="I73" s="530" t="s">
        <v>3102</v>
      </c>
      <c r="J73" s="698">
        <v>0</v>
      </c>
      <c r="K73" s="698">
        <v>0</v>
      </c>
      <c r="L73" s="724">
        <v>47.0193</v>
      </c>
      <c r="M73" s="725">
        <v>0</v>
      </c>
      <c r="N73" s="727">
        <v>43876</v>
      </c>
      <c r="O73" s="822" t="s">
        <v>3275</v>
      </c>
      <c r="P73" s="823"/>
      <c r="Q73" s="727">
        <v>43879</v>
      </c>
      <c r="R73" s="707"/>
      <c r="S73" s="744">
        <v>43833</v>
      </c>
      <c r="T73" s="744"/>
      <c r="U73" s="744" t="s">
        <v>58</v>
      </c>
      <c r="V73" s="694"/>
      <c r="W73" s="766" t="s">
        <v>3192</v>
      </c>
      <c r="X73" s="530" t="s">
        <v>3175</v>
      </c>
      <c r="Y73" s="785" t="s">
        <v>752</v>
      </c>
      <c r="Z73" s="746"/>
      <c r="AA73" s="698"/>
      <c r="AB73" s="698">
        <v>0</v>
      </c>
      <c r="AC73" s="698">
        <v>0</v>
      </c>
      <c r="AD73" s="698">
        <v>0</v>
      </c>
      <c r="AE73" s="698">
        <f>H73</f>
        <v>0</v>
      </c>
      <c r="AF73" s="776"/>
      <c r="AG73" s="776"/>
      <c r="AH73" s="776"/>
      <c r="AI73" s="776"/>
      <c r="AJ73" s="776"/>
      <c r="AK73" s="776"/>
      <c r="AL73" s="698"/>
      <c r="AM73" s="776">
        <f>H73/3</f>
        <v>0</v>
      </c>
      <c r="AN73" s="776">
        <f>H73/3</f>
        <v>0</v>
      </c>
      <c r="AO73" s="776">
        <f>H73/3</f>
        <v>0</v>
      </c>
      <c r="AP73" s="716" t="s">
        <v>3193</v>
      </c>
    </row>
    <row r="74" s="693" customFormat="1" ht="24" customHeight="1" spans="1:42">
      <c r="A74" s="718">
        <v>44117</v>
      </c>
      <c r="B74" s="711" t="s">
        <v>3202</v>
      </c>
      <c r="C74" s="711">
        <v>4500039875</v>
      </c>
      <c r="D74" s="711">
        <v>6269622</v>
      </c>
      <c r="E74" s="711" t="s">
        <v>3276</v>
      </c>
      <c r="F74" s="711" t="s">
        <v>3246</v>
      </c>
      <c r="G74" s="712" t="s">
        <v>3247</v>
      </c>
      <c r="H74" s="713">
        <v>0</v>
      </c>
      <c r="I74" s="711">
        <v>0</v>
      </c>
      <c r="J74" s="711">
        <v>6</v>
      </c>
      <c r="K74" s="698">
        <f>H74/J74</f>
        <v>0</v>
      </c>
      <c r="L74" s="819">
        <v>3.834</v>
      </c>
      <c r="M74" s="820">
        <f>L74*H74</f>
        <v>0</v>
      </c>
      <c r="N74" s="777" t="s">
        <v>3277</v>
      </c>
      <c r="O74" s="770"/>
      <c r="P74" s="821"/>
      <c r="Q74" s="777" t="s">
        <v>3278</v>
      </c>
      <c r="R74" s="752"/>
      <c r="S74" s="744">
        <v>44148</v>
      </c>
      <c r="T74" s="744" t="s">
        <v>3279</v>
      </c>
      <c r="U74" s="770" t="s">
        <v>3262</v>
      </c>
      <c r="V74" s="778"/>
      <c r="W74" s="712" t="s">
        <v>91</v>
      </c>
      <c r="X74" s="791"/>
      <c r="Y74" s="791"/>
      <c r="Z74" s="791">
        <f>H74</f>
        <v>0</v>
      </c>
      <c r="AA74" s="800">
        <f>H74</f>
        <v>0</v>
      </c>
      <c r="AB74" s="800"/>
      <c r="AC74" s="800">
        <f>H74</f>
        <v>0</v>
      </c>
      <c r="AD74" s="800"/>
      <c r="AE74" s="852"/>
      <c r="AF74" s="852"/>
      <c r="AG74" s="856" t="s">
        <v>3280</v>
      </c>
      <c r="AH74" s="692"/>
      <c r="AI74" s="692"/>
      <c r="AJ74" s="803"/>
      <c r="AK74" s="692"/>
      <c r="AL74" s="692"/>
      <c r="AM74" s="692"/>
      <c r="AN74" s="692"/>
      <c r="AO74" s="692"/>
      <c r="AP74" s="692"/>
    </row>
    <row r="75" s="693" customFormat="1" ht="24" customHeight="1" spans="1:42">
      <c r="A75" s="718">
        <v>44117</v>
      </c>
      <c r="B75" s="711" t="s">
        <v>3202</v>
      </c>
      <c r="C75" s="711">
        <v>4500039878</v>
      </c>
      <c r="D75" s="711">
        <v>6269637</v>
      </c>
      <c r="E75" s="711" t="s">
        <v>3276</v>
      </c>
      <c r="F75" s="711" t="s">
        <v>3246</v>
      </c>
      <c r="G75" s="712" t="s">
        <v>3247</v>
      </c>
      <c r="H75" s="713"/>
      <c r="I75" s="711">
        <v>0</v>
      </c>
      <c r="J75" s="711">
        <v>6</v>
      </c>
      <c r="K75" s="698">
        <f>H75/J75</f>
        <v>0</v>
      </c>
      <c r="L75" s="819">
        <v>3.834</v>
      </c>
      <c r="M75" s="820">
        <f>L75*H75</f>
        <v>0</v>
      </c>
      <c r="N75" s="777" t="s">
        <v>3281</v>
      </c>
      <c r="O75" s="770"/>
      <c r="P75" s="821"/>
      <c r="Q75" s="777" t="s">
        <v>3282</v>
      </c>
      <c r="R75" s="752"/>
      <c r="S75" s="744" t="s">
        <v>1427</v>
      </c>
      <c r="T75" s="744" t="s">
        <v>3279</v>
      </c>
      <c r="U75" s="770" t="s">
        <v>3262</v>
      </c>
      <c r="V75" s="778"/>
      <c r="W75" s="712" t="s">
        <v>91</v>
      </c>
      <c r="X75" s="791"/>
      <c r="Y75" s="791"/>
      <c r="Z75" s="791">
        <f>H75</f>
        <v>0</v>
      </c>
      <c r="AA75" s="800">
        <f>H75</f>
        <v>0</v>
      </c>
      <c r="AB75" s="800"/>
      <c r="AC75" s="800">
        <f>H75</f>
        <v>0</v>
      </c>
      <c r="AD75" s="800"/>
      <c r="AE75" s="852"/>
      <c r="AF75" s="852"/>
      <c r="AG75" s="856" t="s">
        <v>3280</v>
      </c>
      <c r="AH75" s="692"/>
      <c r="AI75" s="692"/>
      <c r="AJ75" s="803"/>
      <c r="AK75" s="692"/>
      <c r="AL75" s="692"/>
      <c r="AM75" s="692"/>
      <c r="AN75" s="692"/>
      <c r="AO75" s="692"/>
      <c r="AP75" s="692"/>
    </row>
    <row r="76" s="693" customFormat="1" ht="24" customHeight="1" spans="1:42">
      <c r="A76" s="718">
        <v>44130</v>
      </c>
      <c r="B76" s="711" t="s">
        <v>3132</v>
      </c>
      <c r="C76" s="711">
        <v>4500040733</v>
      </c>
      <c r="D76" s="698" t="s">
        <v>3283</v>
      </c>
      <c r="E76" s="711" t="s">
        <v>3284</v>
      </c>
      <c r="F76" s="720" t="s">
        <v>3123</v>
      </c>
      <c r="G76" s="712" t="s">
        <v>3252</v>
      </c>
      <c r="H76" s="722">
        <v>0</v>
      </c>
      <c r="I76" s="720">
        <v>0</v>
      </c>
      <c r="J76" s="720">
        <v>6</v>
      </c>
      <c r="K76" s="698">
        <f>H76/J76</f>
        <v>0</v>
      </c>
      <c r="L76" s="824">
        <v>2.3073</v>
      </c>
      <c r="M76" s="725">
        <f t="shared" ref="M76:M84" si="55">L76*H76</f>
        <v>0</v>
      </c>
      <c r="N76" s="758" t="s">
        <v>3285</v>
      </c>
      <c r="O76" s="825"/>
      <c r="P76" s="826"/>
      <c r="Q76" s="758" t="s">
        <v>3286</v>
      </c>
      <c r="R76" s="838"/>
      <c r="S76" s="839" t="s">
        <v>1427</v>
      </c>
      <c r="T76" s="744" t="s">
        <v>3287</v>
      </c>
      <c r="U76" s="839" t="s">
        <v>3288</v>
      </c>
      <c r="V76" s="720"/>
      <c r="W76" s="720" t="s">
        <v>3273</v>
      </c>
      <c r="X76" s="840"/>
      <c r="Y76" s="712" t="s">
        <v>91</v>
      </c>
      <c r="Z76" s="853"/>
      <c r="AA76" s="853"/>
      <c r="AB76" s="776">
        <f t="shared" ref="AB76:AB81" si="56">H76/3</f>
        <v>0</v>
      </c>
      <c r="AC76" s="776">
        <f t="shared" ref="AC76:AC81" si="57">H76/3</f>
        <v>0</v>
      </c>
      <c r="AD76" s="776">
        <f t="shared" ref="AD76:AD81" si="58">H76/3</f>
        <v>0</v>
      </c>
      <c r="AE76" s="854"/>
      <c r="AF76" s="854">
        <f t="shared" ref="AF76:AF82" si="59">H76</f>
        <v>0</v>
      </c>
      <c r="AG76" s="855"/>
      <c r="AH76" s="855"/>
      <c r="AI76" s="855"/>
      <c r="AJ76" s="855">
        <f t="shared" ref="AJ76:AJ82" si="60">H76</f>
        <v>0</v>
      </c>
      <c r="AK76" s="855"/>
      <c r="AL76" s="857"/>
      <c r="AM76" s="857"/>
      <c r="AN76" s="854"/>
      <c r="AO76" s="854"/>
      <c r="AP76" s="794" t="s">
        <v>3289</v>
      </c>
    </row>
    <row r="77" s="693" customFormat="1" ht="24" customHeight="1" spans="1:42">
      <c r="A77" s="718">
        <v>44116</v>
      </c>
      <c r="B77" s="711" t="s">
        <v>3132</v>
      </c>
      <c r="C77" s="711">
        <v>4500039655</v>
      </c>
      <c r="D77" s="711" t="s">
        <v>3290</v>
      </c>
      <c r="E77" s="711" t="s">
        <v>2146</v>
      </c>
      <c r="F77" s="711" t="s">
        <v>3123</v>
      </c>
      <c r="G77" s="712" t="s">
        <v>3252</v>
      </c>
      <c r="H77" s="713">
        <v>0</v>
      </c>
      <c r="I77" s="711">
        <v>0</v>
      </c>
      <c r="J77" s="711">
        <v>6</v>
      </c>
      <c r="K77" s="698">
        <f>H77/J77</f>
        <v>0</v>
      </c>
      <c r="L77" s="751">
        <v>2.3451</v>
      </c>
      <c r="M77" s="745">
        <f t="shared" si="55"/>
        <v>0</v>
      </c>
      <c r="N77" s="777" t="s">
        <v>3291</v>
      </c>
      <c r="O77" s="759" t="s">
        <v>56</v>
      </c>
      <c r="P77" s="742"/>
      <c r="Q77" s="777" t="s">
        <v>3292</v>
      </c>
      <c r="R77" s="771"/>
      <c r="S77" s="744">
        <v>44140</v>
      </c>
      <c r="T77" s="744"/>
      <c r="U77" s="744" t="s">
        <v>3293</v>
      </c>
      <c r="V77" s="711"/>
      <c r="W77" s="711" t="s">
        <v>3180</v>
      </c>
      <c r="X77" s="778"/>
      <c r="Y77" s="712" t="s">
        <v>91</v>
      </c>
      <c r="Z77" s="791"/>
      <c r="AA77" s="791"/>
      <c r="AB77" s="776">
        <f t="shared" si="56"/>
        <v>0</v>
      </c>
      <c r="AC77" s="776">
        <f t="shared" si="57"/>
        <v>0</v>
      </c>
      <c r="AD77" s="776">
        <f t="shared" si="58"/>
        <v>0</v>
      </c>
      <c r="AE77" s="776"/>
      <c r="AF77" s="776">
        <f t="shared" si="59"/>
        <v>0</v>
      </c>
      <c r="AG77" s="800"/>
      <c r="AH77" s="800"/>
      <c r="AI77" s="800"/>
      <c r="AJ77" s="800">
        <f t="shared" si="60"/>
        <v>0</v>
      </c>
      <c r="AK77" s="800"/>
      <c r="AL77" s="801"/>
      <c r="AM77" s="801"/>
      <c r="AN77" s="776"/>
      <c r="AO77" s="776"/>
      <c r="AP77" s="794" t="s">
        <v>3294</v>
      </c>
    </row>
    <row r="78" s="693" customFormat="1" ht="24" customHeight="1" spans="1:42">
      <c r="A78" s="718">
        <v>44138</v>
      </c>
      <c r="B78" s="711" t="s">
        <v>3132</v>
      </c>
      <c r="C78" s="711">
        <v>4500041171</v>
      </c>
      <c r="D78" s="711" t="s">
        <v>3295</v>
      </c>
      <c r="E78" s="711" t="s">
        <v>2146</v>
      </c>
      <c r="F78" s="711" t="s">
        <v>3123</v>
      </c>
      <c r="G78" s="721" t="s">
        <v>3252</v>
      </c>
      <c r="H78" s="722">
        <v>0</v>
      </c>
      <c r="I78" s="720">
        <v>0</v>
      </c>
      <c r="J78" s="720">
        <v>6</v>
      </c>
      <c r="K78" s="698">
        <f>H78/J78</f>
        <v>0</v>
      </c>
      <c r="L78" s="819">
        <v>2.3451</v>
      </c>
      <c r="M78" s="725">
        <f t="shared" si="55"/>
        <v>0</v>
      </c>
      <c r="N78" s="777" t="s">
        <v>3286</v>
      </c>
      <c r="O78" s="737"/>
      <c r="P78" s="742"/>
      <c r="Q78" s="777" t="s">
        <v>3296</v>
      </c>
      <c r="R78" s="771"/>
      <c r="S78" s="744" t="s">
        <v>1427</v>
      </c>
      <c r="T78" s="744"/>
      <c r="U78" s="839" t="s">
        <v>3288</v>
      </c>
      <c r="V78" s="711"/>
      <c r="W78" s="712" t="s">
        <v>3216</v>
      </c>
      <c r="X78" s="778"/>
      <c r="Y78" s="721" t="s">
        <v>91</v>
      </c>
      <c r="Z78" s="791"/>
      <c r="AA78" s="791"/>
      <c r="AB78" s="776">
        <f t="shared" si="56"/>
        <v>0</v>
      </c>
      <c r="AC78" s="776">
        <f t="shared" si="57"/>
        <v>0</v>
      </c>
      <c r="AD78" s="776">
        <f t="shared" si="58"/>
        <v>0</v>
      </c>
      <c r="AE78" s="776"/>
      <c r="AF78" s="776">
        <f t="shared" si="59"/>
        <v>0</v>
      </c>
      <c r="AG78" s="800"/>
      <c r="AH78" s="800"/>
      <c r="AI78" s="800"/>
      <c r="AJ78" s="800">
        <f t="shared" si="60"/>
        <v>0</v>
      </c>
      <c r="AK78" s="800"/>
      <c r="AL78" s="801"/>
      <c r="AM78" s="801"/>
      <c r="AN78" s="776"/>
      <c r="AO78" s="776"/>
      <c r="AP78" s="795" t="s">
        <v>3294</v>
      </c>
    </row>
    <row r="79" s="693" customFormat="1" ht="24" customHeight="1" spans="1:42">
      <c r="A79" s="718">
        <v>44182</v>
      </c>
      <c r="B79" s="711" t="s">
        <v>609</v>
      </c>
      <c r="C79" s="711">
        <v>4500043570</v>
      </c>
      <c r="D79" s="711"/>
      <c r="E79" s="711" t="s">
        <v>3297</v>
      </c>
      <c r="F79" s="711" t="s">
        <v>3298</v>
      </c>
      <c r="G79" s="712" t="s">
        <v>2119</v>
      </c>
      <c r="H79" s="722">
        <v>0</v>
      </c>
      <c r="I79" s="720">
        <v>0</v>
      </c>
      <c r="J79" s="720">
        <v>3</v>
      </c>
      <c r="K79" s="698">
        <v>0</v>
      </c>
      <c r="L79" s="751">
        <v>2.4447</v>
      </c>
      <c r="M79" s="745">
        <v>0</v>
      </c>
      <c r="N79" s="777" t="s">
        <v>3299</v>
      </c>
      <c r="O79" s="737"/>
      <c r="P79" s="742"/>
      <c r="Q79" s="777" t="s">
        <v>3300</v>
      </c>
      <c r="R79" s="771"/>
      <c r="S79" s="744"/>
      <c r="T79" s="744"/>
      <c r="U79" s="744"/>
      <c r="V79" s="711"/>
      <c r="W79" s="712"/>
      <c r="X79" s="778"/>
      <c r="Y79" s="712" t="s">
        <v>123</v>
      </c>
      <c r="Z79" s="791"/>
      <c r="AA79" s="791"/>
      <c r="AB79" s="800">
        <f t="shared" si="56"/>
        <v>0</v>
      </c>
      <c r="AC79" s="776">
        <f t="shared" si="57"/>
        <v>0</v>
      </c>
      <c r="AD79" s="776">
        <f t="shared" si="58"/>
        <v>0</v>
      </c>
      <c r="AE79" s="776"/>
      <c r="AF79" s="776"/>
      <c r="AG79" s="800"/>
      <c r="AH79" s="800"/>
      <c r="AI79" s="800"/>
      <c r="AJ79" s="800"/>
      <c r="AK79" s="800"/>
      <c r="AL79" s="801"/>
      <c r="AM79" s="801"/>
      <c r="AN79" s="776"/>
      <c r="AO79" s="776"/>
      <c r="AP79" s="794" t="s">
        <v>3301</v>
      </c>
    </row>
    <row r="80" s="693" customFormat="1" ht="24" customHeight="1" spans="1:42">
      <c r="A80" s="718">
        <v>44117</v>
      </c>
      <c r="B80" s="711" t="s">
        <v>3202</v>
      </c>
      <c r="C80" s="711">
        <v>4500039878</v>
      </c>
      <c r="D80" s="711">
        <v>6269637</v>
      </c>
      <c r="E80" s="711" t="s">
        <v>3276</v>
      </c>
      <c r="F80" s="711" t="s">
        <v>3203</v>
      </c>
      <c r="G80" s="712" t="s">
        <v>2119</v>
      </c>
      <c r="H80" s="713">
        <v>0</v>
      </c>
      <c r="I80" s="711">
        <v>0</v>
      </c>
      <c r="J80" s="711">
        <v>12</v>
      </c>
      <c r="K80" s="698">
        <f t="shared" ref="K80:K115" si="61">H80/J80</f>
        <v>0</v>
      </c>
      <c r="L80" s="751">
        <v>2.383</v>
      </c>
      <c r="M80" s="745">
        <f t="shared" si="55"/>
        <v>0</v>
      </c>
      <c r="N80" s="777" t="s">
        <v>3302</v>
      </c>
      <c r="O80" s="759"/>
      <c r="P80" s="742"/>
      <c r="Q80" s="777" t="s">
        <v>3282</v>
      </c>
      <c r="R80" s="771"/>
      <c r="S80" s="744">
        <v>44158</v>
      </c>
      <c r="T80" s="744"/>
      <c r="U80" s="744" t="s">
        <v>3303</v>
      </c>
      <c r="V80" s="711"/>
      <c r="W80" s="711" t="s">
        <v>3180</v>
      </c>
      <c r="X80" s="778"/>
      <c r="Y80" s="712" t="s">
        <v>91</v>
      </c>
      <c r="Z80" s="791"/>
      <c r="AA80" s="791"/>
      <c r="AB80" s="776">
        <f>H80/12*7</f>
        <v>0</v>
      </c>
      <c r="AC80" s="776">
        <f>H80/12*3</f>
        <v>0</v>
      </c>
      <c r="AD80" s="776">
        <f>H80/12*2</f>
        <v>0</v>
      </c>
      <c r="AE80" s="776"/>
      <c r="AF80" s="776">
        <f t="shared" si="59"/>
        <v>0</v>
      </c>
      <c r="AG80" s="800"/>
      <c r="AH80" s="800"/>
      <c r="AI80" s="800"/>
      <c r="AJ80" s="800">
        <f t="shared" si="60"/>
        <v>0</v>
      </c>
      <c r="AK80" s="800"/>
      <c r="AL80" s="801"/>
      <c r="AM80" s="801"/>
      <c r="AN80" s="776"/>
      <c r="AO80" s="776"/>
      <c r="AP80" s="794" t="s">
        <v>3304</v>
      </c>
    </row>
    <row r="81" s="693" customFormat="1" ht="24" customHeight="1" spans="1:42">
      <c r="A81" s="718">
        <v>44188</v>
      </c>
      <c r="B81" s="711" t="s">
        <v>3305</v>
      </c>
      <c r="C81" s="711">
        <v>4500043631</v>
      </c>
      <c r="D81" s="711"/>
      <c r="E81" s="711" t="s">
        <v>3306</v>
      </c>
      <c r="F81" s="720" t="s">
        <v>3117</v>
      </c>
      <c r="G81" s="712" t="s">
        <v>2119</v>
      </c>
      <c r="H81" s="722">
        <v>0</v>
      </c>
      <c r="I81" s="720">
        <v>0</v>
      </c>
      <c r="J81" s="711">
        <v>12</v>
      </c>
      <c r="K81" s="698">
        <f t="shared" si="61"/>
        <v>0</v>
      </c>
      <c r="L81" s="756">
        <v>2.7459</v>
      </c>
      <c r="M81" s="745">
        <f t="shared" si="55"/>
        <v>0</v>
      </c>
      <c r="N81" s="758" t="s">
        <v>3307</v>
      </c>
      <c r="O81" s="827"/>
      <c r="P81" s="826"/>
      <c r="Q81" s="758" t="s">
        <v>3308</v>
      </c>
      <c r="R81" s="841"/>
      <c r="S81" s="839" t="s">
        <v>1427</v>
      </c>
      <c r="T81" s="839"/>
      <c r="U81" s="744" t="s">
        <v>58</v>
      </c>
      <c r="V81" s="721"/>
      <c r="W81" s="711" t="s">
        <v>3309</v>
      </c>
      <c r="X81" s="840"/>
      <c r="Y81" s="721" t="s">
        <v>91</v>
      </c>
      <c r="Z81" s="791"/>
      <c r="AA81" s="791"/>
      <c r="AB81" s="776">
        <f t="shared" si="56"/>
        <v>0</v>
      </c>
      <c r="AC81" s="776">
        <f t="shared" si="57"/>
        <v>0</v>
      </c>
      <c r="AD81" s="776">
        <f t="shared" si="58"/>
        <v>0</v>
      </c>
      <c r="AE81" s="854"/>
      <c r="AF81" s="854">
        <f t="shared" si="59"/>
        <v>0</v>
      </c>
      <c r="AG81" s="855"/>
      <c r="AH81" s="855"/>
      <c r="AI81" s="855"/>
      <c r="AJ81" s="855">
        <f t="shared" si="60"/>
        <v>0</v>
      </c>
      <c r="AK81" s="855"/>
      <c r="AL81" s="801"/>
      <c r="AM81" s="801"/>
      <c r="AN81" s="854"/>
      <c r="AO81" s="854"/>
      <c r="AP81" s="794" t="s">
        <v>3310</v>
      </c>
    </row>
    <row r="82" s="693" customFormat="1" ht="24" customHeight="1" spans="1:42">
      <c r="A82" s="718">
        <v>44177</v>
      </c>
      <c r="B82" s="711" t="s">
        <v>3311</v>
      </c>
      <c r="C82" s="711">
        <v>4500042188</v>
      </c>
      <c r="D82" s="711"/>
      <c r="E82" s="711" t="s">
        <v>3312</v>
      </c>
      <c r="F82" s="711" t="s">
        <v>3313</v>
      </c>
      <c r="G82" s="712" t="s">
        <v>3314</v>
      </c>
      <c r="H82" s="713">
        <v>0</v>
      </c>
      <c r="I82" s="711">
        <v>0</v>
      </c>
      <c r="J82" s="711">
        <v>6</v>
      </c>
      <c r="K82" s="698">
        <f t="shared" si="61"/>
        <v>0</v>
      </c>
      <c r="L82" s="751">
        <v>2.5617</v>
      </c>
      <c r="M82" s="745">
        <f t="shared" si="55"/>
        <v>0</v>
      </c>
      <c r="N82" s="777" t="s">
        <v>3315</v>
      </c>
      <c r="O82" s="750" t="s">
        <v>56</v>
      </c>
      <c r="P82" s="742"/>
      <c r="Q82" s="777">
        <v>44207</v>
      </c>
      <c r="R82" s="771"/>
      <c r="S82" s="744" t="s">
        <v>3316</v>
      </c>
      <c r="T82" s="744"/>
      <c r="U82" s="744" t="s">
        <v>3317</v>
      </c>
      <c r="V82" s="712"/>
      <c r="W82" s="712" t="s">
        <v>3318</v>
      </c>
      <c r="X82" s="778"/>
      <c r="Y82" s="712" t="s">
        <v>91</v>
      </c>
      <c r="Z82" s="791"/>
      <c r="AA82" s="791"/>
      <c r="AB82" s="698"/>
      <c r="AC82" s="711">
        <f t="shared" ref="AC82:AC84" si="62">H82</f>
        <v>0</v>
      </c>
      <c r="AD82" s="698"/>
      <c r="AE82" s="776"/>
      <c r="AF82" s="776">
        <f t="shared" si="59"/>
        <v>0</v>
      </c>
      <c r="AG82" s="800"/>
      <c r="AH82" s="800"/>
      <c r="AI82" s="800"/>
      <c r="AJ82" s="800">
        <f t="shared" si="60"/>
        <v>0</v>
      </c>
      <c r="AK82" s="800"/>
      <c r="AL82" s="801"/>
      <c r="AM82" s="801"/>
      <c r="AN82" s="776"/>
      <c r="AO82" s="776"/>
      <c r="AP82" s="864" t="s">
        <v>3319</v>
      </c>
    </row>
    <row r="83" s="693" customFormat="1" ht="24" customHeight="1" spans="1:42">
      <c r="A83" s="718">
        <v>44175</v>
      </c>
      <c r="B83" s="711" t="s">
        <v>3320</v>
      </c>
      <c r="C83" s="711">
        <v>4500043207</v>
      </c>
      <c r="D83" s="711"/>
      <c r="E83" s="711" t="s">
        <v>3321</v>
      </c>
      <c r="F83" s="711" t="s">
        <v>3246</v>
      </c>
      <c r="G83" s="712" t="s">
        <v>3247</v>
      </c>
      <c r="H83" s="713">
        <v>0</v>
      </c>
      <c r="I83" s="711">
        <v>0</v>
      </c>
      <c r="J83" s="711">
        <v>6</v>
      </c>
      <c r="K83" s="698">
        <f t="shared" si="61"/>
        <v>0</v>
      </c>
      <c r="L83" s="819">
        <v>3.6859</v>
      </c>
      <c r="M83" s="820">
        <f t="shared" si="55"/>
        <v>0</v>
      </c>
      <c r="N83" s="777">
        <v>44201</v>
      </c>
      <c r="O83" s="770"/>
      <c r="P83" s="821"/>
      <c r="Q83" s="777" t="s">
        <v>3322</v>
      </c>
      <c r="R83" s="752"/>
      <c r="S83" s="744" t="s">
        <v>1427</v>
      </c>
      <c r="T83" s="744">
        <v>44175</v>
      </c>
      <c r="U83" s="770" t="s">
        <v>3262</v>
      </c>
      <c r="V83" s="778"/>
      <c r="W83" s="712" t="s">
        <v>1938</v>
      </c>
      <c r="X83" s="791"/>
      <c r="Y83" s="791"/>
      <c r="Z83" s="791">
        <f>H83</f>
        <v>0</v>
      </c>
      <c r="AA83" s="800">
        <f>H83</f>
        <v>0</v>
      </c>
      <c r="AB83" s="800"/>
      <c r="AC83" s="800">
        <f t="shared" si="62"/>
        <v>0</v>
      </c>
      <c r="AD83" s="800"/>
      <c r="AE83" s="852"/>
      <c r="AF83" s="852"/>
      <c r="AG83" s="856" t="s">
        <v>3323</v>
      </c>
      <c r="AH83" s="692"/>
      <c r="AI83" s="692"/>
      <c r="AJ83" s="803"/>
      <c r="AK83" s="692"/>
      <c r="AL83" s="692"/>
      <c r="AM83" s="692"/>
      <c r="AN83" s="692"/>
      <c r="AO83" s="692"/>
      <c r="AP83" s="692"/>
    </row>
    <row r="84" s="692" customFormat="1" ht="24" customHeight="1" spans="1:42">
      <c r="A84" s="718">
        <v>44177</v>
      </c>
      <c r="B84" s="711" t="s">
        <v>3311</v>
      </c>
      <c r="C84" s="711">
        <v>4500042188</v>
      </c>
      <c r="D84" s="698"/>
      <c r="E84" s="711" t="s">
        <v>3312</v>
      </c>
      <c r="F84" s="710" t="s">
        <v>3324</v>
      </c>
      <c r="G84" s="712" t="s">
        <v>3325</v>
      </c>
      <c r="H84" s="706">
        <v>372</v>
      </c>
      <c r="I84" s="530">
        <v>0</v>
      </c>
      <c r="J84" s="698">
        <v>4</v>
      </c>
      <c r="K84" s="698">
        <f t="shared" si="61"/>
        <v>93</v>
      </c>
      <c r="L84" s="724">
        <v>3.5814</v>
      </c>
      <c r="M84" s="725">
        <f t="shared" si="55"/>
        <v>1332.2808</v>
      </c>
      <c r="N84" s="777" t="s">
        <v>3315</v>
      </c>
      <c r="O84" s="828"/>
      <c r="P84" s="828"/>
      <c r="Q84" s="777">
        <v>44207</v>
      </c>
      <c r="R84" s="707"/>
      <c r="S84" s="744" t="s">
        <v>3326</v>
      </c>
      <c r="T84" s="766"/>
      <c r="U84" s="766">
        <v>44548</v>
      </c>
      <c r="V84" s="694"/>
      <c r="W84" s="696" t="s">
        <v>3327</v>
      </c>
      <c r="X84" s="698"/>
      <c r="Y84" s="530" t="s">
        <v>91</v>
      </c>
      <c r="Z84" s="746"/>
      <c r="AA84" s="698"/>
      <c r="AB84" s="776"/>
      <c r="AC84" s="776">
        <f t="shared" si="62"/>
        <v>372</v>
      </c>
      <c r="AD84" s="776"/>
      <c r="AE84" s="698">
        <f t="shared" ref="AE84:AE87" si="63">H84</f>
        <v>372</v>
      </c>
      <c r="AF84" s="776"/>
      <c r="AG84" s="776"/>
      <c r="AH84" s="776"/>
      <c r="AI84" s="776"/>
      <c r="AJ84" s="776"/>
      <c r="AK84" s="776"/>
      <c r="AL84" s="698"/>
      <c r="AM84" s="776"/>
      <c r="AN84" s="776">
        <f>H84</f>
        <v>372</v>
      </c>
      <c r="AO84" s="776"/>
      <c r="AP84" s="864" t="s">
        <v>3328</v>
      </c>
    </row>
    <row r="85" s="692" customFormat="1" ht="24" customHeight="1" spans="1:42">
      <c r="A85" s="805">
        <v>44190</v>
      </c>
      <c r="B85" s="711" t="s">
        <v>3329</v>
      </c>
      <c r="C85" s="711">
        <v>4500043883</v>
      </c>
      <c r="D85" s="698"/>
      <c r="E85" s="711" t="s">
        <v>3330</v>
      </c>
      <c r="F85" s="710" t="s">
        <v>686</v>
      </c>
      <c r="G85" s="712" t="s">
        <v>484</v>
      </c>
      <c r="H85" s="698">
        <v>0</v>
      </c>
      <c r="I85" s="530">
        <v>0</v>
      </c>
      <c r="J85" s="698">
        <v>12</v>
      </c>
      <c r="K85" s="698">
        <f t="shared" si="61"/>
        <v>0</v>
      </c>
      <c r="L85" s="724">
        <v>4.1173</v>
      </c>
      <c r="M85" s="725">
        <f>L85*K85</f>
        <v>0</v>
      </c>
      <c r="N85" s="777" t="s">
        <v>3331</v>
      </c>
      <c r="O85" s="703"/>
      <c r="P85" s="703"/>
      <c r="Q85" s="777" t="s">
        <v>3332</v>
      </c>
      <c r="R85" s="707"/>
      <c r="S85" s="744" t="s">
        <v>1427</v>
      </c>
      <c r="T85" s="726"/>
      <c r="U85" s="726" t="s">
        <v>58</v>
      </c>
      <c r="V85" s="694"/>
      <c r="W85" s="694" t="s">
        <v>3333</v>
      </c>
      <c r="X85" s="698"/>
      <c r="Y85" s="763" t="s">
        <v>752</v>
      </c>
      <c r="Z85" s="698"/>
      <c r="AA85" s="698"/>
      <c r="AB85" s="776">
        <f t="shared" ref="AB85:AB87" si="64">H85/3</f>
        <v>0</v>
      </c>
      <c r="AC85" s="776">
        <f t="shared" ref="AC85:AC87" si="65">H85/3</f>
        <v>0</v>
      </c>
      <c r="AD85" s="776">
        <f t="shared" ref="AD85:AD87" si="66">H85/3</f>
        <v>0</v>
      </c>
      <c r="AE85" s="698">
        <f t="shared" si="63"/>
        <v>0</v>
      </c>
      <c r="AF85" s="776"/>
      <c r="AG85" s="776"/>
      <c r="AH85" s="776"/>
      <c r="AI85" s="776"/>
      <c r="AJ85" s="776"/>
      <c r="AK85" s="776"/>
      <c r="AL85" s="698"/>
      <c r="AM85" s="776">
        <f t="shared" ref="AM85:AO85" si="67">AB85</f>
        <v>0</v>
      </c>
      <c r="AN85" s="776">
        <f t="shared" si="67"/>
        <v>0</v>
      </c>
      <c r="AO85" s="776">
        <f t="shared" si="67"/>
        <v>0</v>
      </c>
      <c r="AP85" s="716" t="s">
        <v>3334</v>
      </c>
    </row>
    <row r="86" s="693" customFormat="1" ht="24" customHeight="1" spans="1:256">
      <c r="A86" s="718">
        <v>44531</v>
      </c>
      <c r="B86" s="791" t="s">
        <v>51</v>
      </c>
      <c r="C86" s="791"/>
      <c r="D86" s="791" t="s">
        <v>3335</v>
      </c>
      <c r="E86" s="791"/>
      <c r="F86" s="712" t="s">
        <v>1479</v>
      </c>
      <c r="G86" s="806" t="s">
        <v>3336</v>
      </c>
      <c r="H86" s="807">
        <v>172800</v>
      </c>
      <c r="I86" s="791">
        <v>0</v>
      </c>
      <c r="J86" s="791">
        <v>12</v>
      </c>
      <c r="K86" s="698">
        <f t="shared" si="61"/>
        <v>14400</v>
      </c>
      <c r="L86" s="751">
        <v>0</v>
      </c>
      <c r="M86" s="820">
        <v>0</v>
      </c>
      <c r="N86" s="777" t="s">
        <v>3337</v>
      </c>
      <c r="O86" s="829"/>
      <c r="P86" s="829"/>
      <c r="Q86" s="842"/>
      <c r="R86" s="843"/>
      <c r="S86" s="777" t="s">
        <v>3338</v>
      </c>
      <c r="T86" s="774"/>
      <c r="U86" s="844" t="s">
        <v>1427</v>
      </c>
      <c r="V86" s="815" t="s">
        <v>1427</v>
      </c>
      <c r="W86" s="775" t="s">
        <v>3339</v>
      </c>
      <c r="X86" s="832"/>
      <c r="Y86" s="712" t="s">
        <v>52</v>
      </c>
      <c r="Z86" s="791"/>
      <c r="AA86" s="791"/>
      <c r="AB86" s="711">
        <f t="shared" si="64"/>
        <v>57600</v>
      </c>
      <c r="AC86" s="711">
        <f t="shared" si="65"/>
        <v>57600</v>
      </c>
      <c r="AD86" s="711">
        <f t="shared" si="66"/>
        <v>57600</v>
      </c>
      <c r="AE86" s="801">
        <f t="shared" si="63"/>
        <v>172800</v>
      </c>
      <c r="AF86" s="801"/>
      <c r="AG86" s="801">
        <f t="shared" ref="AG86:AG90" si="68">H86</f>
        <v>172800</v>
      </c>
      <c r="AH86" s="801"/>
      <c r="AI86" s="801"/>
      <c r="AJ86" s="852"/>
      <c r="AK86" s="852"/>
      <c r="AL86" s="852"/>
      <c r="AM86" s="856" t="s">
        <v>3340</v>
      </c>
      <c r="AN86" s="858"/>
      <c r="AO86" s="692"/>
      <c r="AP86" s="692"/>
      <c r="AQ86" s="803"/>
      <c r="AR86" s="692"/>
      <c r="AS86" s="692"/>
      <c r="AT86" s="692"/>
      <c r="AU86" s="692"/>
      <c r="AV86" s="692"/>
      <c r="AW86" s="692"/>
      <c r="AX86" s="692"/>
      <c r="AY86" s="692"/>
      <c r="AZ86" s="692"/>
      <c r="BA86" s="692"/>
      <c r="BB86" s="692"/>
      <c r="BC86" s="692"/>
      <c r="BD86" s="692"/>
      <c r="BE86" s="692"/>
      <c r="BF86" s="692"/>
      <c r="BG86" s="692"/>
      <c r="BH86" s="692"/>
      <c r="BI86" s="692"/>
      <c r="BJ86" s="692"/>
      <c r="BK86" s="692"/>
      <c r="BL86" s="692"/>
      <c r="BM86" s="692"/>
      <c r="BN86" s="692"/>
      <c r="BO86" s="692"/>
      <c r="BP86" s="692"/>
      <c r="BQ86" s="692"/>
      <c r="BR86" s="692"/>
      <c r="BS86" s="692"/>
      <c r="BT86" s="692"/>
      <c r="BU86" s="692"/>
      <c r="BV86" s="692"/>
      <c r="BW86" s="692"/>
      <c r="BX86" s="692"/>
      <c r="BY86" s="692"/>
      <c r="BZ86" s="692"/>
      <c r="CA86" s="692"/>
      <c r="CB86" s="692"/>
      <c r="CC86" s="692"/>
      <c r="CD86" s="692"/>
      <c r="CE86" s="692"/>
      <c r="CF86" s="692"/>
      <c r="CG86" s="692"/>
      <c r="CH86" s="692"/>
      <c r="CI86" s="692"/>
      <c r="CJ86" s="692"/>
      <c r="CK86" s="692"/>
      <c r="CL86" s="692"/>
      <c r="CM86" s="692"/>
      <c r="CN86" s="692"/>
      <c r="CO86" s="692"/>
      <c r="CP86" s="692"/>
      <c r="CQ86" s="692"/>
      <c r="CR86" s="692"/>
      <c r="CS86" s="692"/>
      <c r="CT86" s="692"/>
      <c r="CU86" s="692"/>
      <c r="CV86" s="692"/>
      <c r="CW86" s="692"/>
      <c r="CX86" s="692"/>
      <c r="CY86" s="692"/>
      <c r="CZ86" s="692"/>
      <c r="DA86" s="692"/>
      <c r="DB86" s="692"/>
      <c r="DC86" s="692"/>
      <c r="DD86" s="692"/>
      <c r="DE86" s="692"/>
      <c r="DF86" s="692"/>
      <c r="DG86" s="692"/>
      <c r="DH86" s="692"/>
      <c r="DI86" s="692"/>
      <c r="DJ86" s="692"/>
      <c r="DK86" s="692"/>
      <c r="DL86" s="692"/>
      <c r="DM86" s="692"/>
      <c r="DN86" s="692"/>
      <c r="DO86" s="692"/>
      <c r="DP86" s="692"/>
      <c r="DQ86" s="692"/>
      <c r="DR86" s="692"/>
      <c r="DS86" s="692"/>
      <c r="DT86" s="692"/>
      <c r="DU86" s="692"/>
      <c r="DV86" s="692"/>
      <c r="DW86" s="692"/>
      <c r="DX86" s="692"/>
      <c r="DY86" s="692"/>
      <c r="DZ86" s="692"/>
      <c r="EA86" s="692"/>
      <c r="EB86" s="692"/>
      <c r="EC86" s="692"/>
      <c r="ED86" s="692"/>
      <c r="EE86" s="692"/>
      <c r="EF86" s="692"/>
      <c r="EG86" s="692"/>
      <c r="EH86" s="692"/>
      <c r="EI86" s="692"/>
      <c r="EJ86" s="692"/>
      <c r="EK86" s="692"/>
      <c r="EL86" s="692"/>
      <c r="EM86" s="692"/>
      <c r="EN86" s="692"/>
      <c r="EO86" s="692"/>
      <c r="EP86" s="692"/>
      <c r="EQ86" s="692"/>
      <c r="ER86" s="692"/>
      <c r="ES86" s="692"/>
      <c r="ET86" s="692"/>
      <c r="EU86" s="692"/>
      <c r="EV86" s="692"/>
      <c r="EW86" s="692"/>
      <c r="EX86" s="692"/>
      <c r="EY86" s="692"/>
      <c r="EZ86" s="692"/>
      <c r="FA86" s="692"/>
      <c r="FB86" s="692"/>
      <c r="FC86" s="692"/>
      <c r="FD86" s="692"/>
      <c r="FE86" s="692"/>
      <c r="FF86" s="692"/>
      <c r="FG86" s="692"/>
      <c r="FH86" s="692"/>
      <c r="FI86" s="692"/>
      <c r="FJ86" s="692"/>
      <c r="FK86" s="692"/>
      <c r="FL86" s="692"/>
      <c r="FM86" s="692"/>
      <c r="FN86" s="692"/>
      <c r="FO86" s="692"/>
      <c r="FP86" s="692"/>
      <c r="FQ86" s="692"/>
      <c r="FR86" s="692"/>
      <c r="FS86" s="692"/>
      <c r="FT86" s="692"/>
      <c r="FU86" s="692"/>
      <c r="FV86" s="692"/>
      <c r="FW86" s="692"/>
      <c r="FX86" s="692"/>
      <c r="FY86" s="692"/>
      <c r="FZ86" s="692"/>
      <c r="GA86" s="692"/>
      <c r="GB86" s="692"/>
      <c r="GC86" s="692"/>
      <c r="GD86" s="692"/>
      <c r="GE86" s="692"/>
      <c r="GF86" s="692"/>
      <c r="GG86" s="692"/>
      <c r="GH86" s="692"/>
      <c r="GI86" s="692"/>
      <c r="GJ86" s="692"/>
      <c r="GK86" s="692"/>
      <c r="GL86" s="692"/>
      <c r="GM86" s="692"/>
      <c r="GN86" s="692"/>
      <c r="GO86" s="692"/>
      <c r="GP86" s="692"/>
      <c r="GQ86" s="692"/>
      <c r="GR86" s="692"/>
      <c r="GS86" s="692"/>
      <c r="GT86" s="692"/>
      <c r="GU86" s="692"/>
      <c r="GV86" s="692"/>
      <c r="GW86" s="692"/>
      <c r="GX86" s="692"/>
      <c r="GY86" s="692"/>
      <c r="GZ86" s="692"/>
      <c r="HA86" s="692"/>
      <c r="HB86" s="692"/>
      <c r="HC86" s="692"/>
      <c r="HD86" s="692"/>
      <c r="HE86" s="692"/>
      <c r="HF86" s="692"/>
      <c r="HG86" s="692"/>
      <c r="HH86" s="692"/>
      <c r="HI86" s="692"/>
      <c r="HJ86" s="692"/>
      <c r="HK86" s="692"/>
      <c r="HL86" s="692"/>
      <c r="HM86" s="692"/>
      <c r="HN86" s="692"/>
      <c r="HO86" s="692"/>
      <c r="HP86" s="692"/>
      <c r="HQ86" s="692"/>
      <c r="HR86" s="692"/>
      <c r="HS86" s="692"/>
      <c r="HT86" s="692"/>
      <c r="HU86" s="692"/>
      <c r="HV86" s="692"/>
      <c r="HW86" s="692"/>
      <c r="HX86" s="692"/>
      <c r="HY86" s="692"/>
      <c r="HZ86" s="692"/>
      <c r="IA86" s="692"/>
      <c r="IB86" s="692"/>
      <c r="IC86" s="699"/>
      <c r="ID86" s="699"/>
      <c r="IE86" s="699"/>
      <c r="IF86" s="699"/>
      <c r="IG86" s="699"/>
      <c r="IH86" s="699"/>
      <c r="II86" s="699"/>
      <c r="IJ86" s="699"/>
      <c r="IK86" s="699"/>
      <c r="IL86" s="699"/>
      <c r="IM86" s="699"/>
      <c r="IN86" s="699"/>
      <c r="IO86" s="699"/>
      <c r="IP86" s="699"/>
      <c r="IQ86" s="699"/>
      <c r="IR86" s="699"/>
      <c r="IS86" s="699"/>
      <c r="IT86" s="699"/>
      <c r="IU86" s="699"/>
      <c r="IV86" s="699"/>
    </row>
    <row r="87" s="694" customFormat="1" ht="24" customHeight="1" spans="1:256">
      <c r="A87" s="805">
        <v>44468</v>
      </c>
      <c r="B87" s="711" t="s">
        <v>3297</v>
      </c>
      <c r="C87" s="711" t="s">
        <v>3341</v>
      </c>
      <c r="D87" s="711">
        <v>4500062447</v>
      </c>
      <c r="E87" s="711" t="s">
        <v>609</v>
      </c>
      <c r="F87" s="712" t="s">
        <v>1479</v>
      </c>
      <c r="G87" s="710" t="s">
        <v>3342</v>
      </c>
      <c r="H87" s="711"/>
      <c r="I87" s="711">
        <v>6</v>
      </c>
      <c r="J87" s="711">
        <v>24</v>
      </c>
      <c r="K87" s="698">
        <f t="shared" si="61"/>
        <v>0</v>
      </c>
      <c r="L87" s="819">
        <v>0</v>
      </c>
      <c r="M87" s="820">
        <f t="shared" ref="M87:M91" si="69">L87*H87</f>
        <v>0</v>
      </c>
      <c r="N87" s="777" t="s">
        <v>3343</v>
      </c>
      <c r="O87" s="777"/>
      <c r="P87" s="777"/>
      <c r="Q87" s="770"/>
      <c r="R87" s="770"/>
      <c r="S87" s="777" t="s">
        <v>3344</v>
      </c>
      <c r="T87" s="744" t="s">
        <v>3345</v>
      </c>
      <c r="U87" s="845">
        <v>44501</v>
      </c>
      <c r="V87" s="744" t="s">
        <v>1427</v>
      </c>
      <c r="W87" s="744" t="s">
        <v>1888</v>
      </c>
      <c r="X87" s="778"/>
      <c r="Y87" s="712" t="s">
        <v>123</v>
      </c>
      <c r="Z87" s="711"/>
      <c r="AA87" s="711"/>
      <c r="AB87" s="711">
        <f t="shared" si="64"/>
        <v>0</v>
      </c>
      <c r="AC87" s="711">
        <f t="shared" si="65"/>
        <v>0</v>
      </c>
      <c r="AD87" s="711">
        <f t="shared" si="66"/>
        <v>0</v>
      </c>
      <c r="AE87" s="800">
        <f t="shared" si="63"/>
        <v>0</v>
      </c>
      <c r="AF87" s="800"/>
      <c r="AG87" s="800">
        <f t="shared" si="68"/>
        <v>0</v>
      </c>
      <c r="AH87" s="800"/>
      <c r="AI87" s="800">
        <f>H87/6</f>
        <v>0</v>
      </c>
      <c r="AJ87" s="779"/>
      <c r="AK87" s="779"/>
      <c r="AL87" s="779"/>
      <c r="AM87" s="769" t="s">
        <v>3346</v>
      </c>
      <c r="AN87" s="769"/>
      <c r="AO87" s="698"/>
      <c r="AP87" s="698"/>
      <c r="AQ87" s="711"/>
      <c r="AR87" s="698"/>
      <c r="AS87" s="698"/>
      <c r="AT87" s="698"/>
      <c r="AU87" s="698"/>
      <c r="AV87" s="698"/>
      <c r="AW87" s="698"/>
      <c r="AX87" s="698"/>
      <c r="AY87" s="698"/>
      <c r="AZ87" s="698"/>
      <c r="BA87" s="698"/>
      <c r="BB87" s="698"/>
      <c r="BC87" s="698"/>
      <c r="BD87" s="698"/>
      <c r="BE87" s="698"/>
      <c r="BF87" s="698"/>
      <c r="BG87" s="698"/>
      <c r="BH87" s="698"/>
      <c r="BI87" s="698"/>
      <c r="BJ87" s="698"/>
      <c r="BK87" s="698"/>
      <c r="BL87" s="698"/>
      <c r="BM87" s="698"/>
      <c r="BN87" s="698"/>
      <c r="BO87" s="698"/>
      <c r="BP87" s="698"/>
      <c r="BQ87" s="698"/>
      <c r="BR87" s="698"/>
      <c r="BS87" s="698"/>
      <c r="BT87" s="698"/>
      <c r="BU87" s="698"/>
      <c r="BV87" s="698"/>
      <c r="BW87" s="698"/>
      <c r="BX87" s="698"/>
      <c r="BY87" s="698"/>
      <c r="BZ87" s="698"/>
      <c r="CA87" s="698"/>
      <c r="CB87" s="698"/>
      <c r="CC87" s="698"/>
      <c r="CD87" s="698"/>
      <c r="CE87" s="698"/>
      <c r="CF87" s="698"/>
      <c r="CG87" s="698"/>
      <c r="CH87" s="698"/>
      <c r="CI87" s="698"/>
      <c r="CJ87" s="698"/>
      <c r="CK87" s="698"/>
      <c r="CL87" s="698"/>
      <c r="CM87" s="698"/>
      <c r="CN87" s="698"/>
      <c r="CO87" s="698"/>
      <c r="CP87" s="698"/>
      <c r="CQ87" s="698"/>
      <c r="CR87" s="698"/>
      <c r="CS87" s="698"/>
      <c r="CT87" s="698"/>
      <c r="CU87" s="698"/>
      <c r="CV87" s="698"/>
      <c r="CW87" s="698"/>
      <c r="CX87" s="698"/>
      <c r="CY87" s="698"/>
      <c r="CZ87" s="698"/>
      <c r="DA87" s="698"/>
      <c r="DB87" s="698"/>
      <c r="DC87" s="698"/>
      <c r="DD87" s="698"/>
      <c r="DE87" s="698"/>
      <c r="DF87" s="698"/>
      <c r="DG87" s="698"/>
      <c r="DH87" s="698"/>
      <c r="DI87" s="698"/>
      <c r="DJ87" s="698"/>
      <c r="DK87" s="698"/>
      <c r="DL87" s="698"/>
      <c r="DM87" s="698"/>
      <c r="DN87" s="698"/>
      <c r="DO87" s="698"/>
      <c r="DP87" s="698"/>
      <c r="DQ87" s="698"/>
      <c r="DR87" s="698"/>
      <c r="DS87" s="698"/>
      <c r="DT87" s="698"/>
      <c r="DU87" s="698"/>
      <c r="DV87" s="698"/>
      <c r="DW87" s="698"/>
      <c r="DX87" s="698"/>
      <c r="DY87" s="698"/>
      <c r="DZ87" s="698"/>
      <c r="EA87" s="698"/>
      <c r="EB87" s="698"/>
      <c r="EC87" s="698"/>
      <c r="ED87" s="698"/>
      <c r="EE87" s="698"/>
      <c r="EF87" s="698"/>
      <c r="EG87" s="698"/>
      <c r="EH87" s="698"/>
      <c r="EI87" s="698"/>
      <c r="EJ87" s="698"/>
      <c r="EK87" s="698"/>
      <c r="EL87" s="698"/>
      <c r="EM87" s="698"/>
      <c r="EN87" s="698"/>
      <c r="EO87" s="698"/>
      <c r="EP87" s="698"/>
      <c r="EQ87" s="698"/>
      <c r="ER87" s="698"/>
      <c r="ES87" s="698"/>
      <c r="ET87" s="698"/>
      <c r="EU87" s="698"/>
      <c r="EV87" s="698"/>
      <c r="EW87" s="698"/>
      <c r="EX87" s="698"/>
      <c r="EY87" s="698"/>
      <c r="EZ87" s="698"/>
      <c r="FA87" s="698"/>
      <c r="FB87" s="698"/>
      <c r="FC87" s="698"/>
      <c r="FD87" s="698"/>
      <c r="FE87" s="698"/>
      <c r="FF87" s="698"/>
      <c r="FG87" s="698"/>
      <c r="FH87" s="698"/>
      <c r="FI87" s="698"/>
      <c r="FJ87" s="698"/>
      <c r="FK87" s="698"/>
      <c r="FL87" s="698"/>
      <c r="FM87" s="698"/>
      <c r="FN87" s="698"/>
      <c r="FO87" s="698"/>
      <c r="FP87" s="698"/>
      <c r="FQ87" s="698"/>
      <c r="FR87" s="698"/>
      <c r="FS87" s="698"/>
      <c r="FT87" s="698"/>
      <c r="FU87" s="698"/>
      <c r="FV87" s="698"/>
      <c r="FW87" s="698"/>
      <c r="FX87" s="698"/>
      <c r="FY87" s="698"/>
      <c r="FZ87" s="698"/>
      <c r="GA87" s="698"/>
      <c r="GB87" s="698"/>
      <c r="GC87" s="698"/>
      <c r="GD87" s="698"/>
      <c r="GE87" s="698"/>
      <c r="GF87" s="698"/>
      <c r="GG87" s="698"/>
      <c r="GH87" s="698"/>
      <c r="GI87" s="698"/>
      <c r="GJ87" s="698"/>
      <c r="GK87" s="698"/>
      <c r="GL87" s="698"/>
      <c r="GM87" s="698"/>
      <c r="GN87" s="698"/>
      <c r="GO87" s="698"/>
      <c r="GP87" s="698"/>
      <c r="GQ87" s="698"/>
      <c r="GR87" s="698"/>
      <c r="GS87" s="698"/>
      <c r="GT87" s="698"/>
      <c r="GU87" s="698"/>
      <c r="GV87" s="698"/>
      <c r="GW87" s="698"/>
      <c r="GX87" s="698"/>
      <c r="GY87" s="698"/>
      <c r="GZ87" s="698"/>
      <c r="HA87" s="698"/>
      <c r="HB87" s="698"/>
      <c r="HC87" s="698"/>
      <c r="HD87" s="698"/>
      <c r="HE87" s="698"/>
      <c r="HF87" s="698"/>
      <c r="HG87" s="698"/>
      <c r="HH87" s="698"/>
      <c r="HI87" s="698"/>
      <c r="HJ87" s="698"/>
      <c r="HK87" s="698"/>
      <c r="HL87" s="698"/>
      <c r="HM87" s="698"/>
      <c r="HN87" s="698"/>
      <c r="HO87" s="698"/>
      <c r="HP87" s="698"/>
      <c r="HQ87" s="698"/>
      <c r="HR87" s="698"/>
      <c r="HS87" s="698"/>
      <c r="HT87" s="698"/>
      <c r="HU87" s="698"/>
      <c r="HV87" s="698"/>
      <c r="HW87" s="698"/>
      <c r="HX87" s="698"/>
      <c r="HY87" s="698"/>
      <c r="HZ87" s="698"/>
      <c r="IA87" s="698"/>
      <c r="IB87" s="698"/>
      <c r="IC87" s="799"/>
      <c r="ID87" s="799"/>
      <c r="IE87" s="799"/>
      <c r="IF87" s="799"/>
      <c r="IG87" s="799"/>
      <c r="IH87" s="799"/>
      <c r="II87" s="799"/>
      <c r="IJ87" s="799"/>
      <c r="IK87" s="799"/>
      <c r="IL87" s="799"/>
      <c r="IM87" s="799"/>
      <c r="IN87" s="799"/>
      <c r="IO87" s="799"/>
      <c r="IP87" s="799"/>
      <c r="IQ87" s="799"/>
      <c r="IR87" s="799"/>
      <c r="IS87" s="799"/>
      <c r="IT87" s="799"/>
      <c r="IU87" s="799"/>
      <c r="IV87" s="699"/>
    </row>
    <row r="88" s="694" customFormat="1" ht="24" customHeight="1" spans="1:256">
      <c r="A88" s="805">
        <v>44476</v>
      </c>
      <c r="B88" s="711" t="s">
        <v>2724</v>
      </c>
      <c r="C88" s="711"/>
      <c r="D88" s="711">
        <v>4500062827</v>
      </c>
      <c r="E88" s="711" t="s">
        <v>609</v>
      </c>
      <c r="F88" s="712" t="s">
        <v>3347</v>
      </c>
      <c r="G88" s="710" t="s">
        <v>3348</v>
      </c>
      <c r="H88" s="711"/>
      <c r="I88" s="711">
        <v>0</v>
      </c>
      <c r="J88" s="711">
        <v>1</v>
      </c>
      <c r="K88" s="698">
        <f t="shared" si="61"/>
        <v>0</v>
      </c>
      <c r="L88" s="819">
        <v>0</v>
      </c>
      <c r="M88" s="820">
        <f t="shared" si="69"/>
        <v>0</v>
      </c>
      <c r="N88" s="777" t="s">
        <v>3349</v>
      </c>
      <c r="O88" s="777"/>
      <c r="P88" s="777"/>
      <c r="Q88" s="770"/>
      <c r="R88" s="770"/>
      <c r="S88" s="777" t="s">
        <v>3350</v>
      </c>
      <c r="T88" s="744" t="s">
        <v>3345</v>
      </c>
      <c r="U88" s="705" t="s">
        <v>1427</v>
      </c>
      <c r="V88" s="705" t="s">
        <v>1427</v>
      </c>
      <c r="W88" s="744" t="s">
        <v>7</v>
      </c>
      <c r="X88" s="778"/>
      <c r="Y88" s="712" t="s">
        <v>123</v>
      </c>
      <c r="Z88" s="711"/>
      <c r="AA88" s="711"/>
      <c r="AB88" s="711"/>
      <c r="AC88" s="711"/>
      <c r="AD88" s="711"/>
      <c r="AE88" s="800"/>
      <c r="AF88" s="800"/>
      <c r="AG88" s="800"/>
      <c r="AH88" s="800"/>
      <c r="AI88" s="800"/>
      <c r="AJ88" s="779"/>
      <c r="AK88" s="779"/>
      <c r="AL88" s="779"/>
      <c r="AM88" s="859" t="s">
        <v>3351</v>
      </c>
      <c r="AN88" s="769"/>
      <c r="AO88" s="698"/>
      <c r="AP88" s="698"/>
      <c r="AQ88" s="711"/>
      <c r="AR88" s="698"/>
      <c r="AS88" s="698"/>
      <c r="AT88" s="698"/>
      <c r="AU88" s="698"/>
      <c r="AV88" s="698"/>
      <c r="AW88" s="698"/>
      <c r="AX88" s="698"/>
      <c r="AY88" s="698"/>
      <c r="AZ88" s="698"/>
      <c r="BA88" s="698"/>
      <c r="BB88" s="698"/>
      <c r="BC88" s="698"/>
      <c r="BD88" s="698"/>
      <c r="BE88" s="698"/>
      <c r="BF88" s="698"/>
      <c r="BG88" s="698"/>
      <c r="BH88" s="698"/>
      <c r="BI88" s="698"/>
      <c r="BJ88" s="698"/>
      <c r="BK88" s="698"/>
      <c r="BL88" s="698"/>
      <c r="BM88" s="698"/>
      <c r="BN88" s="698"/>
      <c r="BO88" s="698"/>
      <c r="BP88" s="698"/>
      <c r="BQ88" s="698"/>
      <c r="BR88" s="698"/>
      <c r="BS88" s="698"/>
      <c r="BT88" s="698"/>
      <c r="BU88" s="698"/>
      <c r="BV88" s="698"/>
      <c r="BW88" s="698"/>
      <c r="BX88" s="698"/>
      <c r="BY88" s="698"/>
      <c r="BZ88" s="698"/>
      <c r="CA88" s="698"/>
      <c r="CB88" s="698"/>
      <c r="CC88" s="698"/>
      <c r="CD88" s="698"/>
      <c r="CE88" s="698"/>
      <c r="CF88" s="698"/>
      <c r="CG88" s="698"/>
      <c r="CH88" s="698"/>
      <c r="CI88" s="698"/>
      <c r="CJ88" s="698"/>
      <c r="CK88" s="698"/>
      <c r="CL88" s="698"/>
      <c r="CM88" s="698"/>
      <c r="CN88" s="698"/>
      <c r="CO88" s="698"/>
      <c r="CP88" s="698"/>
      <c r="CQ88" s="698"/>
      <c r="CR88" s="698"/>
      <c r="CS88" s="698"/>
      <c r="CT88" s="698"/>
      <c r="CU88" s="698"/>
      <c r="CV88" s="698"/>
      <c r="CW88" s="698"/>
      <c r="CX88" s="698"/>
      <c r="CY88" s="698"/>
      <c r="CZ88" s="698"/>
      <c r="DA88" s="698"/>
      <c r="DB88" s="698"/>
      <c r="DC88" s="698"/>
      <c r="DD88" s="698"/>
      <c r="DE88" s="698"/>
      <c r="DF88" s="698"/>
      <c r="DG88" s="698"/>
      <c r="DH88" s="698"/>
      <c r="DI88" s="698"/>
      <c r="DJ88" s="698"/>
      <c r="DK88" s="698"/>
      <c r="DL88" s="698"/>
      <c r="DM88" s="698"/>
      <c r="DN88" s="698"/>
      <c r="DO88" s="698"/>
      <c r="DP88" s="698"/>
      <c r="DQ88" s="698"/>
      <c r="DR88" s="698"/>
      <c r="DS88" s="698"/>
      <c r="DT88" s="698"/>
      <c r="DU88" s="698"/>
      <c r="DV88" s="698"/>
      <c r="DW88" s="698"/>
      <c r="DX88" s="698"/>
      <c r="DY88" s="698"/>
      <c r="DZ88" s="698"/>
      <c r="EA88" s="698"/>
      <c r="EB88" s="698"/>
      <c r="EC88" s="698"/>
      <c r="ED88" s="698"/>
      <c r="EE88" s="698"/>
      <c r="EF88" s="698"/>
      <c r="EG88" s="698"/>
      <c r="EH88" s="698"/>
      <c r="EI88" s="698"/>
      <c r="EJ88" s="698"/>
      <c r="EK88" s="698"/>
      <c r="EL88" s="698"/>
      <c r="EM88" s="698"/>
      <c r="EN88" s="698"/>
      <c r="EO88" s="698"/>
      <c r="EP88" s="698"/>
      <c r="EQ88" s="698"/>
      <c r="ER88" s="698"/>
      <c r="ES88" s="698"/>
      <c r="ET88" s="698"/>
      <c r="EU88" s="698"/>
      <c r="EV88" s="698"/>
      <c r="EW88" s="698"/>
      <c r="EX88" s="698"/>
      <c r="EY88" s="698"/>
      <c r="EZ88" s="698"/>
      <c r="FA88" s="698"/>
      <c r="FB88" s="698"/>
      <c r="FC88" s="698"/>
      <c r="FD88" s="698"/>
      <c r="FE88" s="698"/>
      <c r="FF88" s="698"/>
      <c r="FG88" s="698"/>
      <c r="FH88" s="698"/>
      <c r="FI88" s="698"/>
      <c r="FJ88" s="698"/>
      <c r="FK88" s="698"/>
      <c r="FL88" s="698"/>
      <c r="FM88" s="698"/>
      <c r="FN88" s="698"/>
      <c r="FO88" s="698"/>
      <c r="FP88" s="698"/>
      <c r="FQ88" s="698"/>
      <c r="FR88" s="698"/>
      <c r="FS88" s="698"/>
      <c r="FT88" s="698"/>
      <c r="FU88" s="698"/>
      <c r="FV88" s="698"/>
      <c r="FW88" s="698"/>
      <c r="FX88" s="698"/>
      <c r="FY88" s="698"/>
      <c r="FZ88" s="698"/>
      <c r="GA88" s="698"/>
      <c r="GB88" s="698"/>
      <c r="GC88" s="698"/>
      <c r="GD88" s="698"/>
      <c r="GE88" s="698"/>
      <c r="GF88" s="698"/>
      <c r="GG88" s="698"/>
      <c r="GH88" s="698"/>
      <c r="GI88" s="698"/>
      <c r="GJ88" s="698"/>
      <c r="GK88" s="698"/>
      <c r="GL88" s="698"/>
      <c r="GM88" s="698"/>
      <c r="GN88" s="698"/>
      <c r="GO88" s="698"/>
      <c r="GP88" s="698"/>
      <c r="GQ88" s="698"/>
      <c r="GR88" s="698"/>
      <c r="GS88" s="698"/>
      <c r="GT88" s="698"/>
      <c r="GU88" s="698"/>
      <c r="GV88" s="698"/>
      <c r="GW88" s="698"/>
      <c r="GX88" s="698"/>
      <c r="GY88" s="698"/>
      <c r="GZ88" s="698"/>
      <c r="HA88" s="698"/>
      <c r="HB88" s="698"/>
      <c r="HC88" s="698"/>
      <c r="HD88" s="698"/>
      <c r="HE88" s="698"/>
      <c r="HF88" s="698"/>
      <c r="HG88" s="698"/>
      <c r="HH88" s="698"/>
      <c r="HI88" s="698"/>
      <c r="HJ88" s="698"/>
      <c r="HK88" s="698"/>
      <c r="HL88" s="698"/>
      <c r="HM88" s="698"/>
      <c r="HN88" s="698"/>
      <c r="HO88" s="698"/>
      <c r="HP88" s="698"/>
      <c r="HQ88" s="698"/>
      <c r="HR88" s="698"/>
      <c r="HS88" s="698"/>
      <c r="HT88" s="698"/>
      <c r="HU88" s="698"/>
      <c r="HV88" s="698"/>
      <c r="HW88" s="698"/>
      <c r="HX88" s="698"/>
      <c r="HY88" s="698"/>
      <c r="HZ88" s="698"/>
      <c r="IA88" s="698"/>
      <c r="IB88" s="698"/>
      <c r="IC88" s="799"/>
      <c r="ID88" s="799"/>
      <c r="IE88" s="799"/>
      <c r="IF88" s="799"/>
      <c r="IG88" s="799"/>
      <c r="IH88" s="799"/>
      <c r="II88" s="799"/>
      <c r="IJ88" s="799"/>
      <c r="IK88" s="799"/>
      <c r="IL88" s="799"/>
      <c r="IM88" s="799"/>
      <c r="IN88" s="799"/>
      <c r="IO88" s="799"/>
      <c r="IP88" s="799"/>
      <c r="IQ88" s="799"/>
      <c r="IR88" s="799"/>
      <c r="IS88" s="799"/>
      <c r="IT88" s="799"/>
      <c r="IU88" s="799"/>
      <c r="IV88" s="699"/>
    </row>
    <row r="89" s="695" customFormat="1" ht="24" customHeight="1" spans="1:256">
      <c r="A89" s="808">
        <v>44476</v>
      </c>
      <c r="B89" s="720" t="s">
        <v>2724</v>
      </c>
      <c r="C89" s="720"/>
      <c r="D89" s="720">
        <v>4500062827</v>
      </c>
      <c r="E89" s="720" t="s">
        <v>609</v>
      </c>
      <c r="F89" s="721" t="s">
        <v>1479</v>
      </c>
      <c r="G89" s="809" t="s">
        <v>3352</v>
      </c>
      <c r="H89" s="720"/>
      <c r="I89" s="720">
        <v>0</v>
      </c>
      <c r="J89" s="720">
        <v>432</v>
      </c>
      <c r="K89" s="755">
        <f t="shared" si="61"/>
        <v>0</v>
      </c>
      <c r="L89" s="824">
        <v>0</v>
      </c>
      <c r="M89" s="830">
        <v>0</v>
      </c>
      <c r="N89" s="777" t="s">
        <v>3349</v>
      </c>
      <c r="O89" s="758"/>
      <c r="P89" s="758"/>
      <c r="Q89" s="846"/>
      <c r="R89" s="846"/>
      <c r="S89" s="777" t="s">
        <v>3350</v>
      </c>
      <c r="T89" s="744" t="s">
        <v>3345</v>
      </c>
      <c r="U89" s="847" t="s">
        <v>1427</v>
      </c>
      <c r="V89" s="847" t="s">
        <v>1427</v>
      </c>
      <c r="W89" s="839" t="s">
        <v>7</v>
      </c>
      <c r="X89" s="840"/>
      <c r="Y89" s="721" t="s">
        <v>123</v>
      </c>
      <c r="Z89" s="720"/>
      <c r="AA89" s="720"/>
      <c r="AB89" s="720">
        <f t="shared" ref="AB89:AB92" si="70">H89/3</f>
        <v>0</v>
      </c>
      <c r="AC89" s="720">
        <f t="shared" ref="AC89:AC92" si="71">H89/3</f>
        <v>0</v>
      </c>
      <c r="AD89" s="720">
        <f t="shared" ref="AD89:AD92" si="72">H89/3</f>
        <v>0</v>
      </c>
      <c r="AE89" s="855"/>
      <c r="AF89" s="855"/>
      <c r="AG89" s="855"/>
      <c r="AH89" s="855"/>
      <c r="AI89" s="855"/>
      <c r="AJ89" s="860">
        <f>H89</f>
        <v>0</v>
      </c>
      <c r="AK89" s="860"/>
      <c r="AL89" s="860">
        <f>H89/3</f>
        <v>0</v>
      </c>
      <c r="AM89" s="861"/>
      <c r="AN89" s="859"/>
      <c r="AO89" s="755"/>
      <c r="AP89" s="755"/>
      <c r="AQ89" s="720"/>
      <c r="AR89" s="755"/>
      <c r="AS89" s="755"/>
      <c r="AT89" s="755"/>
      <c r="AU89" s="755"/>
      <c r="AV89" s="755"/>
      <c r="AW89" s="755"/>
      <c r="AX89" s="755"/>
      <c r="AY89" s="755"/>
      <c r="AZ89" s="755"/>
      <c r="BA89" s="755"/>
      <c r="BB89" s="755"/>
      <c r="BC89" s="755"/>
      <c r="BD89" s="755"/>
      <c r="BE89" s="755"/>
      <c r="BF89" s="755"/>
      <c r="BG89" s="755"/>
      <c r="BH89" s="755"/>
      <c r="BI89" s="755"/>
      <c r="BJ89" s="755"/>
      <c r="BK89" s="755"/>
      <c r="BL89" s="755"/>
      <c r="BM89" s="755"/>
      <c r="BN89" s="755"/>
      <c r="BO89" s="755"/>
      <c r="BP89" s="755"/>
      <c r="BQ89" s="755"/>
      <c r="BR89" s="755"/>
      <c r="BS89" s="755"/>
      <c r="BT89" s="755"/>
      <c r="BU89" s="755"/>
      <c r="BV89" s="755"/>
      <c r="BW89" s="755"/>
      <c r="BX89" s="755"/>
      <c r="BY89" s="755"/>
      <c r="BZ89" s="755"/>
      <c r="CA89" s="755"/>
      <c r="CB89" s="755"/>
      <c r="CC89" s="755"/>
      <c r="CD89" s="755"/>
      <c r="CE89" s="755"/>
      <c r="CF89" s="755"/>
      <c r="CG89" s="755"/>
      <c r="CH89" s="755"/>
      <c r="CI89" s="755"/>
      <c r="CJ89" s="755"/>
      <c r="CK89" s="755"/>
      <c r="CL89" s="755"/>
      <c r="CM89" s="755"/>
      <c r="CN89" s="755"/>
      <c r="CO89" s="755"/>
      <c r="CP89" s="755"/>
      <c r="CQ89" s="755"/>
      <c r="CR89" s="755"/>
      <c r="CS89" s="755"/>
      <c r="CT89" s="755"/>
      <c r="CU89" s="755"/>
      <c r="CV89" s="755"/>
      <c r="CW89" s="755"/>
      <c r="CX89" s="755"/>
      <c r="CY89" s="755"/>
      <c r="CZ89" s="755"/>
      <c r="DA89" s="755"/>
      <c r="DB89" s="755"/>
      <c r="DC89" s="755"/>
      <c r="DD89" s="755"/>
      <c r="DE89" s="755"/>
      <c r="DF89" s="755"/>
      <c r="DG89" s="755"/>
      <c r="DH89" s="755"/>
      <c r="DI89" s="755"/>
      <c r="DJ89" s="755"/>
      <c r="DK89" s="755"/>
      <c r="DL89" s="755"/>
      <c r="DM89" s="755"/>
      <c r="DN89" s="755"/>
      <c r="DO89" s="755"/>
      <c r="DP89" s="755"/>
      <c r="DQ89" s="755"/>
      <c r="DR89" s="755"/>
      <c r="DS89" s="755"/>
      <c r="DT89" s="755"/>
      <c r="DU89" s="755"/>
      <c r="DV89" s="755"/>
      <c r="DW89" s="755"/>
      <c r="DX89" s="755"/>
      <c r="DY89" s="755"/>
      <c r="DZ89" s="755"/>
      <c r="EA89" s="755"/>
      <c r="EB89" s="755"/>
      <c r="EC89" s="755"/>
      <c r="ED89" s="755"/>
      <c r="EE89" s="755"/>
      <c r="EF89" s="755"/>
      <c r="EG89" s="755"/>
      <c r="EH89" s="755"/>
      <c r="EI89" s="755"/>
      <c r="EJ89" s="755"/>
      <c r="EK89" s="755"/>
      <c r="EL89" s="755"/>
      <c r="EM89" s="755"/>
      <c r="EN89" s="755"/>
      <c r="EO89" s="755"/>
      <c r="EP89" s="755"/>
      <c r="EQ89" s="755"/>
      <c r="ER89" s="755"/>
      <c r="ES89" s="755"/>
      <c r="ET89" s="755"/>
      <c r="EU89" s="755"/>
      <c r="EV89" s="755"/>
      <c r="EW89" s="755"/>
      <c r="EX89" s="755"/>
      <c r="EY89" s="755"/>
      <c r="EZ89" s="755"/>
      <c r="FA89" s="755"/>
      <c r="FB89" s="755"/>
      <c r="FC89" s="755"/>
      <c r="FD89" s="755"/>
      <c r="FE89" s="755"/>
      <c r="FF89" s="755"/>
      <c r="FG89" s="755"/>
      <c r="FH89" s="755"/>
      <c r="FI89" s="755"/>
      <c r="FJ89" s="755"/>
      <c r="FK89" s="755"/>
      <c r="FL89" s="755"/>
      <c r="FM89" s="755"/>
      <c r="FN89" s="755"/>
      <c r="FO89" s="755"/>
      <c r="FP89" s="755"/>
      <c r="FQ89" s="755"/>
      <c r="FR89" s="755"/>
      <c r="FS89" s="755"/>
      <c r="FT89" s="755"/>
      <c r="FU89" s="755"/>
      <c r="FV89" s="755"/>
      <c r="FW89" s="755"/>
      <c r="FX89" s="755"/>
      <c r="FY89" s="755"/>
      <c r="FZ89" s="755"/>
      <c r="GA89" s="755"/>
      <c r="GB89" s="755"/>
      <c r="GC89" s="755"/>
      <c r="GD89" s="755"/>
      <c r="GE89" s="755"/>
      <c r="GF89" s="755"/>
      <c r="GG89" s="755"/>
      <c r="GH89" s="755"/>
      <c r="GI89" s="755"/>
      <c r="GJ89" s="755"/>
      <c r="GK89" s="755"/>
      <c r="GL89" s="755"/>
      <c r="GM89" s="755"/>
      <c r="GN89" s="755"/>
      <c r="GO89" s="755"/>
      <c r="GP89" s="755"/>
      <c r="GQ89" s="755"/>
      <c r="GR89" s="755"/>
      <c r="GS89" s="755"/>
      <c r="GT89" s="755"/>
      <c r="GU89" s="755"/>
      <c r="GV89" s="755"/>
      <c r="GW89" s="755"/>
      <c r="GX89" s="755"/>
      <c r="GY89" s="755"/>
      <c r="GZ89" s="755"/>
      <c r="HA89" s="755"/>
      <c r="HB89" s="755"/>
      <c r="HC89" s="755"/>
      <c r="HD89" s="755"/>
      <c r="HE89" s="755"/>
      <c r="HF89" s="755"/>
      <c r="HG89" s="755"/>
      <c r="HH89" s="755"/>
      <c r="HI89" s="755"/>
      <c r="HJ89" s="755"/>
      <c r="HK89" s="755"/>
      <c r="HL89" s="755"/>
      <c r="HM89" s="755"/>
      <c r="HN89" s="755"/>
      <c r="HO89" s="755"/>
      <c r="HP89" s="755"/>
      <c r="HQ89" s="755"/>
      <c r="HR89" s="755"/>
      <c r="HS89" s="755"/>
      <c r="HT89" s="755"/>
      <c r="HU89" s="755"/>
      <c r="HV89" s="755"/>
      <c r="HW89" s="755"/>
      <c r="HX89" s="755"/>
      <c r="HY89" s="755"/>
      <c r="HZ89" s="755"/>
      <c r="IA89" s="755"/>
      <c r="IB89" s="755"/>
      <c r="IC89" s="867"/>
      <c r="ID89" s="867"/>
      <c r="IE89" s="867"/>
      <c r="IF89" s="867"/>
      <c r="IG89" s="867"/>
      <c r="IH89" s="867"/>
      <c r="II89" s="867"/>
      <c r="IJ89" s="867"/>
      <c r="IK89" s="867"/>
      <c r="IL89" s="867"/>
      <c r="IM89" s="867"/>
      <c r="IN89" s="867"/>
      <c r="IO89" s="867"/>
      <c r="IP89" s="867"/>
      <c r="IQ89" s="867"/>
      <c r="IR89" s="867"/>
      <c r="IS89" s="867"/>
      <c r="IT89" s="867"/>
      <c r="IU89" s="867"/>
      <c r="IV89" s="699"/>
    </row>
    <row r="90" s="694" customFormat="1" ht="24" customHeight="1" spans="1:256">
      <c r="A90" s="805">
        <v>44503</v>
      </c>
      <c r="B90" s="711" t="s">
        <v>3297</v>
      </c>
      <c r="C90" s="711"/>
      <c r="D90" s="711">
        <v>4500065291</v>
      </c>
      <c r="E90" s="711" t="s">
        <v>609</v>
      </c>
      <c r="F90" s="712" t="s">
        <v>1479</v>
      </c>
      <c r="G90" s="710" t="s">
        <v>3342</v>
      </c>
      <c r="H90" s="711"/>
      <c r="I90" s="711">
        <v>6</v>
      </c>
      <c r="J90" s="711">
        <v>24</v>
      </c>
      <c r="K90" s="698">
        <f t="shared" si="61"/>
        <v>0</v>
      </c>
      <c r="L90" s="819">
        <v>0</v>
      </c>
      <c r="M90" s="820">
        <f t="shared" si="69"/>
        <v>0</v>
      </c>
      <c r="N90" s="777" t="s">
        <v>3353</v>
      </c>
      <c r="O90" s="777"/>
      <c r="P90" s="777"/>
      <c r="Q90" s="770"/>
      <c r="R90" s="770"/>
      <c r="S90" s="777" t="s">
        <v>3354</v>
      </c>
      <c r="T90" s="744" t="s">
        <v>3345</v>
      </c>
      <c r="U90" s="705" t="s">
        <v>1427</v>
      </c>
      <c r="V90" s="705" t="s">
        <v>1427</v>
      </c>
      <c r="W90" s="744" t="s">
        <v>1888</v>
      </c>
      <c r="X90" s="778"/>
      <c r="Y90" s="712" t="s">
        <v>123</v>
      </c>
      <c r="Z90" s="711"/>
      <c r="AA90" s="711"/>
      <c r="AB90" s="711">
        <f t="shared" si="70"/>
        <v>0</v>
      </c>
      <c r="AC90" s="711">
        <f t="shared" si="71"/>
        <v>0</v>
      </c>
      <c r="AD90" s="711">
        <f t="shared" si="72"/>
        <v>0</v>
      </c>
      <c r="AE90" s="800">
        <f t="shared" ref="AE90:AE94" si="73">H90</f>
        <v>0</v>
      </c>
      <c r="AF90" s="800"/>
      <c r="AG90" s="800">
        <f t="shared" si="68"/>
        <v>0</v>
      </c>
      <c r="AH90" s="800"/>
      <c r="AI90" s="779">
        <f>H90/6</f>
        <v>0</v>
      </c>
      <c r="AJ90" s="779"/>
      <c r="AK90" s="779"/>
      <c r="AL90" s="779"/>
      <c r="AM90" s="769" t="s">
        <v>3355</v>
      </c>
      <c r="AN90" s="769"/>
      <c r="AO90" s="698"/>
      <c r="AP90" s="698"/>
      <c r="AQ90" s="711"/>
      <c r="AR90" s="698"/>
      <c r="AS90" s="698"/>
      <c r="AT90" s="698"/>
      <c r="AU90" s="698"/>
      <c r="AV90" s="698"/>
      <c r="AW90" s="698"/>
      <c r="AX90" s="698"/>
      <c r="AY90" s="698"/>
      <c r="AZ90" s="698"/>
      <c r="BA90" s="698"/>
      <c r="BB90" s="698"/>
      <c r="BC90" s="698"/>
      <c r="BD90" s="698"/>
      <c r="BE90" s="698"/>
      <c r="BF90" s="698"/>
      <c r="BG90" s="698"/>
      <c r="BH90" s="698"/>
      <c r="BI90" s="698"/>
      <c r="BJ90" s="698"/>
      <c r="BK90" s="698"/>
      <c r="BL90" s="698"/>
      <c r="BM90" s="698"/>
      <c r="BN90" s="698"/>
      <c r="BO90" s="698"/>
      <c r="BP90" s="698"/>
      <c r="BQ90" s="698"/>
      <c r="BR90" s="698"/>
      <c r="BS90" s="698"/>
      <c r="BT90" s="698"/>
      <c r="BU90" s="698"/>
      <c r="BV90" s="698"/>
      <c r="BW90" s="698"/>
      <c r="BX90" s="698"/>
      <c r="BY90" s="698"/>
      <c r="BZ90" s="698"/>
      <c r="CA90" s="698"/>
      <c r="CB90" s="698"/>
      <c r="CC90" s="698"/>
      <c r="CD90" s="698"/>
      <c r="CE90" s="698"/>
      <c r="CF90" s="698"/>
      <c r="CG90" s="698"/>
      <c r="CH90" s="698"/>
      <c r="CI90" s="698"/>
      <c r="CJ90" s="698"/>
      <c r="CK90" s="698"/>
      <c r="CL90" s="698"/>
      <c r="CM90" s="698"/>
      <c r="CN90" s="698"/>
      <c r="CO90" s="698"/>
      <c r="CP90" s="698"/>
      <c r="CQ90" s="698"/>
      <c r="CR90" s="698"/>
      <c r="CS90" s="698"/>
      <c r="CT90" s="698"/>
      <c r="CU90" s="698"/>
      <c r="CV90" s="698"/>
      <c r="CW90" s="698"/>
      <c r="CX90" s="698"/>
      <c r="CY90" s="698"/>
      <c r="CZ90" s="698"/>
      <c r="DA90" s="698"/>
      <c r="DB90" s="698"/>
      <c r="DC90" s="698"/>
      <c r="DD90" s="698"/>
      <c r="DE90" s="698"/>
      <c r="DF90" s="698"/>
      <c r="DG90" s="698"/>
      <c r="DH90" s="698"/>
      <c r="DI90" s="698"/>
      <c r="DJ90" s="698"/>
      <c r="DK90" s="698"/>
      <c r="DL90" s="698"/>
      <c r="DM90" s="698"/>
      <c r="DN90" s="698"/>
      <c r="DO90" s="698"/>
      <c r="DP90" s="698"/>
      <c r="DQ90" s="698"/>
      <c r="DR90" s="698"/>
      <c r="DS90" s="698"/>
      <c r="DT90" s="698"/>
      <c r="DU90" s="698"/>
      <c r="DV90" s="698"/>
      <c r="DW90" s="698"/>
      <c r="DX90" s="698"/>
      <c r="DY90" s="698"/>
      <c r="DZ90" s="698"/>
      <c r="EA90" s="698"/>
      <c r="EB90" s="698"/>
      <c r="EC90" s="698"/>
      <c r="ED90" s="698"/>
      <c r="EE90" s="698"/>
      <c r="EF90" s="698"/>
      <c r="EG90" s="698"/>
      <c r="EH90" s="698"/>
      <c r="EI90" s="698"/>
      <c r="EJ90" s="698"/>
      <c r="EK90" s="698"/>
      <c r="EL90" s="698"/>
      <c r="EM90" s="698"/>
      <c r="EN90" s="698"/>
      <c r="EO90" s="698"/>
      <c r="EP90" s="698"/>
      <c r="EQ90" s="698"/>
      <c r="ER90" s="698"/>
      <c r="ES90" s="698"/>
      <c r="ET90" s="698"/>
      <c r="EU90" s="698"/>
      <c r="EV90" s="698"/>
      <c r="EW90" s="698"/>
      <c r="EX90" s="698"/>
      <c r="EY90" s="698"/>
      <c r="EZ90" s="698"/>
      <c r="FA90" s="698"/>
      <c r="FB90" s="698"/>
      <c r="FC90" s="698"/>
      <c r="FD90" s="698"/>
      <c r="FE90" s="698"/>
      <c r="FF90" s="698"/>
      <c r="FG90" s="698"/>
      <c r="FH90" s="698"/>
      <c r="FI90" s="698"/>
      <c r="FJ90" s="698"/>
      <c r="FK90" s="698"/>
      <c r="FL90" s="698"/>
      <c r="FM90" s="698"/>
      <c r="FN90" s="698"/>
      <c r="FO90" s="698"/>
      <c r="FP90" s="698"/>
      <c r="FQ90" s="698"/>
      <c r="FR90" s="698"/>
      <c r="FS90" s="698"/>
      <c r="FT90" s="698"/>
      <c r="FU90" s="698"/>
      <c r="FV90" s="698"/>
      <c r="FW90" s="698"/>
      <c r="FX90" s="698"/>
      <c r="FY90" s="698"/>
      <c r="FZ90" s="698"/>
      <c r="GA90" s="698"/>
      <c r="GB90" s="698"/>
      <c r="GC90" s="698"/>
      <c r="GD90" s="698"/>
      <c r="GE90" s="698"/>
      <c r="GF90" s="698"/>
      <c r="GG90" s="698"/>
      <c r="GH90" s="698"/>
      <c r="GI90" s="698"/>
      <c r="GJ90" s="698"/>
      <c r="GK90" s="698"/>
      <c r="GL90" s="698"/>
      <c r="GM90" s="698"/>
      <c r="GN90" s="698"/>
      <c r="GO90" s="698"/>
      <c r="GP90" s="698"/>
      <c r="GQ90" s="698"/>
      <c r="GR90" s="698"/>
      <c r="GS90" s="698"/>
      <c r="GT90" s="698"/>
      <c r="GU90" s="698"/>
      <c r="GV90" s="698"/>
      <c r="GW90" s="698"/>
      <c r="GX90" s="698"/>
      <c r="GY90" s="698"/>
      <c r="GZ90" s="698"/>
      <c r="HA90" s="698"/>
      <c r="HB90" s="698"/>
      <c r="HC90" s="698"/>
      <c r="HD90" s="698"/>
      <c r="HE90" s="698"/>
      <c r="HF90" s="698"/>
      <c r="HG90" s="698"/>
      <c r="HH90" s="698"/>
      <c r="HI90" s="698"/>
      <c r="HJ90" s="698"/>
      <c r="HK90" s="698"/>
      <c r="HL90" s="698"/>
      <c r="HM90" s="698"/>
      <c r="HN90" s="698"/>
      <c r="HO90" s="698"/>
      <c r="HP90" s="698"/>
      <c r="HQ90" s="698"/>
      <c r="HR90" s="698"/>
      <c r="HS90" s="698"/>
      <c r="HT90" s="698"/>
      <c r="HU90" s="698"/>
      <c r="HV90" s="698"/>
      <c r="HW90" s="698"/>
      <c r="HX90" s="698"/>
      <c r="HY90" s="698"/>
      <c r="HZ90" s="698"/>
      <c r="IA90" s="698"/>
      <c r="IB90" s="698"/>
      <c r="IC90" s="799"/>
      <c r="ID90" s="799"/>
      <c r="IE90" s="799"/>
      <c r="IF90" s="799"/>
      <c r="IG90" s="799"/>
      <c r="IH90" s="799"/>
      <c r="II90" s="799"/>
      <c r="IJ90" s="799"/>
      <c r="IK90" s="799"/>
      <c r="IL90" s="799"/>
      <c r="IM90" s="799"/>
      <c r="IN90" s="799"/>
      <c r="IO90" s="799"/>
      <c r="IP90" s="799"/>
      <c r="IQ90" s="799"/>
      <c r="IR90" s="799"/>
      <c r="IS90" s="799"/>
      <c r="IT90" s="799"/>
      <c r="IU90" s="799"/>
      <c r="IV90" s="799"/>
    </row>
    <row r="91" s="694" customFormat="1" ht="24" customHeight="1" spans="1:256">
      <c r="A91" s="805">
        <v>44503</v>
      </c>
      <c r="B91" s="711" t="s">
        <v>2319</v>
      </c>
      <c r="C91" s="711">
        <v>212982506</v>
      </c>
      <c r="D91" s="711">
        <v>4500065242</v>
      </c>
      <c r="E91" s="711" t="s">
        <v>3121</v>
      </c>
      <c r="F91" s="712" t="s">
        <v>3356</v>
      </c>
      <c r="G91" s="710" t="s">
        <v>3357</v>
      </c>
      <c r="H91" s="711"/>
      <c r="I91" s="711">
        <v>0</v>
      </c>
      <c r="J91" s="711">
        <v>1</v>
      </c>
      <c r="K91" s="698">
        <f t="shared" si="61"/>
        <v>0</v>
      </c>
      <c r="L91" s="819">
        <v>0</v>
      </c>
      <c r="M91" s="820">
        <f t="shared" si="69"/>
        <v>0</v>
      </c>
      <c r="N91" s="777" t="s">
        <v>3358</v>
      </c>
      <c r="O91" s="777"/>
      <c r="P91" s="777"/>
      <c r="Q91" s="770"/>
      <c r="R91" s="770"/>
      <c r="S91" s="777" t="s">
        <v>3359</v>
      </c>
      <c r="T91" s="744" t="s">
        <v>3345</v>
      </c>
      <c r="U91" s="705" t="s">
        <v>1427</v>
      </c>
      <c r="V91" s="705" t="s">
        <v>1427</v>
      </c>
      <c r="W91" s="744" t="s">
        <v>1888</v>
      </c>
      <c r="X91" s="778"/>
      <c r="Y91" s="712" t="s">
        <v>91</v>
      </c>
      <c r="Z91" s="711"/>
      <c r="AA91" s="711"/>
      <c r="AB91" s="711"/>
      <c r="AC91" s="711"/>
      <c r="AD91" s="711"/>
      <c r="AE91" s="800"/>
      <c r="AF91" s="800"/>
      <c r="AG91" s="800"/>
      <c r="AH91" s="800"/>
      <c r="AI91" s="800"/>
      <c r="AJ91" s="779"/>
      <c r="AK91" s="779"/>
      <c r="AL91" s="779"/>
      <c r="AM91" s="769" t="s">
        <v>3360</v>
      </c>
      <c r="AN91" s="769"/>
      <c r="AO91" s="698"/>
      <c r="AP91" s="698"/>
      <c r="AQ91" s="711"/>
      <c r="AR91" s="698"/>
      <c r="AS91" s="698"/>
      <c r="AT91" s="698"/>
      <c r="AU91" s="698"/>
      <c r="AV91" s="698"/>
      <c r="AW91" s="698"/>
      <c r="AX91" s="698"/>
      <c r="AY91" s="698"/>
      <c r="AZ91" s="698"/>
      <c r="BA91" s="698"/>
      <c r="BB91" s="698"/>
      <c r="BC91" s="698"/>
      <c r="BD91" s="698"/>
      <c r="BE91" s="698"/>
      <c r="BF91" s="698"/>
      <c r="BG91" s="698"/>
      <c r="BH91" s="698"/>
      <c r="BI91" s="698"/>
      <c r="BJ91" s="698"/>
      <c r="BK91" s="698"/>
      <c r="BL91" s="698"/>
      <c r="BM91" s="698"/>
      <c r="BN91" s="698"/>
      <c r="BO91" s="698"/>
      <c r="BP91" s="698"/>
      <c r="BQ91" s="698"/>
      <c r="BR91" s="698"/>
      <c r="BS91" s="698"/>
      <c r="BT91" s="698"/>
      <c r="BU91" s="698"/>
      <c r="BV91" s="698"/>
      <c r="BW91" s="698"/>
      <c r="BX91" s="698"/>
      <c r="BY91" s="698"/>
      <c r="BZ91" s="698"/>
      <c r="CA91" s="698"/>
      <c r="CB91" s="698"/>
      <c r="CC91" s="698"/>
      <c r="CD91" s="698"/>
      <c r="CE91" s="698"/>
      <c r="CF91" s="698"/>
      <c r="CG91" s="698"/>
      <c r="CH91" s="698"/>
      <c r="CI91" s="698"/>
      <c r="CJ91" s="698"/>
      <c r="CK91" s="698"/>
      <c r="CL91" s="698"/>
      <c r="CM91" s="698"/>
      <c r="CN91" s="698"/>
      <c r="CO91" s="698"/>
      <c r="CP91" s="698"/>
      <c r="CQ91" s="698"/>
      <c r="CR91" s="698"/>
      <c r="CS91" s="698"/>
      <c r="CT91" s="698"/>
      <c r="CU91" s="698"/>
      <c r="CV91" s="698"/>
      <c r="CW91" s="698"/>
      <c r="CX91" s="698"/>
      <c r="CY91" s="698"/>
      <c r="CZ91" s="698"/>
      <c r="DA91" s="698"/>
      <c r="DB91" s="698"/>
      <c r="DC91" s="698"/>
      <c r="DD91" s="698"/>
      <c r="DE91" s="698"/>
      <c r="DF91" s="698"/>
      <c r="DG91" s="698"/>
      <c r="DH91" s="698"/>
      <c r="DI91" s="698"/>
      <c r="DJ91" s="698"/>
      <c r="DK91" s="698"/>
      <c r="DL91" s="698"/>
      <c r="DM91" s="698"/>
      <c r="DN91" s="698"/>
      <c r="DO91" s="698"/>
      <c r="DP91" s="698"/>
      <c r="DQ91" s="698"/>
      <c r="DR91" s="698"/>
      <c r="DS91" s="698"/>
      <c r="DT91" s="698"/>
      <c r="DU91" s="698"/>
      <c r="DV91" s="698"/>
      <c r="DW91" s="698"/>
      <c r="DX91" s="698"/>
      <c r="DY91" s="698"/>
      <c r="DZ91" s="698"/>
      <c r="EA91" s="698"/>
      <c r="EB91" s="698"/>
      <c r="EC91" s="698"/>
      <c r="ED91" s="698"/>
      <c r="EE91" s="698"/>
      <c r="EF91" s="698"/>
      <c r="EG91" s="698"/>
      <c r="EH91" s="698"/>
      <c r="EI91" s="698"/>
      <c r="EJ91" s="698"/>
      <c r="EK91" s="698"/>
      <c r="EL91" s="698"/>
      <c r="EM91" s="698"/>
      <c r="EN91" s="698"/>
      <c r="EO91" s="698"/>
      <c r="EP91" s="698"/>
      <c r="EQ91" s="698"/>
      <c r="ER91" s="698"/>
      <c r="ES91" s="698"/>
      <c r="ET91" s="698"/>
      <c r="EU91" s="698"/>
      <c r="EV91" s="698"/>
      <c r="EW91" s="698"/>
      <c r="EX91" s="698"/>
      <c r="EY91" s="698"/>
      <c r="EZ91" s="698"/>
      <c r="FA91" s="698"/>
      <c r="FB91" s="698"/>
      <c r="FC91" s="698"/>
      <c r="FD91" s="698"/>
      <c r="FE91" s="698"/>
      <c r="FF91" s="698"/>
      <c r="FG91" s="698"/>
      <c r="FH91" s="698"/>
      <c r="FI91" s="698"/>
      <c r="FJ91" s="698"/>
      <c r="FK91" s="698"/>
      <c r="FL91" s="698"/>
      <c r="FM91" s="698"/>
      <c r="FN91" s="698"/>
      <c r="FO91" s="698"/>
      <c r="FP91" s="698"/>
      <c r="FQ91" s="698"/>
      <c r="FR91" s="698"/>
      <c r="FS91" s="698"/>
      <c r="FT91" s="698"/>
      <c r="FU91" s="698"/>
      <c r="FV91" s="698"/>
      <c r="FW91" s="698"/>
      <c r="FX91" s="698"/>
      <c r="FY91" s="698"/>
      <c r="FZ91" s="698"/>
      <c r="GA91" s="698"/>
      <c r="GB91" s="698"/>
      <c r="GC91" s="698"/>
      <c r="GD91" s="698"/>
      <c r="GE91" s="698"/>
      <c r="GF91" s="698"/>
      <c r="GG91" s="698"/>
      <c r="GH91" s="698"/>
      <c r="GI91" s="698"/>
      <c r="GJ91" s="698"/>
      <c r="GK91" s="698"/>
      <c r="GL91" s="698"/>
      <c r="GM91" s="698"/>
      <c r="GN91" s="698"/>
      <c r="GO91" s="698"/>
      <c r="GP91" s="698"/>
      <c r="GQ91" s="698"/>
      <c r="GR91" s="698"/>
      <c r="GS91" s="698"/>
      <c r="GT91" s="698"/>
      <c r="GU91" s="698"/>
      <c r="GV91" s="698"/>
      <c r="GW91" s="698"/>
      <c r="GX91" s="698"/>
      <c r="GY91" s="698"/>
      <c r="GZ91" s="698"/>
      <c r="HA91" s="698"/>
      <c r="HB91" s="698"/>
      <c r="HC91" s="698"/>
      <c r="HD91" s="698"/>
      <c r="HE91" s="698"/>
      <c r="HF91" s="698"/>
      <c r="HG91" s="698"/>
      <c r="HH91" s="698"/>
      <c r="HI91" s="698"/>
      <c r="HJ91" s="698"/>
      <c r="HK91" s="698"/>
      <c r="HL91" s="698"/>
      <c r="HM91" s="698"/>
      <c r="HN91" s="698"/>
      <c r="HO91" s="698"/>
      <c r="HP91" s="698"/>
      <c r="HQ91" s="698"/>
      <c r="HR91" s="698"/>
      <c r="HS91" s="698"/>
      <c r="HT91" s="698"/>
      <c r="HU91" s="698"/>
      <c r="HV91" s="698"/>
      <c r="HW91" s="698"/>
      <c r="HX91" s="698"/>
      <c r="HY91" s="698"/>
      <c r="HZ91" s="698"/>
      <c r="IA91" s="698"/>
      <c r="IB91" s="698"/>
      <c r="IC91" s="799"/>
      <c r="ID91" s="799"/>
      <c r="IE91" s="799"/>
      <c r="IF91" s="799"/>
      <c r="IG91" s="799"/>
      <c r="IH91" s="799"/>
      <c r="II91" s="799"/>
      <c r="IJ91" s="799"/>
      <c r="IK91" s="799"/>
      <c r="IL91" s="799"/>
      <c r="IM91" s="799"/>
      <c r="IN91" s="799"/>
      <c r="IO91" s="799"/>
      <c r="IP91" s="799"/>
      <c r="IQ91" s="799"/>
      <c r="IR91" s="799"/>
      <c r="IS91" s="799"/>
      <c r="IT91" s="799"/>
      <c r="IU91" s="799"/>
      <c r="IV91" s="799"/>
    </row>
    <row r="92" s="694" customFormat="1" ht="24" customHeight="1" spans="1:256">
      <c r="A92" s="805">
        <v>44503</v>
      </c>
      <c r="B92" s="711" t="s">
        <v>2319</v>
      </c>
      <c r="C92" s="711">
        <v>212982506</v>
      </c>
      <c r="D92" s="711">
        <v>4500065242</v>
      </c>
      <c r="E92" s="711" t="s">
        <v>3121</v>
      </c>
      <c r="F92" s="712" t="s">
        <v>1479</v>
      </c>
      <c r="G92" s="710">
        <v>7163</v>
      </c>
      <c r="H92" s="711"/>
      <c r="I92" s="711">
        <v>0</v>
      </c>
      <c r="J92" s="711">
        <v>36</v>
      </c>
      <c r="K92" s="698">
        <f t="shared" si="61"/>
        <v>0</v>
      </c>
      <c r="L92" s="819">
        <v>0</v>
      </c>
      <c r="M92" s="820">
        <v>0</v>
      </c>
      <c r="N92" s="777" t="s">
        <v>3358</v>
      </c>
      <c r="O92" s="777"/>
      <c r="P92" s="777"/>
      <c r="Q92" s="770"/>
      <c r="R92" s="770"/>
      <c r="S92" s="777" t="s">
        <v>3359</v>
      </c>
      <c r="T92" s="744" t="s">
        <v>3345</v>
      </c>
      <c r="U92" s="705" t="s">
        <v>1427</v>
      </c>
      <c r="V92" s="705" t="s">
        <v>1427</v>
      </c>
      <c r="W92" s="744" t="s">
        <v>1888</v>
      </c>
      <c r="X92" s="778"/>
      <c r="Y92" s="712" t="s">
        <v>91</v>
      </c>
      <c r="Z92" s="711"/>
      <c r="AA92" s="711"/>
      <c r="AB92" s="711">
        <f t="shared" si="70"/>
        <v>0</v>
      </c>
      <c r="AC92" s="711">
        <f t="shared" si="71"/>
        <v>0</v>
      </c>
      <c r="AD92" s="711">
        <f t="shared" si="72"/>
        <v>0</v>
      </c>
      <c r="AE92" s="800">
        <f t="shared" si="73"/>
        <v>0</v>
      </c>
      <c r="AF92" s="800"/>
      <c r="AG92" s="800">
        <f>H92</f>
        <v>0</v>
      </c>
      <c r="AH92" s="800"/>
      <c r="AI92" s="800"/>
      <c r="AJ92" s="779"/>
      <c r="AK92" s="779"/>
      <c r="AL92" s="779"/>
      <c r="AM92" s="769"/>
      <c r="AN92" s="769"/>
      <c r="AO92" s="698"/>
      <c r="AP92" s="698"/>
      <c r="AQ92" s="711"/>
      <c r="AR92" s="698"/>
      <c r="AS92" s="698"/>
      <c r="AT92" s="698"/>
      <c r="AU92" s="698"/>
      <c r="AV92" s="698"/>
      <c r="AW92" s="698"/>
      <c r="AX92" s="698"/>
      <c r="AY92" s="698"/>
      <c r="AZ92" s="698"/>
      <c r="BA92" s="698"/>
      <c r="BB92" s="698"/>
      <c r="BC92" s="698"/>
      <c r="BD92" s="698"/>
      <c r="BE92" s="698"/>
      <c r="BF92" s="698"/>
      <c r="BG92" s="698"/>
      <c r="BH92" s="698"/>
      <c r="BI92" s="698"/>
      <c r="BJ92" s="698"/>
      <c r="BK92" s="698"/>
      <c r="BL92" s="698"/>
      <c r="BM92" s="698"/>
      <c r="BN92" s="698"/>
      <c r="BO92" s="698"/>
      <c r="BP92" s="698"/>
      <c r="BQ92" s="698"/>
      <c r="BR92" s="698"/>
      <c r="BS92" s="698"/>
      <c r="BT92" s="698"/>
      <c r="BU92" s="698"/>
      <c r="BV92" s="698"/>
      <c r="BW92" s="698"/>
      <c r="BX92" s="698"/>
      <c r="BY92" s="698"/>
      <c r="BZ92" s="698"/>
      <c r="CA92" s="698"/>
      <c r="CB92" s="698"/>
      <c r="CC92" s="698"/>
      <c r="CD92" s="698"/>
      <c r="CE92" s="698"/>
      <c r="CF92" s="698"/>
      <c r="CG92" s="698"/>
      <c r="CH92" s="698"/>
      <c r="CI92" s="698"/>
      <c r="CJ92" s="698"/>
      <c r="CK92" s="698"/>
      <c r="CL92" s="698"/>
      <c r="CM92" s="698"/>
      <c r="CN92" s="698"/>
      <c r="CO92" s="698"/>
      <c r="CP92" s="698"/>
      <c r="CQ92" s="698"/>
      <c r="CR92" s="698"/>
      <c r="CS92" s="698"/>
      <c r="CT92" s="698"/>
      <c r="CU92" s="698"/>
      <c r="CV92" s="698"/>
      <c r="CW92" s="698"/>
      <c r="CX92" s="698"/>
      <c r="CY92" s="698"/>
      <c r="CZ92" s="698"/>
      <c r="DA92" s="698"/>
      <c r="DB92" s="698"/>
      <c r="DC92" s="698"/>
      <c r="DD92" s="698"/>
      <c r="DE92" s="698"/>
      <c r="DF92" s="698"/>
      <c r="DG92" s="698"/>
      <c r="DH92" s="698"/>
      <c r="DI92" s="698"/>
      <c r="DJ92" s="698"/>
      <c r="DK92" s="698"/>
      <c r="DL92" s="698"/>
      <c r="DM92" s="698"/>
      <c r="DN92" s="698"/>
      <c r="DO92" s="698"/>
      <c r="DP92" s="698"/>
      <c r="DQ92" s="698"/>
      <c r="DR92" s="698"/>
      <c r="DS92" s="698"/>
      <c r="DT92" s="698"/>
      <c r="DU92" s="698"/>
      <c r="DV92" s="698"/>
      <c r="DW92" s="698"/>
      <c r="DX92" s="698"/>
      <c r="DY92" s="698"/>
      <c r="DZ92" s="698"/>
      <c r="EA92" s="698"/>
      <c r="EB92" s="698"/>
      <c r="EC92" s="698"/>
      <c r="ED92" s="698"/>
      <c r="EE92" s="698"/>
      <c r="EF92" s="698"/>
      <c r="EG92" s="698"/>
      <c r="EH92" s="698"/>
      <c r="EI92" s="698"/>
      <c r="EJ92" s="698"/>
      <c r="EK92" s="698"/>
      <c r="EL92" s="698"/>
      <c r="EM92" s="698"/>
      <c r="EN92" s="698"/>
      <c r="EO92" s="698"/>
      <c r="EP92" s="698"/>
      <c r="EQ92" s="698"/>
      <c r="ER92" s="698"/>
      <c r="ES92" s="698"/>
      <c r="ET92" s="698"/>
      <c r="EU92" s="698"/>
      <c r="EV92" s="698"/>
      <c r="EW92" s="698"/>
      <c r="EX92" s="698"/>
      <c r="EY92" s="698"/>
      <c r="EZ92" s="698"/>
      <c r="FA92" s="698"/>
      <c r="FB92" s="698"/>
      <c r="FC92" s="698"/>
      <c r="FD92" s="698"/>
      <c r="FE92" s="698"/>
      <c r="FF92" s="698"/>
      <c r="FG92" s="698"/>
      <c r="FH92" s="698"/>
      <c r="FI92" s="698"/>
      <c r="FJ92" s="698"/>
      <c r="FK92" s="698"/>
      <c r="FL92" s="698"/>
      <c r="FM92" s="698"/>
      <c r="FN92" s="698"/>
      <c r="FO92" s="698"/>
      <c r="FP92" s="698"/>
      <c r="FQ92" s="698"/>
      <c r="FR92" s="698"/>
      <c r="FS92" s="698"/>
      <c r="FT92" s="698"/>
      <c r="FU92" s="698"/>
      <c r="FV92" s="698"/>
      <c r="FW92" s="698"/>
      <c r="FX92" s="698"/>
      <c r="FY92" s="698"/>
      <c r="FZ92" s="698"/>
      <c r="GA92" s="698"/>
      <c r="GB92" s="698"/>
      <c r="GC92" s="698"/>
      <c r="GD92" s="698"/>
      <c r="GE92" s="698"/>
      <c r="GF92" s="698"/>
      <c r="GG92" s="698"/>
      <c r="GH92" s="698"/>
      <c r="GI92" s="698"/>
      <c r="GJ92" s="698"/>
      <c r="GK92" s="698"/>
      <c r="GL92" s="698"/>
      <c r="GM92" s="698"/>
      <c r="GN92" s="698"/>
      <c r="GO92" s="698"/>
      <c r="GP92" s="698"/>
      <c r="GQ92" s="698"/>
      <c r="GR92" s="698"/>
      <c r="GS92" s="698"/>
      <c r="GT92" s="698"/>
      <c r="GU92" s="698"/>
      <c r="GV92" s="698"/>
      <c r="GW92" s="698"/>
      <c r="GX92" s="698"/>
      <c r="GY92" s="698"/>
      <c r="GZ92" s="698"/>
      <c r="HA92" s="698"/>
      <c r="HB92" s="698"/>
      <c r="HC92" s="698"/>
      <c r="HD92" s="698"/>
      <c r="HE92" s="698"/>
      <c r="HF92" s="698"/>
      <c r="HG92" s="698"/>
      <c r="HH92" s="698"/>
      <c r="HI92" s="698"/>
      <c r="HJ92" s="698"/>
      <c r="HK92" s="698"/>
      <c r="HL92" s="698"/>
      <c r="HM92" s="698"/>
      <c r="HN92" s="698"/>
      <c r="HO92" s="698"/>
      <c r="HP92" s="698"/>
      <c r="HQ92" s="698"/>
      <c r="HR92" s="698"/>
      <c r="HS92" s="698"/>
      <c r="HT92" s="698"/>
      <c r="HU92" s="698"/>
      <c r="HV92" s="698"/>
      <c r="HW92" s="698"/>
      <c r="HX92" s="698"/>
      <c r="HY92" s="698"/>
      <c r="HZ92" s="698"/>
      <c r="IA92" s="698"/>
      <c r="IB92" s="698"/>
      <c r="IC92" s="799"/>
      <c r="ID92" s="799"/>
      <c r="IE92" s="799"/>
      <c r="IF92" s="799"/>
      <c r="IG92" s="799"/>
      <c r="IH92" s="799"/>
      <c r="II92" s="799"/>
      <c r="IJ92" s="799"/>
      <c r="IK92" s="799"/>
      <c r="IL92" s="799"/>
      <c r="IM92" s="799"/>
      <c r="IN92" s="799"/>
      <c r="IO92" s="799"/>
      <c r="IP92" s="799"/>
      <c r="IQ92" s="799"/>
      <c r="IR92" s="799"/>
      <c r="IS92" s="799"/>
      <c r="IT92" s="799"/>
      <c r="IU92" s="799"/>
      <c r="IV92" s="799"/>
    </row>
    <row r="93" s="694" customFormat="1" ht="24" customHeight="1" spans="1:256">
      <c r="A93" s="805">
        <v>44503</v>
      </c>
      <c r="B93" s="711" t="s">
        <v>2319</v>
      </c>
      <c r="C93" s="711">
        <v>212982512</v>
      </c>
      <c r="D93" s="711">
        <v>4500065243</v>
      </c>
      <c r="E93" s="711" t="s">
        <v>3121</v>
      </c>
      <c r="F93" s="712" t="s">
        <v>3356</v>
      </c>
      <c r="G93" s="710" t="s">
        <v>3357</v>
      </c>
      <c r="H93" s="711"/>
      <c r="I93" s="711">
        <v>0</v>
      </c>
      <c r="J93" s="711">
        <v>1</v>
      </c>
      <c r="K93" s="698">
        <f t="shared" si="61"/>
        <v>0</v>
      </c>
      <c r="L93" s="819">
        <v>0</v>
      </c>
      <c r="M93" s="820">
        <f t="shared" ref="M93:M103" si="74">L93*H93</f>
        <v>0</v>
      </c>
      <c r="N93" s="777" t="s">
        <v>3358</v>
      </c>
      <c r="O93" s="777"/>
      <c r="P93" s="777"/>
      <c r="Q93" s="770"/>
      <c r="R93" s="770"/>
      <c r="S93" s="777" t="s">
        <v>3359</v>
      </c>
      <c r="T93" s="744" t="s">
        <v>3345</v>
      </c>
      <c r="U93" s="705" t="s">
        <v>1427</v>
      </c>
      <c r="V93" s="705" t="s">
        <v>1427</v>
      </c>
      <c r="W93" s="744" t="s">
        <v>1888</v>
      </c>
      <c r="X93" s="778"/>
      <c r="Y93" s="712" t="s">
        <v>91</v>
      </c>
      <c r="Z93" s="711"/>
      <c r="AA93" s="711"/>
      <c r="AB93" s="711"/>
      <c r="AC93" s="711"/>
      <c r="AD93" s="711"/>
      <c r="AE93" s="800"/>
      <c r="AF93" s="800"/>
      <c r="AG93" s="800"/>
      <c r="AH93" s="800"/>
      <c r="AI93" s="800"/>
      <c r="AJ93" s="779"/>
      <c r="AK93" s="779"/>
      <c r="AL93" s="779"/>
      <c r="AM93" s="769" t="s">
        <v>3361</v>
      </c>
      <c r="AN93" s="769"/>
      <c r="AO93" s="698"/>
      <c r="AP93" s="698"/>
      <c r="AQ93" s="711"/>
      <c r="AR93" s="698"/>
      <c r="AS93" s="698"/>
      <c r="AT93" s="698"/>
      <c r="AU93" s="698"/>
      <c r="AV93" s="698"/>
      <c r="AW93" s="698"/>
      <c r="AX93" s="698"/>
      <c r="AY93" s="698"/>
      <c r="AZ93" s="698"/>
      <c r="BA93" s="698"/>
      <c r="BB93" s="698"/>
      <c r="BC93" s="698"/>
      <c r="BD93" s="698"/>
      <c r="BE93" s="698"/>
      <c r="BF93" s="698"/>
      <c r="BG93" s="698"/>
      <c r="BH93" s="698"/>
      <c r="BI93" s="698"/>
      <c r="BJ93" s="698"/>
      <c r="BK93" s="698"/>
      <c r="BL93" s="698"/>
      <c r="BM93" s="698"/>
      <c r="BN93" s="698"/>
      <c r="BO93" s="698"/>
      <c r="BP93" s="698"/>
      <c r="BQ93" s="698"/>
      <c r="BR93" s="698"/>
      <c r="BS93" s="698"/>
      <c r="BT93" s="698"/>
      <c r="BU93" s="698"/>
      <c r="BV93" s="698"/>
      <c r="BW93" s="698"/>
      <c r="BX93" s="698"/>
      <c r="BY93" s="698"/>
      <c r="BZ93" s="698"/>
      <c r="CA93" s="698"/>
      <c r="CB93" s="698"/>
      <c r="CC93" s="698"/>
      <c r="CD93" s="698"/>
      <c r="CE93" s="698"/>
      <c r="CF93" s="698"/>
      <c r="CG93" s="698"/>
      <c r="CH93" s="698"/>
      <c r="CI93" s="698"/>
      <c r="CJ93" s="698"/>
      <c r="CK93" s="698"/>
      <c r="CL93" s="698"/>
      <c r="CM93" s="698"/>
      <c r="CN93" s="698"/>
      <c r="CO93" s="698"/>
      <c r="CP93" s="698"/>
      <c r="CQ93" s="698"/>
      <c r="CR93" s="698"/>
      <c r="CS93" s="698"/>
      <c r="CT93" s="698"/>
      <c r="CU93" s="698"/>
      <c r="CV93" s="698"/>
      <c r="CW93" s="698"/>
      <c r="CX93" s="698"/>
      <c r="CY93" s="698"/>
      <c r="CZ93" s="698"/>
      <c r="DA93" s="698"/>
      <c r="DB93" s="698"/>
      <c r="DC93" s="698"/>
      <c r="DD93" s="698"/>
      <c r="DE93" s="698"/>
      <c r="DF93" s="698"/>
      <c r="DG93" s="698"/>
      <c r="DH93" s="698"/>
      <c r="DI93" s="698"/>
      <c r="DJ93" s="698"/>
      <c r="DK93" s="698"/>
      <c r="DL93" s="698"/>
      <c r="DM93" s="698"/>
      <c r="DN93" s="698"/>
      <c r="DO93" s="698"/>
      <c r="DP93" s="698"/>
      <c r="DQ93" s="698"/>
      <c r="DR93" s="698"/>
      <c r="DS93" s="698"/>
      <c r="DT93" s="698"/>
      <c r="DU93" s="698"/>
      <c r="DV93" s="698"/>
      <c r="DW93" s="698"/>
      <c r="DX93" s="698"/>
      <c r="DY93" s="698"/>
      <c r="DZ93" s="698"/>
      <c r="EA93" s="698"/>
      <c r="EB93" s="698"/>
      <c r="EC93" s="698"/>
      <c r="ED93" s="698"/>
      <c r="EE93" s="698"/>
      <c r="EF93" s="698"/>
      <c r="EG93" s="698"/>
      <c r="EH93" s="698"/>
      <c r="EI93" s="698"/>
      <c r="EJ93" s="698"/>
      <c r="EK93" s="698"/>
      <c r="EL93" s="698"/>
      <c r="EM93" s="698"/>
      <c r="EN93" s="698"/>
      <c r="EO93" s="698"/>
      <c r="EP93" s="698"/>
      <c r="EQ93" s="698"/>
      <c r="ER93" s="698"/>
      <c r="ES93" s="698"/>
      <c r="ET93" s="698"/>
      <c r="EU93" s="698"/>
      <c r="EV93" s="698"/>
      <c r="EW93" s="698"/>
      <c r="EX93" s="698"/>
      <c r="EY93" s="698"/>
      <c r="EZ93" s="698"/>
      <c r="FA93" s="698"/>
      <c r="FB93" s="698"/>
      <c r="FC93" s="698"/>
      <c r="FD93" s="698"/>
      <c r="FE93" s="698"/>
      <c r="FF93" s="698"/>
      <c r="FG93" s="698"/>
      <c r="FH93" s="698"/>
      <c r="FI93" s="698"/>
      <c r="FJ93" s="698"/>
      <c r="FK93" s="698"/>
      <c r="FL93" s="698"/>
      <c r="FM93" s="698"/>
      <c r="FN93" s="698"/>
      <c r="FO93" s="698"/>
      <c r="FP93" s="698"/>
      <c r="FQ93" s="698"/>
      <c r="FR93" s="698"/>
      <c r="FS93" s="698"/>
      <c r="FT93" s="698"/>
      <c r="FU93" s="698"/>
      <c r="FV93" s="698"/>
      <c r="FW93" s="698"/>
      <c r="FX93" s="698"/>
      <c r="FY93" s="698"/>
      <c r="FZ93" s="698"/>
      <c r="GA93" s="698"/>
      <c r="GB93" s="698"/>
      <c r="GC93" s="698"/>
      <c r="GD93" s="698"/>
      <c r="GE93" s="698"/>
      <c r="GF93" s="698"/>
      <c r="GG93" s="698"/>
      <c r="GH93" s="698"/>
      <c r="GI93" s="698"/>
      <c r="GJ93" s="698"/>
      <c r="GK93" s="698"/>
      <c r="GL93" s="698"/>
      <c r="GM93" s="698"/>
      <c r="GN93" s="698"/>
      <c r="GO93" s="698"/>
      <c r="GP93" s="698"/>
      <c r="GQ93" s="698"/>
      <c r="GR93" s="698"/>
      <c r="GS93" s="698"/>
      <c r="GT93" s="698"/>
      <c r="GU93" s="698"/>
      <c r="GV93" s="698"/>
      <c r="GW93" s="698"/>
      <c r="GX93" s="698"/>
      <c r="GY93" s="698"/>
      <c r="GZ93" s="698"/>
      <c r="HA93" s="698"/>
      <c r="HB93" s="698"/>
      <c r="HC93" s="698"/>
      <c r="HD93" s="698"/>
      <c r="HE93" s="698"/>
      <c r="HF93" s="698"/>
      <c r="HG93" s="698"/>
      <c r="HH93" s="698"/>
      <c r="HI93" s="698"/>
      <c r="HJ93" s="698"/>
      <c r="HK93" s="698"/>
      <c r="HL93" s="698"/>
      <c r="HM93" s="698"/>
      <c r="HN93" s="698"/>
      <c r="HO93" s="698"/>
      <c r="HP93" s="698"/>
      <c r="HQ93" s="698"/>
      <c r="HR93" s="698"/>
      <c r="HS93" s="698"/>
      <c r="HT93" s="698"/>
      <c r="HU93" s="698"/>
      <c r="HV93" s="698"/>
      <c r="HW93" s="698"/>
      <c r="HX93" s="698"/>
      <c r="HY93" s="698"/>
      <c r="HZ93" s="698"/>
      <c r="IA93" s="698"/>
      <c r="IB93" s="698"/>
      <c r="IC93" s="799"/>
      <c r="ID93" s="799"/>
      <c r="IE93" s="799"/>
      <c r="IF93" s="799"/>
      <c r="IG93" s="799"/>
      <c r="IH93" s="799"/>
      <c r="II93" s="799"/>
      <c r="IJ93" s="799"/>
      <c r="IK93" s="799"/>
      <c r="IL93" s="799"/>
      <c r="IM93" s="799"/>
      <c r="IN93" s="799"/>
      <c r="IO93" s="799"/>
      <c r="IP93" s="799"/>
      <c r="IQ93" s="799"/>
      <c r="IR93" s="799"/>
      <c r="IS93" s="799"/>
      <c r="IT93" s="799"/>
      <c r="IU93" s="799"/>
      <c r="IV93" s="799"/>
    </row>
    <row r="94" s="694" customFormat="1" ht="24" customHeight="1" spans="1:256">
      <c r="A94" s="805">
        <v>44503</v>
      </c>
      <c r="B94" s="711" t="s">
        <v>2319</v>
      </c>
      <c r="C94" s="711">
        <v>212982512</v>
      </c>
      <c r="D94" s="711">
        <v>4500065243</v>
      </c>
      <c r="E94" s="711" t="s">
        <v>3121</v>
      </c>
      <c r="F94" s="712" t="s">
        <v>1479</v>
      </c>
      <c r="G94" s="710">
        <v>7163</v>
      </c>
      <c r="H94" s="711"/>
      <c r="I94" s="711">
        <v>0</v>
      </c>
      <c r="J94" s="711">
        <v>36</v>
      </c>
      <c r="K94" s="698">
        <f t="shared" si="61"/>
        <v>0</v>
      </c>
      <c r="L94" s="819">
        <v>0</v>
      </c>
      <c r="M94" s="820">
        <v>0</v>
      </c>
      <c r="N94" s="777" t="s">
        <v>3358</v>
      </c>
      <c r="O94" s="777"/>
      <c r="P94" s="777"/>
      <c r="Q94" s="770"/>
      <c r="R94" s="770"/>
      <c r="S94" s="777" t="s">
        <v>3359</v>
      </c>
      <c r="T94" s="744" t="s">
        <v>3345</v>
      </c>
      <c r="U94" s="705" t="s">
        <v>1427</v>
      </c>
      <c r="V94" s="705" t="s">
        <v>1427</v>
      </c>
      <c r="W94" s="744" t="s">
        <v>1888</v>
      </c>
      <c r="X94" s="778"/>
      <c r="Y94" s="712" t="s">
        <v>91</v>
      </c>
      <c r="Z94" s="711"/>
      <c r="AA94" s="711"/>
      <c r="AB94" s="711">
        <f>H94/3</f>
        <v>0</v>
      </c>
      <c r="AC94" s="711">
        <f>H94/3</f>
        <v>0</v>
      </c>
      <c r="AD94" s="711">
        <f>H94/3</f>
        <v>0</v>
      </c>
      <c r="AE94" s="800">
        <f t="shared" si="73"/>
        <v>0</v>
      </c>
      <c r="AF94" s="800"/>
      <c r="AG94" s="800">
        <f>H94</f>
        <v>0</v>
      </c>
      <c r="AH94" s="800"/>
      <c r="AI94" s="800"/>
      <c r="AJ94" s="779"/>
      <c r="AK94" s="779"/>
      <c r="AL94" s="779"/>
      <c r="AM94" s="769"/>
      <c r="AN94" s="769"/>
      <c r="AO94" s="698"/>
      <c r="AP94" s="698"/>
      <c r="AQ94" s="711"/>
      <c r="AR94" s="698"/>
      <c r="AS94" s="698"/>
      <c r="AT94" s="698"/>
      <c r="AU94" s="698"/>
      <c r="AV94" s="698"/>
      <c r="AW94" s="698"/>
      <c r="AX94" s="698"/>
      <c r="AY94" s="698"/>
      <c r="AZ94" s="698"/>
      <c r="BA94" s="698"/>
      <c r="BB94" s="698"/>
      <c r="BC94" s="698"/>
      <c r="BD94" s="698"/>
      <c r="BE94" s="698"/>
      <c r="BF94" s="698"/>
      <c r="BG94" s="698"/>
      <c r="BH94" s="698"/>
      <c r="BI94" s="698"/>
      <c r="BJ94" s="698"/>
      <c r="BK94" s="698"/>
      <c r="BL94" s="698"/>
      <c r="BM94" s="698"/>
      <c r="BN94" s="698"/>
      <c r="BO94" s="698"/>
      <c r="BP94" s="698"/>
      <c r="BQ94" s="698"/>
      <c r="BR94" s="698"/>
      <c r="BS94" s="698"/>
      <c r="BT94" s="698"/>
      <c r="BU94" s="698"/>
      <c r="BV94" s="698"/>
      <c r="BW94" s="698"/>
      <c r="BX94" s="698"/>
      <c r="BY94" s="698"/>
      <c r="BZ94" s="698"/>
      <c r="CA94" s="698"/>
      <c r="CB94" s="698"/>
      <c r="CC94" s="698"/>
      <c r="CD94" s="698"/>
      <c r="CE94" s="698"/>
      <c r="CF94" s="698"/>
      <c r="CG94" s="698"/>
      <c r="CH94" s="698"/>
      <c r="CI94" s="698"/>
      <c r="CJ94" s="698"/>
      <c r="CK94" s="698"/>
      <c r="CL94" s="698"/>
      <c r="CM94" s="698"/>
      <c r="CN94" s="698"/>
      <c r="CO94" s="698"/>
      <c r="CP94" s="698"/>
      <c r="CQ94" s="698"/>
      <c r="CR94" s="698"/>
      <c r="CS94" s="698"/>
      <c r="CT94" s="698"/>
      <c r="CU94" s="698"/>
      <c r="CV94" s="698"/>
      <c r="CW94" s="698"/>
      <c r="CX94" s="698"/>
      <c r="CY94" s="698"/>
      <c r="CZ94" s="698"/>
      <c r="DA94" s="698"/>
      <c r="DB94" s="698"/>
      <c r="DC94" s="698"/>
      <c r="DD94" s="698"/>
      <c r="DE94" s="698"/>
      <c r="DF94" s="698"/>
      <c r="DG94" s="698"/>
      <c r="DH94" s="698"/>
      <c r="DI94" s="698"/>
      <c r="DJ94" s="698"/>
      <c r="DK94" s="698"/>
      <c r="DL94" s="698"/>
      <c r="DM94" s="698"/>
      <c r="DN94" s="698"/>
      <c r="DO94" s="698"/>
      <c r="DP94" s="698"/>
      <c r="DQ94" s="698"/>
      <c r="DR94" s="698"/>
      <c r="DS94" s="698"/>
      <c r="DT94" s="698"/>
      <c r="DU94" s="698"/>
      <c r="DV94" s="698"/>
      <c r="DW94" s="698"/>
      <c r="DX94" s="698"/>
      <c r="DY94" s="698"/>
      <c r="DZ94" s="698"/>
      <c r="EA94" s="698"/>
      <c r="EB94" s="698"/>
      <c r="EC94" s="698"/>
      <c r="ED94" s="698"/>
      <c r="EE94" s="698"/>
      <c r="EF94" s="698"/>
      <c r="EG94" s="698"/>
      <c r="EH94" s="698"/>
      <c r="EI94" s="698"/>
      <c r="EJ94" s="698"/>
      <c r="EK94" s="698"/>
      <c r="EL94" s="698"/>
      <c r="EM94" s="698"/>
      <c r="EN94" s="698"/>
      <c r="EO94" s="698"/>
      <c r="EP94" s="698"/>
      <c r="EQ94" s="698"/>
      <c r="ER94" s="698"/>
      <c r="ES94" s="698"/>
      <c r="ET94" s="698"/>
      <c r="EU94" s="698"/>
      <c r="EV94" s="698"/>
      <c r="EW94" s="698"/>
      <c r="EX94" s="698"/>
      <c r="EY94" s="698"/>
      <c r="EZ94" s="698"/>
      <c r="FA94" s="698"/>
      <c r="FB94" s="698"/>
      <c r="FC94" s="698"/>
      <c r="FD94" s="698"/>
      <c r="FE94" s="698"/>
      <c r="FF94" s="698"/>
      <c r="FG94" s="698"/>
      <c r="FH94" s="698"/>
      <c r="FI94" s="698"/>
      <c r="FJ94" s="698"/>
      <c r="FK94" s="698"/>
      <c r="FL94" s="698"/>
      <c r="FM94" s="698"/>
      <c r="FN94" s="698"/>
      <c r="FO94" s="698"/>
      <c r="FP94" s="698"/>
      <c r="FQ94" s="698"/>
      <c r="FR94" s="698"/>
      <c r="FS94" s="698"/>
      <c r="FT94" s="698"/>
      <c r="FU94" s="698"/>
      <c r="FV94" s="698"/>
      <c r="FW94" s="698"/>
      <c r="FX94" s="698"/>
      <c r="FY94" s="698"/>
      <c r="FZ94" s="698"/>
      <c r="GA94" s="698"/>
      <c r="GB94" s="698"/>
      <c r="GC94" s="698"/>
      <c r="GD94" s="698"/>
      <c r="GE94" s="698"/>
      <c r="GF94" s="698"/>
      <c r="GG94" s="698"/>
      <c r="GH94" s="698"/>
      <c r="GI94" s="698"/>
      <c r="GJ94" s="698"/>
      <c r="GK94" s="698"/>
      <c r="GL94" s="698"/>
      <c r="GM94" s="698"/>
      <c r="GN94" s="698"/>
      <c r="GO94" s="698"/>
      <c r="GP94" s="698"/>
      <c r="GQ94" s="698"/>
      <c r="GR94" s="698"/>
      <c r="GS94" s="698"/>
      <c r="GT94" s="698"/>
      <c r="GU94" s="698"/>
      <c r="GV94" s="698"/>
      <c r="GW94" s="698"/>
      <c r="GX94" s="698"/>
      <c r="GY94" s="698"/>
      <c r="GZ94" s="698"/>
      <c r="HA94" s="698"/>
      <c r="HB94" s="698"/>
      <c r="HC94" s="698"/>
      <c r="HD94" s="698"/>
      <c r="HE94" s="698"/>
      <c r="HF94" s="698"/>
      <c r="HG94" s="698"/>
      <c r="HH94" s="698"/>
      <c r="HI94" s="698"/>
      <c r="HJ94" s="698"/>
      <c r="HK94" s="698"/>
      <c r="HL94" s="698"/>
      <c r="HM94" s="698"/>
      <c r="HN94" s="698"/>
      <c r="HO94" s="698"/>
      <c r="HP94" s="698"/>
      <c r="HQ94" s="698"/>
      <c r="HR94" s="698"/>
      <c r="HS94" s="698"/>
      <c r="HT94" s="698"/>
      <c r="HU94" s="698"/>
      <c r="HV94" s="698"/>
      <c r="HW94" s="698"/>
      <c r="HX94" s="698"/>
      <c r="HY94" s="698"/>
      <c r="HZ94" s="698"/>
      <c r="IA94" s="698"/>
      <c r="IB94" s="698"/>
      <c r="IC94" s="799"/>
      <c r="ID94" s="799"/>
      <c r="IE94" s="799"/>
      <c r="IF94" s="799"/>
      <c r="IG94" s="799"/>
      <c r="IH94" s="799"/>
      <c r="II94" s="799"/>
      <c r="IJ94" s="799"/>
      <c r="IK94" s="799"/>
      <c r="IL94" s="799"/>
      <c r="IM94" s="799"/>
      <c r="IN94" s="799"/>
      <c r="IO94" s="799"/>
      <c r="IP94" s="799"/>
      <c r="IQ94" s="799"/>
      <c r="IR94" s="799"/>
      <c r="IS94" s="799"/>
      <c r="IT94" s="799"/>
      <c r="IU94" s="799"/>
      <c r="IV94" s="799"/>
    </row>
    <row r="95" s="693" customFormat="1" ht="24" customHeight="1" spans="1:253">
      <c r="A95" s="810">
        <v>44328</v>
      </c>
      <c r="B95" s="791" t="s">
        <v>3362</v>
      </c>
      <c r="C95" s="791">
        <v>1027340</v>
      </c>
      <c r="D95" s="791">
        <v>4500052699</v>
      </c>
      <c r="E95" s="791" t="s">
        <v>3363</v>
      </c>
      <c r="F95" s="789" t="s">
        <v>3247</v>
      </c>
      <c r="G95" s="806" t="s">
        <v>3246</v>
      </c>
      <c r="H95" s="807">
        <v>1104</v>
      </c>
      <c r="I95" s="791">
        <v>0</v>
      </c>
      <c r="J95" s="791">
        <v>6</v>
      </c>
      <c r="K95" s="746">
        <f t="shared" si="61"/>
        <v>184</v>
      </c>
      <c r="L95" s="751">
        <v>0</v>
      </c>
      <c r="M95" s="831">
        <f t="shared" si="74"/>
        <v>0</v>
      </c>
      <c r="N95" s="829" t="s">
        <v>3364</v>
      </c>
      <c r="O95" s="832">
        <v>1104</v>
      </c>
      <c r="P95" s="833"/>
      <c r="Q95" s="843" t="s">
        <v>3365</v>
      </c>
      <c r="R95" s="843" t="s">
        <v>3366</v>
      </c>
      <c r="S95" s="829" t="s">
        <v>3367</v>
      </c>
      <c r="T95" s="530" t="s">
        <v>3175</v>
      </c>
      <c r="U95" s="775">
        <v>44368</v>
      </c>
      <c r="V95" s="775" t="s">
        <v>3368</v>
      </c>
      <c r="W95" s="842" t="s">
        <v>3369</v>
      </c>
      <c r="X95" s="832"/>
      <c r="Y95" s="789" t="s">
        <v>69</v>
      </c>
      <c r="Z95" s="791"/>
      <c r="AA95" s="791"/>
      <c r="AB95" s="791">
        <f t="shared" ref="AB95:AB99" si="75">H95</f>
        <v>1104</v>
      </c>
      <c r="AC95" s="801"/>
      <c r="AD95" s="801">
        <f>H95</f>
        <v>1104</v>
      </c>
      <c r="AE95" s="801"/>
      <c r="AF95" s="801"/>
      <c r="AG95" s="801"/>
      <c r="AH95" s="852"/>
      <c r="AI95" s="852">
        <f t="shared" ref="AI95:AI98" si="76">H95</f>
        <v>1104</v>
      </c>
      <c r="AJ95" s="862"/>
      <c r="AK95" s="861" t="s">
        <v>3370</v>
      </c>
      <c r="AL95" s="858"/>
      <c r="AM95" s="692"/>
      <c r="AN95" s="692"/>
      <c r="AO95" s="803"/>
      <c r="AP95" s="692"/>
      <c r="AQ95" s="692"/>
      <c r="AR95" s="692"/>
      <c r="AS95" s="692"/>
      <c r="AT95" s="692"/>
      <c r="AU95" s="692"/>
      <c r="AV95" s="692"/>
      <c r="AW95" s="692"/>
      <c r="AX95" s="692"/>
      <c r="AY95" s="692"/>
      <c r="AZ95" s="692"/>
      <c r="BA95" s="692"/>
      <c r="BB95" s="692"/>
      <c r="BC95" s="692"/>
      <c r="BD95" s="692"/>
      <c r="BE95" s="692"/>
      <c r="BF95" s="692"/>
      <c r="BG95" s="692"/>
      <c r="BH95" s="692"/>
      <c r="BI95" s="692"/>
      <c r="BJ95" s="692"/>
      <c r="BK95" s="692"/>
      <c r="BL95" s="692"/>
      <c r="BM95" s="692"/>
      <c r="BN95" s="692"/>
      <c r="BO95" s="692"/>
      <c r="BP95" s="692"/>
      <c r="BQ95" s="692"/>
      <c r="BR95" s="692"/>
      <c r="BS95" s="692"/>
      <c r="BT95" s="692"/>
      <c r="BU95" s="692"/>
      <c r="BV95" s="692"/>
      <c r="BW95" s="692"/>
      <c r="BX95" s="692"/>
      <c r="BY95" s="692"/>
      <c r="BZ95" s="692"/>
      <c r="CA95" s="692"/>
      <c r="CB95" s="692"/>
      <c r="CC95" s="692"/>
      <c r="CD95" s="692"/>
      <c r="CE95" s="692"/>
      <c r="CF95" s="692"/>
      <c r="CG95" s="692"/>
      <c r="CH95" s="692"/>
      <c r="CI95" s="692"/>
      <c r="CJ95" s="692"/>
      <c r="CK95" s="692"/>
      <c r="CL95" s="692"/>
      <c r="CM95" s="692"/>
      <c r="CN95" s="692"/>
      <c r="CO95" s="692"/>
      <c r="CP95" s="692"/>
      <c r="CQ95" s="692"/>
      <c r="CR95" s="692"/>
      <c r="CS95" s="692"/>
      <c r="CT95" s="692"/>
      <c r="CU95" s="692"/>
      <c r="CV95" s="692"/>
      <c r="CW95" s="692"/>
      <c r="CX95" s="692"/>
      <c r="CY95" s="692"/>
      <c r="CZ95" s="692"/>
      <c r="DA95" s="692"/>
      <c r="DB95" s="692"/>
      <c r="DC95" s="692"/>
      <c r="DD95" s="692"/>
      <c r="DE95" s="692"/>
      <c r="DF95" s="692"/>
      <c r="DG95" s="692"/>
      <c r="DH95" s="692"/>
      <c r="DI95" s="692"/>
      <c r="DJ95" s="692"/>
      <c r="DK95" s="692"/>
      <c r="DL95" s="692"/>
      <c r="DM95" s="692"/>
      <c r="DN95" s="692"/>
      <c r="DO95" s="692"/>
      <c r="DP95" s="692"/>
      <c r="DQ95" s="692"/>
      <c r="DR95" s="692"/>
      <c r="DS95" s="692"/>
      <c r="DT95" s="692"/>
      <c r="DU95" s="692"/>
      <c r="DV95" s="692"/>
      <c r="DW95" s="692"/>
      <c r="DX95" s="692"/>
      <c r="DY95" s="692"/>
      <c r="DZ95" s="692"/>
      <c r="EA95" s="692"/>
      <c r="EB95" s="692"/>
      <c r="EC95" s="692"/>
      <c r="ED95" s="692"/>
      <c r="EE95" s="692"/>
      <c r="EF95" s="692"/>
      <c r="EG95" s="692"/>
      <c r="EH95" s="692"/>
      <c r="EI95" s="692"/>
      <c r="EJ95" s="692"/>
      <c r="EK95" s="692"/>
      <c r="EL95" s="692"/>
      <c r="EM95" s="692"/>
      <c r="EN95" s="692"/>
      <c r="EO95" s="692"/>
      <c r="EP95" s="692"/>
      <c r="EQ95" s="692"/>
      <c r="ER95" s="692"/>
      <c r="ES95" s="692"/>
      <c r="ET95" s="692"/>
      <c r="EU95" s="692"/>
      <c r="EV95" s="692"/>
      <c r="EW95" s="692"/>
      <c r="EX95" s="692"/>
      <c r="EY95" s="692"/>
      <c r="EZ95" s="692"/>
      <c r="FA95" s="692"/>
      <c r="FB95" s="692"/>
      <c r="FC95" s="692"/>
      <c r="FD95" s="692"/>
      <c r="FE95" s="692"/>
      <c r="FF95" s="692"/>
      <c r="FG95" s="692"/>
      <c r="FH95" s="692"/>
      <c r="FI95" s="692"/>
      <c r="FJ95" s="692"/>
      <c r="FK95" s="692"/>
      <c r="FL95" s="692"/>
      <c r="FM95" s="692"/>
      <c r="FN95" s="692"/>
      <c r="FO95" s="692"/>
      <c r="FP95" s="692"/>
      <c r="FQ95" s="692"/>
      <c r="FR95" s="692"/>
      <c r="FS95" s="692"/>
      <c r="FT95" s="692"/>
      <c r="FU95" s="692"/>
      <c r="FV95" s="692"/>
      <c r="FW95" s="692"/>
      <c r="FX95" s="692"/>
      <c r="FY95" s="692"/>
      <c r="FZ95" s="692"/>
      <c r="GA95" s="692"/>
      <c r="GB95" s="692"/>
      <c r="GC95" s="692"/>
      <c r="GD95" s="692"/>
      <c r="GE95" s="692"/>
      <c r="GF95" s="692"/>
      <c r="GG95" s="692"/>
      <c r="GH95" s="692"/>
      <c r="GI95" s="692"/>
      <c r="GJ95" s="692"/>
      <c r="GK95" s="692"/>
      <c r="GL95" s="692"/>
      <c r="GM95" s="692"/>
      <c r="GN95" s="692"/>
      <c r="GO95" s="692"/>
      <c r="GP95" s="692"/>
      <c r="GQ95" s="692"/>
      <c r="GR95" s="692"/>
      <c r="GS95" s="692"/>
      <c r="GT95" s="692"/>
      <c r="GU95" s="692"/>
      <c r="GV95" s="692"/>
      <c r="GW95" s="692"/>
      <c r="GX95" s="692"/>
      <c r="GY95" s="692"/>
      <c r="GZ95" s="692"/>
      <c r="HA95" s="692"/>
      <c r="HB95" s="692"/>
      <c r="HC95" s="692"/>
      <c r="HD95" s="692"/>
      <c r="HE95" s="692"/>
      <c r="HF95" s="692"/>
      <c r="HG95" s="692"/>
      <c r="HH95" s="692"/>
      <c r="HI95" s="692"/>
      <c r="HJ95" s="692"/>
      <c r="HK95" s="692"/>
      <c r="HL95" s="692"/>
      <c r="HM95" s="692"/>
      <c r="HN95" s="692"/>
      <c r="HO95" s="692"/>
      <c r="HP95" s="692"/>
      <c r="HQ95" s="692"/>
      <c r="HR95" s="692"/>
      <c r="HS95" s="692"/>
      <c r="HT95" s="692"/>
      <c r="HU95" s="692"/>
      <c r="HV95" s="692"/>
      <c r="HW95" s="692"/>
      <c r="HX95" s="692"/>
      <c r="HY95" s="692"/>
      <c r="HZ95" s="692"/>
      <c r="IA95" s="699"/>
      <c r="IB95" s="699"/>
      <c r="IC95" s="699"/>
      <c r="ID95" s="699"/>
      <c r="IE95" s="699"/>
      <c r="IF95" s="699"/>
      <c r="IG95" s="699"/>
      <c r="IH95" s="699"/>
      <c r="II95" s="699"/>
      <c r="IJ95" s="699"/>
      <c r="IK95" s="699"/>
      <c r="IL95" s="699"/>
      <c r="IM95" s="699"/>
      <c r="IN95" s="699"/>
      <c r="IO95" s="699"/>
      <c r="IP95" s="699"/>
      <c r="IQ95" s="699"/>
      <c r="IR95" s="699"/>
      <c r="IS95" s="699"/>
    </row>
    <row r="96" s="693" customFormat="1" ht="24" customHeight="1" spans="1:253">
      <c r="A96" s="810">
        <v>44328</v>
      </c>
      <c r="B96" s="791" t="s">
        <v>3362</v>
      </c>
      <c r="C96" s="791">
        <v>1027340</v>
      </c>
      <c r="D96" s="791">
        <v>4500052699</v>
      </c>
      <c r="E96" s="791" t="s">
        <v>3363</v>
      </c>
      <c r="F96" s="789" t="s">
        <v>3247</v>
      </c>
      <c r="G96" s="806" t="s">
        <v>3246</v>
      </c>
      <c r="H96" s="807">
        <v>66</v>
      </c>
      <c r="I96" s="791">
        <v>0</v>
      </c>
      <c r="J96" s="791">
        <v>6</v>
      </c>
      <c r="K96" s="746">
        <f t="shared" si="61"/>
        <v>11</v>
      </c>
      <c r="L96" s="751">
        <v>0</v>
      </c>
      <c r="M96" s="831">
        <f t="shared" si="74"/>
        <v>0</v>
      </c>
      <c r="N96" s="829" t="s">
        <v>3364</v>
      </c>
      <c r="O96" s="832">
        <v>66</v>
      </c>
      <c r="P96" s="829"/>
      <c r="Q96" s="843" t="s">
        <v>3365</v>
      </c>
      <c r="R96" s="843" t="s">
        <v>3366</v>
      </c>
      <c r="S96" s="829" t="s">
        <v>3367</v>
      </c>
      <c r="T96" s="530" t="s">
        <v>3175</v>
      </c>
      <c r="U96" s="775">
        <v>44330</v>
      </c>
      <c r="V96" s="775" t="s">
        <v>3368</v>
      </c>
      <c r="W96" s="842" t="s">
        <v>3369</v>
      </c>
      <c r="X96" s="832"/>
      <c r="Y96" s="789" t="s">
        <v>69</v>
      </c>
      <c r="Z96" s="791"/>
      <c r="AA96" s="791"/>
      <c r="AB96" s="791">
        <f t="shared" si="75"/>
        <v>66</v>
      </c>
      <c r="AC96" s="801"/>
      <c r="AD96" s="801">
        <f>H96</f>
        <v>66</v>
      </c>
      <c r="AE96" s="801"/>
      <c r="AF96" s="801"/>
      <c r="AG96" s="801"/>
      <c r="AH96" s="852"/>
      <c r="AI96" s="852">
        <f t="shared" si="76"/>
        <v>66</v>
      </c>
      <c r="AJ96" s="852"/>
      <c r="AK96" s="856"/>
      <c r="AL96" s="858"/>
      <c r="AM96" s="692"/>
      <c r="AN96" s="692"/>
      <c r="AO96" s="803"/>
      <c r="AP96" s="692"/>
      <c r="AQ96" s="692"/>
      <c r="AR96" s="692"/>
      <c r="AS96" s="692"/>
      <c r="AT96" s="692"/>
      <c r="AU96" s="692"/>
      <c r="AV96" s="692"/>
      <c r="AW96" s="692"/>
      <c r="AX96" s="692"/>
      <c r="AY96" s="692"/>
      <c r="AZ96" s="692"/>
      <c r="BA96" s="692"/>
      <c r="BB96" s="692"/>
      <c r="BC96" s="692"/>
      <c r="BD96" s="692"/>
      <c r="BE96" s="692"/>
      <c r="BF96" s="692"/>
      <c r="BG96" s="692"/>
      <c r="BH96" s="692"/>
      <c r="BI96" s="692"/>
      <c r="BJ96" s="692"/>
      <c r="BK96" s="692"/>
      <c r="BL96" s="692"/>
      <c r="BM96" s="692"/>
      <c r="BN96" s="692"/>
      <c r="BO96" s="692"/>
      <c r="BP96" s="692"/>
      <c r="BQ96" s="692"/>
      <c r="BR96" s="692"/>
      <c r="BS96" s="692"/>
      <c r="BT96" s="692"/>
      <c r="BU96" s="692"/>
      <c r="BV96" s="692"/>
      <c r="BW96" s="692"/>
      <c r="BX96" s="692"/>
      <c r="BY96" s="692"/>
      <c r="BZ96" s="692"/>
      <c r="CA96" s="692"/>
      <c r="CB96" s="692"/>
      <c r="CC96" s="692"/>
      <c r="CD96" s="692"/>
      <c r="CE96" s="692"/>
      <c r="CF96" s="692"/>
      <c r="CG96" s="692"/>
      <c r="CH96" s="692"/>
      <c r="CI96" s="692"/>
      <c r="CJ96" s="692"/>
      <c r="CK96" s="692"/>
      <c r="CL96" s="692"/>
      <c r="CM96" s="692"/>
      <c r="CN96" s="692"/>
      <c r="CO96" s="692"/>
      <c r="CP96" s="692"/>
      <c r="CQ96" s="692"/>
      <c r="CR96" s="692"/>
      <c r="CS96" s="692"/>
      <c r="CT96" s="692"/>
      <c r="CU96" s="692"/>
      <c r="CV96" s="692"/>
      <c r="CW96" s="692"/>
      <c r="CX96" s="692"/>
      <c r="CY96" s="692"/>
      <c r="CZ96" s="692"/>
      <c r="DA96" s="692"/>
      <c r="DB96" s="692"/>
      <c r="DC96" s="692"/>
      <c r="DD96" s="692"/>
      <c r="DE96" s="692"/>
      <c r="DF96" s="692"/>
      <c r="DG96" s="692"/>
      <c r="DH96" s="692"/>
      <c r="DI96" s="692"/>
      <c r="DJ96" s="692"/>
      <c r="DK96" s="692"/>
      <c r="DL96" s="692"/>
      <c r="DM96" s="692"/>
      <c r="DN96" s="692"/>
      <c r="DO96" s="692"/>
      <c r="DP96" s="692"/>
      <c r="DQ96" s="692"/>
      <c r="DR96" s="692"/>
      <c r="DS96" s="692"/>
      <c r="DT96" s="692"/>
      <c r="DU96" s="692"/>
      <c r="DV96" s="692"/>
      <c r="DW96" s="692"/>
      <c r="DX96" s="692"/>
      <c r="DY96" s="692"/>
      <c r="DZ96" s="692"/>
      <c r="EA96" s="692"/>
      <c r="EB96" s="692"/>
      <c r="EC96" s="692"/>
      <c r="ED96" s="692"/>
      <c r="EE96" s="692"/>
      <c r="EF96" s="692"/>
      <c r="EG96" s="692"/>
      <c r="EH96" s="692"/>
      <c r="EI96" s="692"/>
      <c r="EJ96" s="692"/>
      <c r="EK96" s="692"/>
      <c r="EL96" s="692"/>
      <c r="EM96" s="692"/>
      <c r="EN96" s="692"/>
      <c r="EO96" s="692"/>
      <c r="EP96" s="692"/>
      <c r="EQ96" s="692"/>
      <c r="ER96" s="692"/>
      <c r="ES96" s="692"/>
      <c r="ET96" s="692"/>
      <c r="EU96" s="692"/>
      <c r="EV96" s="692"/>
      <c r="EW96" s="692"/>
      <c r="EX96" s="692"/>
      <c r="EY96" s="692"/>
      <c r="EZ96" s="692"/>
      <c r="FA96" s="692"/>
      <c r="FB96" s="692"/>
      <c r="FC96" s="692"/>
      <c r="FD96" s="692"/>
      <c r="FE96" s="692"/>
      <c r="FF96" s="692"/>
      <c r="FG96" s="692"/>
      <c r="FH96" s="692"/>
      <c r="FI96" s="692"/>
      <c r="FJ96" s="692"/>
      <c r="FK96" s="692"/>
      <c r="FL96" s="692"/>
      <c r="FM96" s="692"/>
      <c r="FN96" s="692"/>
      <c r="FO96" s="692"/>
      <c r="FP96" s="692"/>
      <c r="FQ96" s="692"/>
      <c r="FR96" s="692"/>
      <c r="FS96" s="692"/>
      <c r="FT96" s="692"/>
      <c r="FU96" s="692"/>
      <c r="FV96" s="692"/>
      <c r="FW96" s="692"/>
      <c r="FX96" s="692"/>
      <c r="FY96" s="692"/>
      <c r="FZ96" s="692"/>
      <c r="GA96" s="692"/>
      <c r="GB96" s="692"/>
      <c r="GC96" s="692"/>
      <c r="GD96" s="692"/>
      <c r="GE96" s="692"/>
      <c r="GF96" s="692"/>
      <c r="GG96" s="692"/>
      <c r="GH96" s="692"/>
      <c r="GI96" s="692"/>
      <c r="GJ96" s="692"/>
      <c r="GK96" s="692"/>
      <c r="GL96" s="692"/>
      <c r="GM96" s="692"/>
      <c r="GN96" s="692"/>
      <c r="GO96" s="692"/>
      <c r="GP96" s="692"/>
      <c r="GQ96" s="692"/>
      <c r="GR96" s="692"/>
      <c r="GS96" s="692"/>
      <c r="GT96" s="692"/>
      <c r="GU96" s="692"/>
      <c r="GV96" s="692"/>
      <c r="GW96" s="692"/>
      <c r="GX96" s="692"/>
      <c r="GY96" s="692"/>
      <c r="GZ96" s="692"/>
      <c r="HA96" s="692"/>
      <c r="HB96" s="692"/>
      <c r="HC96" s="692"/>
      <c r="HD96" s="692"/>
      <c r="HE96" s="692"/>
      <c r="HF96" s="692"/>
      <c r="HG96" s="692"/>
      <c r="HH96" s="692"/>
      <c r="HI96" s="692"/>
      <c r="HJ96" s="692"/>
      <c r="HK96" s="692"/>
      <c r="HL96" s="692"/>
      <c r="HM96" s="692"/>
      <c r="HN96" s="692"/>
      <c r="HO96" s="692"/>
      <c r="HP96" s="692"/>
      <c r="HQ96" s="692"/>
      <c r="HR96" s="692"/>
      <c r="HS96" s="692"/>
      <c r="HT96" s="692"/>
      <c r="HU96" s="692"/>
      <c r="HV96" s="692"/>
      <c r="HW96" s="692"/>
      <c r="HX96" s="692"/>
      <c r="HY96" s="692"/>
      <c r="HZ96" s="692"/>
      <c r="IA96" s="699"/>
      <c r="IB96" s="699"/>
      <c r="IC96" s="699"/>
      <c r="ID96" s="699"/>
      <c r="IE96" s="699"/>
      <c r="IF96" s="699"/>
      <c r="IG96" s="699"/>
      <c r="IH96" s="699"/>
      <c r="II96" s="699"/>
      <c r="IJ96" s="699"/>
      <c r="IK96" s="699"/>
      <c r="IL96" s="699"/>
      <c r="IM96" s="699"/>
      <c r="IN96" s="699"/>
      <c r="IO96" s="699"/>
      <c r="IP96" s="699"/>
      <c r="IQ96" s="699"/>
      <c r="IR96" s="699"/>
      <c r="IS96" s="699"/>
    </row>
    <row r="97" s="694" customFormat="1" ht="24" customHeight="1" spans="1:253">
      <c r="A97" s="805">
        <v>44351</v>
      </c>
      <c r="B97" s="711" t="s">
        <v>3371</v>
      </c>
      <c r="C97" s="711"/>
      <c r="D97" s="711">
        <v>4500054925</v>
      </c>
      <c r="E97" s="711" t="s">
        <v>3372</v>
      </c>
      <c r="F97" s="712" t="s">
        <v>3247</v>
      </c>
      <c r="G97" s="710" t="s">
        <v>3246</v>
      </c>
      <c r="H97" s="711">
        <v>804</v>
      </c>
      <c r="I97" s="711">
        <v>0</v>
      </c>
      <c r="J97" s="711">
        <v>6</v>
      </c>
      <c r="K97" s="698">
        <f t="shared" si="61"/>
        <v>134</v>
      </c>
      <c r="L97" s="819">
        <v>0</v>
      </c>
      <c r="M97" s="820">
        <f t="shared" si="74"/>
        <v>0</v>
      </c>
      <c r="N97" s="777" t="s">
        <v>3373</v>
      </c>
      <c r="O97" s="777"/>
      <c r="P97" s="777"/>
      <c r="Q97" s="744" t="s">
        <v>3374</v>
      </c>
      <c r="R97" s="770"/>
      <c r="S97" s="777" t="s">
        <v>3375</v>
      </c>
      <c r="T97" s="530" t="s">
        <v>3175</v>
      </c>
      <c r="U97" s="744">
        <v>44371</v>
      </c>
      <c r="V97" s="744">
        <v>44371</v>
      </c>
      <c r="W97" s="744" t="s">
        <v>1888</v>
      </c>
      <c r="X97" s="778"/>
      <c r="Y97" s="712" t="s">
        <v>3376</v>
      </c>
      <c r="Z97" s="711"/>
      <c r="AA97" s="711"/>
      <c r="AB97" s="711">
        <f t="shared" si="75"/>
        <v>804</v>
      </c>
      <c r="AC97" s="800">
        <f>K97</f>
        <v>134</v>
      </c>
      <c r="AD97" s="800"/>
      <c r="AE97" s="800">
        <f>K97</f>
        <v>134</v>
      </c>
      <c r="AF97" s="800"/>
      <c r="AG97" s="800"/>
      <c r="AH97" s="779"/>
      <c r="AI97" s="779"/>
      <c r="AJ97" s="779"/>
      <c r="AK97" s="769" t="s">
        <v>3377</v>
      </c>
      <c r="AL97" s="769"/>
      <c r="AM97" s="698"/>
      <c r="AN97" s="698"/>
      <c r="AO97" s="711"/>
      <c r="AP97" s="698"/>
      <c r="AQ97" s="698"/>
      <c r="AR97" s="698"/>
      <c r="AS97" s="698"/>
      <c r="AT97" s="698"/>
      <c r="AU97" s="698"/>
      <c r="AV97" s="698"/>
      <c r="AW97" s="698"/>
      <c r="AX97" s="698"/>
      <c r="AY97" s="698"/>
      <c r="AZ97" s="698"/>
      <c r="BA97" s="698"/>
      <c r="BB97" s="698"/>
      <c r="BC97" s="698"/>
      <c r="BD97" s="698"/>
      <c r="BE97" s="698"/>
      <c r="BF97" s="698"/>
      <c r="BG97" s="698"/>
      <c r="BH97" s="698"/>
      <c r="BI97" s="698"/>
      <c r="BJ97" s="698"/>
      <c r="BK97" s="698"/>
      <c r="BL97" s="698"/>
      <c r="BM97" s="698"/>
      <c r="BN97" s="698"/>
      <c r="BO97" s="698"/>
      <c r="BP97" s="698"/>
      <c r="BQ97" s="698"/>
      <c r="BR97" s="698"/>
      <c r="BS97" s="698"/>
      <c r="BT97" s="698"/>
      <c r="BU97" s="698"/>
      <c r="BV97" s="698"/>
      <c r="BW97" s="698"/>
      <c r="BX97" s="698"/>
      <c r="BY97" s="698"/>
      <c r="BZ97" s="698"/>
      <c r="CA97" s="698"/>
      <c r="CB97" s="698"/>
      <c r="CC97" s="698"/>
      <c r="CD97" s="698"/>
      <c r="CE97" s="698"/>
      <c r="CF97" s="698"/>
      <c r="CG97" s="698"/>
      <c r="CH97" s="698"/>
      <c r="CI97" s="698"/>
      <c r="CJ97" s="698"/>
      <c r="CK97" s="698"/>
      <c r="CL97" s="698"/>
      <c r="CM97" s="698"/>
      <c r="CN97" s="698"/>
      <c r="CO97" s="698"/>
      <c r="CP97" s="698"/>
      <c r="CQ97" s="698"/>
      <c r="CR97" s="698"/>
      <c r="CS97" s="698"/>
      <c r="CT97" s="698"/>
      <c r="CU97" s="698"/>
      <c r="CV97" s="698"/>
      <c r="CW97" s="698"/>
      <c r="CX97" s="698"/>
      <c r="CY97" s="698"/>
      <c r="CZ97" s="698"/>
      <c r="DA97" s="698"/>
      <c r="DB97" s="698"/>
      <c r="DC97" s="698"/>
      <c r="DD97" s="698"/>
      <c r="DE97" s="698"/>
      <c r="DF97" s="698"/>
      <c r="DG97" s="698"/>
      <c r="DH97" s="698"/>
      <c r="DI97" s="698"/>
      <c r="DJ97" s="698"/>
      <c r="DK97" s="698"/>
      <c r="DL97" s="698"/>
      <c r="DM97" s="698"/>
      <c r="DN97" s="698"/>
      <c r="DO97" s="698"/>
      <c r="DP97" s="698"/>
      <c r="DQ97" s="698"/>
      <c r="DR97" s="698"/>
      <c r="DS97" s="698"/>
      <c r="DT97" s="698"/>
      <c r="DU97" s="698"/>
      <c r="DV97" s="698"/>
      <c r="DW97" s="698"/>
      <c r="DX97" s="698"/>
      <c r="DY97" s="698"/>
      <c r="DZ97" s="698"/>
      <c r="EA97" s="698"/>
      <c r="EB97" s="698"/>
      <c r="EC97" s="698"/>
      <c r="ED97" s="698"/>
      <c r="EE97" s="698"/>
      <c r="EF97" s="698"/>
      <c r="EG97" s="698"/>
      <c r="EH97" s="698"/>
      <c r="EI97" s="698"/>
      <c r="EJ97" s="698"/>
      <c r="EK97" s="698"/>
      <c r="EL97" s="698"/>
      <c r="EM97" s="698"/>
      <c r="EN97" s="698"/>
      <c r="EO97" s="698"/>
      <c r="EP97" s="698"/>
      <c r="EQ97" s="698"/>
      <c r="ER97" s="698"/>
      <c r="ES97" s="698"/>
      <c r="ET97" s="698"/>
      <c r="EU97" s="698"/>
      <c r="EV97" s="698"/>
      <c r="EW97" s="698"/>
      <c r="EX97" s="698"/>
      <c r="EY97" s="698"/>
      <c r="EZ97" s="698"/>
      <c r="FA97" s="698"/>
      <c r="FB97" s="698"/>
      <c r="FC97" s="698"/>
      <c r="FD97" s="698"/>
      <c r="FE97" s="698"/>
      <c r="FF97" s="698"/>
      <c r="FG97" s="698"/>
      <c r="FH97" s="698"/>
      <c r="FI97" s="698"/>
      <c r="FJ97" s="698"/>
      <c r="FK97" s="698"/>
      <c r="FL97" s="698"/>
      <c r="FM97" s="698"/>
      <c r="FN97" s="698"/>
      <c r="FO97" s="698"/>
      <c r="FP97" s="698"/>
      <c r="FQ97" s="698"/>
      <c r="FR97" s="698"/>
      <c r="FS97" s="698"/>
      <c r="FT97" s="698"/>
      <c r="FU97" s="698"/>
      <c r="FV97" s="698"/>
      <c r="FW97" s="698"/>
      <c r="FX97" s="698"/>
      <c r="FY97" s="698"/>
      <c r="FZ97" s="698"/>
      <c r="GA97" s="698"/>
      <c r="GB97" s="698"/>
      <c r="GC97" s="698"/>
      <c r="GD97" s="698"/>
      <c r="GE97" s="698"/>
      <c r="GF97" s="698"/>
      <c r="GG97" s="698"/>
      <c r="GH97" s="698"/>
      <c r="GI97" s="698"/>
      <c r="GJ97" s="698"/>
      <c r="GK97" s="698"/>
      <c r="GL97" s="698"/>
      <c r="GM97" s="698"/>
      <c r="GN97" s="698"/>
      <c r="GO97" s="698"/>
      <c r="GP97" s="698"/>
      <c r="GQ97" s="698"/>
      <c r="GR97" s="698"/>
      <c r="GS97" s="698"/>
      <c r="GT97" s="698"/>
      <c r="GU97" s="698"/>
      <c r="GV97" s="698"/>
      <c r="GW97" s="698"/>
      <c r="GX97" s="698"/>
      <c r="GY97" s="698"/>
      <c r="GZ97" s="698"/>
      <c r="HA97" s="698"/>
      <c r="HB97" s="698"/>
      <c r="HC97" s="698"/>
      <c r="HD97" s="698"/>
      <c r="HE97" s="698"/>
      <c r="HF97" s="698"/>
      <c r="HG97" s="698"/>
      <c r="HH97" s="698"/>
      <c r="HI97" s="698"/>
      <c r="HJ97" s="698"/>
      <c r="HK97" s="698"/>
      <c r="HL97" s="698"/>
      <c r="HM97" s="698"/>
      <c r="HN97" s="698"/>
      <c r="HO97" s="698"/>
      <c r="HP97" s="698"/>
      <c r="HQ97" s="698"/>
      <c r="HR97" s="698"/>
      <c r="HS97" s="698"/>
      <c r="HT97" s="698"/>
      <c r="HU97" s="698"/>
      <c r="HV97" s="698"/>
      <c r="HW97" s="698"/>
      <c r="HX97" s="698"/>
      <c r="HY97" s="698"/>
      <c r="HZ97" s="698"/>
      <c r="IA97" s="799"/>
      <c r="IB97" s="799"/>
      <c r="IC97" s="799"/>
      <c r="ID97" s="799"/>
      <c r="IE97" s="799"/>
      <c r="IF97" s="799"/>
      <c r="IG97" s="799"/>
      <c r="IH97" s="799"/>
      <c r="II97" s="799"/>
      <c r="IJ97" s="799"/>
      <c r="IK97" s="799"/>
      <c r="IL97" s="799"/>
      <c r="IM97" s="799"/>
      <c r="IN97" s="799"/>
      <c r="IO97" s="799"/>
      <c r="IP97" s="799"/>
      <c r="IQ97" s="799"/>
      <c r="IR97" s="799"/>
      <c r="IS97" s="799"/>
    </row>
    <row r="98" s="694" customFormat="1" ht="24" customHeight="1" spans="1:253">
      <c r="A98" s="805">
        <v>44328</v>
      </c>
      <c r="B98" s="711" t="s">
        <v>1926</v>
      </c>
      <c r="C98" s="711">
        <v>20000580</v>
      </c>
      <c r="D98" s="711">
        <v>4500052349</v>
      </c>
      <c r="E98" s="711" t="s">
        <v>3378</v>
      </c>
      <c r="F98" s="712" t="s">
        <v>3247</v>
      </c>
      <c r="G98" s="710" t="s">
        <v>3246</v>
      </c>
      <c r="H98" s="711">
        <v>270</v>
      </c>
      <c r="I98" s="711">
        <v>0</v>
      </c>
      <c r="J98" s="711">
        <v>6</v>
      </c>
      <c r="K98" s="698">
        <f t="shared" si="61"/>
        <v>45</v>
      </c>
      <c r="L98" s="819">
        <v>0</v>
      </c>
      <c r="M98" s="820">
        <f t="shared" si="74"/>
        <v>0</v>
      </c>
      <c r="N98" s="777" t="s">
        <v>3379</v>
      </c>
      <c r="O98" s="778">
        <v>270</v>
      </c>
      <c r="P98" s="777"/>
      <c r="Q98" s="744" t="s">
        <v>3380</v>
      </c>
      <c r="R98" s="770"/>
      <c r="S98" s="777" t="s">
        <v>3381</v>
      </c>
      <c r="T98" s="774" t="s">
        <v>3382</v>
      </c>
      <c r="U98" s="744">
        <v>44351</v>
      </c>
      <c r="V98" s="744" t="s">
        <v>3383</v>
      </c>
      <c r="W98" s="744" t="s">
        <v>3384</v>
      </c>
      <c r="X98" s="778"/>
      <c r="Y98" s="712" t="s">
        <v>1927</v>
      </c>
      <c r="Z98" s="711"/>
      <c r="AA98" s="711"/>
      <c r="AB98" s="711">
        <f t="shared" si="75"/>
        <v>270</v>
      </c>
      <c r="AC98" s="800">
        <f>H98</f>
        <v>270</v>
      </c>
      <c r="AD98" s="800"/>
      <c r="AE98" s="800">
        <f>H98</f>
        <v>270</v>
      </c>
      <c r="AF98" s="800"/>
      <c r="AG98" s="800"/>
      <c r="AH98" s="779"/>
      <c r="AI98" s="779">
        <f t="shared" si="76"/>
        <v>270</v>
      </c>
      <c r="AJ98" s="779"/>
      <c r="AK98" s="769" t="s">
        <v>3385</v>
      </c>
      <c r="AL98" s="769"/>
      <c r="AM98" s="698"/>
      <c r="AN98" s="698"/>
      <c r="AO98" s="711"/>
      <c r="AP98" s="698"/>
      <c r="AQ98" s="698"/>
      <c r="AR98" s="698"/>
      <c r="AS98" s="698"/>
      <c r="AT98" s="698"/>
      <c r="AU98" s="698"/>
      <c r="AV98" s="698"/>
      <c r="AW98" s="698"/>
      <c r="AX98" s="698"/>
      <c r="AY98" s="698"/>
      <c r="AZ98" s="698"/>
      <c r="BA98" s="698"/>
      <c r="BB98" s="698"/>
      <c r="BC98" s="698"/>
      <c r="BD98" s="698"/>
      <c r="BE98" s="698"/>
      <c r="BF98" s="698"/>
      <c r="BG98" s="698"/>
      <c r="BH98" s="698"/>
      <c r="BI98" s="698"/>
      <c r="BJ98" s="698"/>
      <c r="BK98" s="698"/>
      <c r="BL98" s="698"/>
      <c r="BM98" s="698"/>
      <c r="BN98" s="698"/>
      <c r="BO98" s="698"/>
      <c r="BP98" s="698"/>
      <c r="BQ98" s="698"/>
      <c r="BR98" s="698"/>
      <c r="BS98" s="698"/>
      <c r="BT98" s="698"/>
      <c r="BU98" s="698"/>
      <c r="BV98" s="698"/>
      <c r="BW98" s="698"/>
      <c r="BX98" s="698"/>
      <c r="BY98" s="698"/>
      <c r="BZ98" s="698"/>
      <c r="CA98" s="698"/>
      <c r="CB98" s="698"/>
      <c r="CC98" s="698"/>
      <c r="CD98" s="698"/>
      <c r="CE98" s="698"/>
      <c r="CF98" s="698"/>
      <c r="CG98" s="698"/>
      <c r="CH98" s="698"/>
      <c r="CI98" s="698"/>
      <c r="CJ98" s="698"/>
      <c r="CK98" s="698"/>
      <c r="CL98" s="698"/>
      <c r="CM98" s="698"/>
      <c r="CN98" s="698"/>
      <c r="CO98" s="698"/>
      <c r="CP98" s="698"/>
      <c r="CQ98" s="698"/>
      <c r="CR98" s="698"/>
      <c r="CS98" s="698"/>
      <c r="CT98" s="698"/>
      <c r="CU98" s="698"/>
      <c r="CV98" s="698"/>
      <c r="CW98" s="698"/>
      <c r="CX98" s="698"/>
      <c r="CY98" s="698"/>
      <c r="CZ98" s="698"/>
      <c r="DA98" s="698"/>
      <c r="DB98" s="698"/>
      <c r="DC98" s="698"/>
      <c r="DD98" s="698"/>
      <c r="DE98" s="698"/>
      <c r="DF98" s="698"/>
      <c r="DG98" s="698"/>
      <c r="DH98" s="698"/>
      <c r="DI98" s="698"/>
      <c r="DJ98" s="698"/>
      <c r="DK98" s="698"/>
      <c r="DL98" s="698"/>
      <c r="DM98" s="698"/>
      <c r="DN98" s="698"/>
      <c r="DO98" s="698"/>
      <c r="DP98" s="698"/>
      <c r="DQ98" s="698"/>
      <c r="DR98" s="698"/>
      <c r="DS98" s="698"/>
      <c r="DT98" s="698"/>
      <c r="DU98" s="698"/>
      <c r="DV98" s="698"/>
      <c r="DW98" s="698"/>
      <c r="DX98" s="698"/>
      <c r="DY98" s="698"/>
      <c r="DZ98" s="698"/>
      <c r="EA98" s="698"/>
      <c r="EB98" s="698"/>
      <c r="EC98" s="698"/>
      <c r="ED98" s="698"/>
      <c r="EE98" s="698"/>
      <c r="EF98" s="698"/>
      <c r="EG98" s="698"/>
      <c r="EH98" s="698"/>
      <c r="EI98" s="698"/>
      <c r="EJ98" s="698"/>
      <c r="EK98" s="698"/>
      <c r="EL98" s="698"/>
      <c r="EM98" s="698"/>
      <c r="EN98" s="698"/>
      <c r="EO98" s="698"/>
      <c r="EP98" s="698"/>
      <c r="EQ98" s="698"/>
      <c r="ER98" s="698"/>
      <c r="ES98" s="698"/>
      <c r="ET98" s="698"/>
      <c r="EU98" s="698"/>
      <c r="EV98" s="698"/>
      <c r="EW98" s="698"/>
      <c r="EX98" s="698"/>
      <c r="EY98" s="698"/>
      <c r="EZ98" s="698"/>
      <c r="FA98" s="698"/>
      <c r="FB98" s="698"/>
      <c r="FC98" s="698"/>
      <c r="FD98" s="698"/>
      <c r="FE98" s="698"/>
      <c r="FF98" s="698"/>
      <c r="FG98" s="698"/>
      <c r="FH98" s="698"/>
      <c r="FI98" s="698"/>
      <c r="FJ98" s="698"/>
      <c r="FK98" s="698"/>
      <c r="FL98" s="698"/>
      <c r="FM98" s="698"/>
      <c r="FN98" s="698"/>
      <c r="FO98" s="698"/>
      <c r="FP98" s="698"/>
      <c r="FQ98" s="698"/>
      <c r="FR98" s="698"/>
      <c r="FS98" s="698"/>
      <c r="FT98" s="698"/>
      <c r="FU98" s="698"/>
      <c r="FV98" s="698"/>
      <c r="FW98" s="698"/>
      <c r="FX98" s="698"/>
      <c r="FY98" s="698"/>
      <c r="FZ98" s="698"/>
      <c r="GA98" s="698"/>
      <c r="GB98" s="698"/>
      <c r="GC98" s="698"/>
      <c r="GD98" s="698"/>
      <c r="GE98" s="698"/>
      <c r="GF98" s="698"/>
      <c r="GG98" s="698"/>
      <c r="GH98" s="698"/>
      <c r="GI98" s="698"/>
      <c r="GJ98" s="698"/>
      <c r="GK98" s="698"/>
      <c r="GL98" s="698"/>
      <c r="GM98" s="698"/>
      <c r="GN98" s="698"/>
      <c r="GO98" s="698"/>
      <c r="GP98" s="698"/>
      <c r="GQ98" s="698"/>
      <c r="GR98" s="698"/>
      <c r="GS98" s="698"/>
      <c r="GT98" s="698"/>
      <c r="GU98" s="698"/>
      <c r="GV98" s="698"/>
      <c r="GW98" s="698"/>
      <c r="GX98" s="698"/>
      <c r="GY98" s="698"/>
      <c r="GZ98" s="698"/>
      <c r="HA98" s="698"/>
      <c r="HB98" s="698"/>
      <c r="HC98" s="698"/>
      <c r="HD98" s="698"/>
      <c r="HE98" s="698"/>
      <c r="HF98" s="698"/>
      <c r="HG98" s="698"/>
      <c r="HH98" s="698"/>
      <c r="HI98" s="698"/>
      <c r="HJ98" s="698"/>
      <c r="HK98" s="698"/>
      <c r="HL98" s="698"/>
      <c r="HM98" s="698"/>
      <c r="HN98" s="698"/>
      <c r="HO98" s="698"/>
      <c r="HP98" s="698"/>
      <c r="HQ98" s="698"/>
      <c r="HR98" s="698"/>
      <c r="HS98" s="698"/>
      <c r="HT98" s="698"/>
      <c r="HU98" s="698"/>
      <c r="HV98" s="698"/>
      <c r="HW98" s="698"/>
      <c r="HX98" s="698"/>
      <c r="HY98" s="698"/>
      <c r="HZ98" s="698"/>
      <c r="IA98" s="799"/>
      <c r="IB98" s="799"/>
      <c r="IC98" s="799"/>
      <c r="ID98" s="799"/>
      <c r="IE98" s="799"/>
      <c r="IF98" s="799"/>
      <c r="IG98" s="799"/>
      <c r="IH98" s="799"/>
      <c r="II98" s="799"/>
      <c r="IJ98" s="799"/>
      <c r="IK98" s="799"/>
      <c r="IL98" s="799"/>
      <c r="IM98" s="799"/>
      <c r="IN98" s="799"/>
      <c r="IO98" s="799"/>
      <c r="IP98" s="799"/>
      <c r="IQ98" s="799"/>
      <c r="IR98" s="799"/>
      <c r="IS98" s="799"/>
    </row>
    <row r="99" s="694" customFormat="1" ht="24" customHeight="1" spans="1:253">
      <c r="A99" s="805">
        <v>44386</v>
      </c>
      <c r="B99" s="711" t="s">
        <v>3386</v>
      </c>
      <c r="C99" s="711">
        <v>2298265</v>
      </c>
      <c r="D99" s="711">
        <v>4500057054</v>
      </c>
      <c r="E99" s="711" t="s">
        <v>3152</v>
      </c>
      <c r="F99" s="712" t="s">
        <v>3247</v>
      </c>
      <c r="G99" s="710" t="s">
        <v>3246</v>
      </c>
      <c r="H99" s="711">
        <v>600</v>
      </c>
      <c r="I99" s="711">
        <v>0</v>
      </c>
      <c r="J99" s="711">
        <v>6</v>
      </c>
      <c r="K99" s="698">
        <f t="shared" si="61"/>
        <v>100</v>
      </c>
      <c r="L99" s="819">
        <v>0</v>
      </c>
      <c r="M99" s="820">
        <f t="shared" si="74"/>
        <v>0</v>
      </c>
      <c r="N99" s="777" t="s">
        <v>3387</v>
      </c>
      <c r="O99" s="777"/>
      <c r="P99" s="777"/>
      <c r="Q99" s="770"/>
      <c r="R99" s="770"/>
      <c r="S99" s="777" t="s">
        <v>3388</v>
      </c>
      <c r="T99" s="774" t="s">
        <v>3175</v>
      </c>
      <c r="U99" s="744" t="s">
        <v>3389</v>
      </c>
      <c r="V99" s="744" t="s">
        <v>58</v>
      </c>
      <c r="W99" s="744" t="s">
        <v>1888</v>
      </c>
      <c r="X99" s="778"/>
      <c r="Y99" s="712" t="s">
        <v>91</v>
      </c>
      <c r="Z99" s="711"/>
      <c r="AA99" s="711"/>
      <c r="AB99" s="711">
        <f t="shared" si="75"/>
        <v>600</v>
      </c>
      <c r="AC99" s="800">
        <f>H99</f>
        <v>600</v>
      </c>
      <c r="AD99" s="800"/>
      <c r="AE99" s="800">
        <f>H99</f>
        <v>600</v>
      </c>
      <c r="AF99" s="800"/>
      <c r="AG99" s="800"/>
      <c r="AH99" s="779"/>
      <c r="AI99" s="779"/>
      <c r="AJ99" s="779"/>
      <c r="AK99" s="769" t="s">
        <v>3390</v>
      </c>
      <c r="AL99" s="769"/>
      <c r="AM99" s="698"/>
      <c r="AN99" s="698"/>
      <c r="AO99" s="711"/>
      <c r="AP99" s="698"/>
      <c r="AQ99" s="698"/>
      <c r="AR99" s="698"/>
      <c r="AS99" s="698"/>
      <c r="AT99" s="698"/>
      <c r="AU99" s="698"/>
      <c r="AV99" s="698"/>
      <c r="AW99" s="698"/>
      <c r="AX99" s="698"/>
      <c r="AY99" s="698"/>
      <c r="AZ99" s="698"/>
      <c r="BA99" s="698"/>
      <c r="BB99" s="698"/>
      <c r="BC99" s="698"/>
      <c r="BD99" s="698"/>
      <c r="BE99" s="698"/>
      <c r="BF99" s="698"/>
      <c r="BG99" s="698"/>
      <c r="BH99" s="698"/>
      <c r="BI99" s="698"/>
      <c r="BJ99" s="698"/>
      <c r="BK99" s="698"/>
      <c r="BL99" s="698"/>
      <c r="BM99" s="698"/>
      <c r="BN99" s="698"/>
      <c r="BO99" s="698"/>
      <c r="BP99" s="698"/>
      <c r="BQ99" s="698"/>
      <c r="BR99" s="698"/>
      <c r="BS99" s="698"/>
      <c r="BT99" s="698"/>
      <c r="BU99" s="698"/>
      <c r="BV99" s="698"/>
      <c r="BW99" s="698"/>
      <c r="BX99" s="698"/>
      <c r="BY99" s="698"/>
      <c r="BZ99" s="698"/>
      <c r="CA99" s="698"/>
      <c r="CB99" s="698"/>
      <c r="CC99" s="698"/>
      <c r="CD99" s="698"/>
      <c r="CE99" s="698"/>
      <c r="CF99" s="698"/>
      <c r="CG99" s="698"/>
      <c r="CH99" s="698"/>
      <c r="CI99" s="698"/>
      <c r="CJ99" s="698"/>
      <c r="CK99" s="698"/>
      <c r="CL99" s="698"/>
      <c r="CM99" s="698"/>
      <c r="CN99" s="698"/>
      <c r="CO99" s="698"/>
      <c r="CP99" s="698"/>
      <c r="CQ99" s="698"/>
      <c r="CR99" s="698"/>
      <c r="CS99" s="698"/>
      <c r="CT99" s="698"/>
      <c r="CU99" s="698"/>
      <c r="CV99" s="698"/>
      <c r="CW99" s="698"/>
      <c r="CX99" s="698"/>
      <c r="CY99" s="698"/>
      <c r="CZ99" s="698"/>
      <c r="DA99" s="698"/>
      <c r="DB99" s="698"/>
      <c r="DC99" s="698"/>
      <c r="DD99" s="698"/>
      <c r="DE99" s="698"/>
      <c r="DF99" s="698"/>
      <c r="DG99" s="698"/>
      <c r="DH99" s="698"/>
      <c r="DI99" s="698"/>
      <c r="DJ99" s="698"/>
      <c r="DK99" s="698"/>
      <c r="DL99" s="698"/>
      <c r="DM99" s="698"/>
      <c r="DN99" s="698"/>
      <c r="DO99" s="698"/>
      <c r="DP99" s="698"/>
      <c r="DQ99" s="698"/>
      <c r="DR99" s="698"/>
      <c r="DS99" s="698"/>
      <c r="DT99" s="698"/>
      <c r="DU99" s="698"/>
      <c r="DV99" s="698"/>
      <c r="DW99" s="698"/>
      <c r="DX99" s="698"/>
      <c r="DY99" s="698"/>
      <c r="DZ99" s="698"/>
      <c r="EA99" s="698"/>
      <c r="EB99" s="698"/>
      <c r="EC99" s="698"/>
      <c r="ED99" s="698"/>
      <c r="EE99" s="698"/>
      <c r="EF99" s="698"/>
      <c r="EG99" s="698"/>
      <c r="EH99" s="698"/>
      <c r="EI99" s="698"/>
      <c r="EJ99" s="698"/>
      <c r="EK99" s="698"/>
      <c r="EL99" s="698"/>
      <c r="EM99" s="698"/>
      <c r="EN99" s="698"/>
      <c r="EO99" s="698"/>
      <c r="EP99" s="698"/>
      <c r="EQ99" s="698"/>
      <c r="ER99" s="698"/>
      <c r="ES99" s="698"/>
      <c r="ET99" s="698"/>
      <c r="EU99" s="698"/>
      <c r="EV99" s="698"/>
      <c r="EW99" s="698"/>
      <c r="EX99" s="698"/>
      <c r="EY99" s="698"/>
      <c r="EZ99" s="698"/>
      <c r="FA99" s="698"/>
      <c r="FB99" s="698"/>
      <c r="FC99" s="698"/>
      <c r="FD99" s="698"/>
      <c r="FE99" s="698"/>
      <c r="FF99" s="698"/>
      <c r="FG99" s="698"/>
      <c r="FH99" s="698"/>
      <c r="FI99" s="698"/>
      <c r="FJ99" s="698"/>
      <c r="FK99" s="698"/>
      <c r="FL99" s="698"/>
      <c r="FM99" s="698"/>
      <c r="FN99" s="698"/>
      <c r="FO99" s="698"/>
      <c r="FP99" s="698"/>
      <c r="FQ99" s="698"/>
      <c r="FR99" s="698"/>
      <c r="FS99" s="698"/>
      <c r="FT99" s="698"/>
      <c r="FU99" s="698"/>
      <c r="FV99" s="698"/>
      <c r="FW99" s="698"/>
      <c r="FX99" s="698"/>
      <c r="FY99" s="698"/>
      <c r="FZ99" s="698"/>
      <c r="GA99" s="698"/>
      <c r="GB99" s="698"/>
      <c r="GC99" s="698"/>
      <c r="GD99" s="698"/>
      <c r="GE99" s="698"/>
      <c r="GF99" s="698"/>
      <c r="GG99" s="698"/>
      <c r="GH99" s="698"/>
      <c r="GI99" s="698"/>
      <c r="GJ99" s="698"/>
      <c r="GK99" s="698"/>
      <c r="GL99" s="698"/>
      <c r="GM99" s="698"/>
      <c r="GN99" s="698"/>
      <c r="GO99" s="698"/>
      <c r="GP99" s="698"/>
      <c r="GQ99" s="698"/>
      <c r="GR99" s="698"/>
      <c r="GS99" s="698"/>
      <c r="GT99" s="698"/>
      <c r="GU99" s="698"/>
      <c r="GV99" s="698"/>
      <c r="GW99" s="698"/>
      <c r="GX99" s="698"/>
      <c r="GY99" s="698"/>
      <c r="GZ99" s="698"/>
      <c r="HA99" s="698"/>
      <c r="HB99" s="698"/>
      <c r="HC99" s="698"/>
      <c r="HD99" s="698"/>
      <c r="HE99" s="698"/>
      <c r="HF99" s="698"/>
      <c r="HG99" s="698"/>
      <c r="HH99" s="698"/>
      <c r="HI99" s="698"/>
      <c r="HJ99" s="698"/>
      <c r="HK99" s="698"/>
      <c r="HL99" s="698"/>
      <c r="HM99" s="698"/>
      <c r="HN99" s="698"/>
      <c r="HO99" s="698"/>
      <c r="HP99" s="698"/>
      <c r="HQ99" s="698"/>
      <c r="HR99" s="698"/>
      <c r="HS99" s="698"/>
      <c r="HT99" s="698"/>
      <c r="HU99" s="698"/>
      <c r="HV99" s="698"/>
      <c r="HW99" s="698"/>
      <c r="HX99" s="698"/>
      <c r="HY99" s="698"/>
      <c r="HZ99" s="698"/>
      <c r="IA99" s="799"/>
      <c r="IB99" s="799"/>
      <c r="IC99" s="799"/>
      <c r="ID99" s="799"/>
      <c r="IE99" s="799"/>
      <c r="IF99" s="799"/>
      <c r="IG99" s="799"/>
      <c r="IH99" s="799"/>
      <c r="II99" s="799"/>
      <c r="IJ99" s="799"/>
      <c r="IK99" s="799"/>
      <c r="IL99" s="799"/>
      <c r="IM99" s="799"/>
      <c r="IN99" s="799"/>
      <c r="IO99" s="799"/>
      <c r="IP99" s="799"/>
      <c r="IQ99" s="799"/>
      <c r="IR99" s="799"/>
      <c r="IS99" s="799"/>
    </row>
    <row r="100" s="692" customFormat="1" ht="24" customHeight="1" spans="1:47">
      <c r="A100" s="805">
        <v>44392</v>
      </c>
      <c r="B100" s="711" t="s">
        <v>3312</v>
      </c>
      <c r="C100" s="711"/>
      <c r="D100" s="711">
        <v>4500057420</v>
      </c>
      <c r="E100" s="711" t="s">
        <v>3391</v>
      </c>
      <c r="F100" s="712" t="s">
        <v>3392</v>
      </c>
      <c r="G100" s="710" t="s">
        <v>3393</v>
      </c>
      <c r="H100" s="698">
        <v>176</v>
      </c>
      <c r="I100" s="712" t="s">
        <v>3102</v>
      </c>
      <c r="J100" s="698">
        <v>4</v>
      </c>
      <c r="K100" s="698">
        <f t="shared" si="61"/>
        <v>44</v>
      </c>
      <c r="L100" s="724">
        <v>0</v>
      </c>
      <c r="M100" s="725">
        <f t="shared" si="74"/>
        <v>0</v>
      </c>
      <c r="N100" s="777" t="s">
        <v>3394</v>
      </c>
      <c r="O100" s="778"/>
      <c r="P100" s="778"/>
      <c r="Q100" s="777"/>
      <c r="R100" s="777"/>
      <c r="S100" s="703"/>
      <c r="T100" s="703"/>
      <c r="U100" s="777" t="s">
        <v>3395</v>
      </c>
      <c r="V100" s="707"/>
      <c r="W100" s="744" t="s">
        <v>3396</v>
      </c>
      <c r="X100" s="726"/>
      <c r="Y100" s="726" t="s">
        <v>1427</v>
      </c>
      <c r="Z100" s="694"/>
      <c r="AA100" s="696" t="s">
        <v>3397</v>
      </c>
      <c r="AB100" s="698"/>
      <c r="AC100" s="763" t="s">
        <v>91</v>
      </c>
      <c r="AD100" s="698"/>
      <c r="AE100" s="698"/>
      <c r="AF100" s="694">
        <v>0</v>
      </c>
      <c r="AG100" s="776"/>
      <c r="AH100" s="776"/>
      <c r="AI100" s="698">
        <v>0</v>
      </c>
      <c r="AJ100" s="776"/>
      <c r="AK100" s="776"/>
      <c r="AL100" s="776"/>
      <c r="AM100" s="776"/>
      <c r="AN100" s="776"/>
      <c r="AO100" s="776"/>
      <c r="AP100" s="698"/>
      <c r="AQ100" s="776">
        <v>0</v>
      </c>
      <c r="AR100" s="776"/>
      <c r="AS100" s="776"/>
      <c r="AT100" s="776"/>
      <c r="AU100" s="716" t="s">
        <v>3398</v>
      </c>
    </row>
    <row r="101" s="692" customFormat="1" ht="24" customHeight="1" spans="1:47">
      <c r="A101" s="805">
        <v>44260</v>
      </c>
      <c r="B101" s="711" t="s">
        <v>3399</v>
      </c>
      <c r="C101" s="698">
        <v>633649</v>
      </c>
      <c r="D101" s="711">
        <v>4500047014</v>
      </c>
      <c r="E101" s="711" t="s">
        <v>3400</v>
      </c>
      <c r="F101" s="712" t="s">
        <v>67</v>
      </c>
      <c r="G101" s="710" t="s">
        <v>66</v>
      </c>
      <c r="H101" s="698">
        <v>0</v>
      </c>
      <c r="I101" s="530">
        <v>0</v>
      </c>
      <c r="J101" s="698">
        <v>12</v>
      </c>
      <c r="K101" s="698">
        <f t="shared" si="61"/>
        <v>0</v>
      </c>
      <c r="L101" s="724">
        <v>0</v>
      </c>
      <c r="M101" s="725">
        <f t="shared" si="74"/>
        <v>0</v>
      </c>
      <c r="N101" s="777" t="s">
        <v>3401</v>
      </c>
      <c r="O101" s="778">
        <v>2100</v>
      </c>
      <c r="P101" s="778"/>
      <c r="Q101" s="777"/>
      <c r="R101" s="777"/>
      <c r="S101" s="711" t="s">
        <v>56</v>
      </c>
      <c r="T101" s="703"/>
      <c r="U101" s="777" t="s">
        <v>3402</v>
      </c>
      <c r="V101" s="707"/>
      <c r="W101" s="744">
        <v>44267</v>
      </c>
      <c r="X101" s="726"/>
      <c r="Y101" s="726" t="s">
        <v>58</v>
      </c>
      <c r="Z101" s="694"/>
      <c r="AA101" s="694" t="s">
        <v>3333</v>
      </c>
      <c r="AB101" s="698"/>
      <c r="AC101" s="763" t="s">
        <v>91</v>
      </c>
      <c r="AD101" s="698"/>
      <c r="AE101" s="698"/>
      <c r="AF101" s="776"/>
      <c r="AG101" s="776"/>
      <c r="AH101" s="776">
        <f>H101</f>
        <v>0</v>
      </c>
      <c r="AI101" s="698">
        <f t="shared" ref="AI101:AI103" si="77">H101</f>
        <v>0</v>
      </c>
      <c r="AJ101" s="776"/>
      <c r="AK101" s="776"/>
      <c r="AL101" s="776"/>
      <c r="AM101" s="776"/>
      <c r="AN101" s="776"/>
      <c r="AO101" s="776"/>
      <c r="AP101" s="698"/>
      <c r="AQ101" s="776"/>
      <c r="AR101" s="776"/>
      <c r="AS101" s="776">
        <f>H101</f>
        <v>0</v>
      </c>
      <c r="AT101" s="776"/>
      <c r="AU101" s="716" t="s">
        <v>3403</v>
      </c>
    </row>
    <row r="102" s="692" customFormat="1" ht="24" customHeight="1" spans="1:47">
      <c r="A102" s="805">
        <v>44260</v>
      </c>
      <c r="B102" s="711" t="s">
        <v>3399</v>
      </c>
      <c r="C102" s="698">
        <v>633647</v>
      </c>
      <c r="D102" s="711">
        <v>4500046886</v>
      </c>
      <c r="E102" s="711" t="s">
        <v>3400</v>
      </c>
      <c r="F102" s="712" t="s">
        <v>55</v>
      </c>
      <c r="G102" s="710" t="s">
        <v>54</v>
      </c>
      <c r="H102" s="698">
        <v>0</v>
      </c>
      <c r="I102" s="530">
        <v>0</v>
      </c>
      <c r="J102" s="698">
        <v>12</v>
      </c>
      <c r="K102" s="698">
        <f t="shared" si="61"/>
        <v>0</v>
      </c>
      <c r="L102" s="724">
        <v>0</v>
      </c>
      <c r="M102" s="725">
        <f t="shared" si="74"/>
        <v>0</v>
      </c>
      <c r="N102" s="777" t="s">
        <v>3404</v>
      </c>
      <c r="O102" s="784">
        <v>4200</v>
      </c>
      <c r="P102" s="784"/>
      <c r="Q102" s="777"/>
      <c r="R102" s="777"/>
      <c r="S102" s="711" t="s">
        <v>56</v>
      </c>
      <c r="T102" s="703"/>
      <c r="U102" s="777" t="s">
        <v>3405</v>
      </c>
      <c r="V102" s="707" t="s">
        <v>3406</v>
      </c>
      <c r="W102" s="744">
        <v>44267</v>
      </c>
      <c r="X102" s="726"/>
      <c r="Y102" s="726" t="s">
        <v>58</v>
      </c>
      <c r="Z102" s="694"/>
      <c r="AA102" s="694" t="s">
        <v>3333</v>
      </c>
      <c r="AB102" s="698"/>
      <c r="AC102" s="763" t="s">
        <v>91</v>
      </c>
      <c r="AD102" s="698"/>
      <c r="AE102" s="698"/>
      <c r="AF102" s="776">
        <f>H102</f>
        <v>0</v>
      </c>
      <c r="AG102" s="776"/>
      <c r="AH102" s="776"/>
      <c r="AI102" s="698">
        <f t="shared" si="77"/>
        <v>0</v>
      </c>
      <c r="AJ102" s="776"/>
      <c r="AK102" s="776"/>
      <c r="AL102" s="776"/>
      <c r="AM102" s="776"/>
      <c r="AN102" s="776"/>
      <c r="AO102" s="776"/>
      <c r="AP102" s="698"/>
      <c r="AQ102" s="776">
        <f>H102</f>
        <v>0</v>
      </c>
      <c r="AR102" s="776"/>
      <c r="AS102" s="776"/>
      <c r="AT102" s="776"/>
      <c r="AU102" s="716" t="s">
        <v>3407</v>
      </c>
    </row>
    <row r="103" s="692" customFormat="1" ht="24" customHeight="1" spans="1:47">
      <c r="A103" s="805">
        <v>44260</v>
      </c>
      <c r="B103" s="711" t="s">
        <v>3399</v>
      </c>
      <c r="C103" s="698">
        <v>633639</v>
      </c>
      <c r="D103" s="711">
        <v>4500046880</v>
      </c>
      <c r="E103" s="711" t="s">
        <v>3400</v>
      </c>
      <c r="F103" s="712" t="s">
        <v>55</v>
      </c>
      <c r="G103" s="710" t="s">
        <v>54</v>
      </c>
      <c r="H103" s="698">
        <v>0</v>
      </c>
      <c r="I103" s="530">
        <v>0</v>
      </c>
      <c r="J103" s="698">
        <v>12</v>
      </c>
      <c r="K103" s="698">
        <f t="shared" si="61"/>
        <v>0</v>
      </c>
      <c r="L103" s="724">
        <v>0</v>
      </c>
      <c r="M103" s="725">
        <f t="shared" si="74"/>
        <v>0</v>
      </c>
      <c r="N103" s="777" t="s">
        <v>3408</v>
      </c>
      <c r="O103" s="784">
        <v>3600</v>
      </c>
      <c r="P103" s="784"/>
      <c r="Q103" s="777"/>
      <c r="R103" s="777"/>
      <c r="S103" s="711" t="s">
        <v>56</v>
      </c>
      <c r="T103" s="703"/>
      <c r="U103" s="777" t="s">
        <v>3405</v>
      </c>
      <c r="V103" s="707"/>
      <c r="W103" s="744">
        <v>44267</v>
      </c>
      <c r="X103" s="726"/>
      <c r="Y103" s="726" t="s">
        <v>58</v>
      </c>
      <c r="Z103" s="694"/>
      <c r="AA103" s="694" t="s">
        <v>3333</v>
      </c>
      <c r="AB103" s="698"/>
      <c r="AC103" s="763" t="s">
        <v>91</v>
      </c>
      <c r="AD103" s="698"/>
      <c r="AE103" s="698"/>
      <c r="AF103" s="776">
        <f>H103</f>
        <v>0</v>
      </c>
      <c r="AG103" s="776"/>
      <c r="AH103" s="776"/>
      <c r="AI103" s="698">
        <f t="shared" si="77"/>
        <v>0</v>
      </c>
      <c r="AJ103" s="776"/>
      <c r="AK103" s="776"/>
      <c r="AL103" s="776"/>
      <c r="AM103" s="776"/>
      <c r="AN103" s="776"/>
      <c r="AO103" s="776"/>
      <c r="AP103" s="698"/>
      <c r="AQ103" s="776">
        <f>H103</f>
        <v>0</v>
      </c>
      <c r="AR103" s="776"/>
      <c r="AS103" s="776"/>
      <c r="AT103" s="776"/>
      <c r="AU103" s="716" t="s">
        <v>3409</v>
      </c>
    </row>
    <row r="104" s="694" customFormat="1" ht="24" customHeight="1" spans="1:51">
      <c r="A104" s="805">
        <v>44456</v>
      </c>
      <c r="B104" s="711" t="s">
        <v>51</v>
      </c>
      <c r="C104" s="711"/>
      <c r="D104" s="711" t="s">
        <v>3410</v>
      </c>
      <c r="E104" s="711"/>
      <c r="F104" s="712" t="s">
        <v>3252</v>
      </c>
      <c r="G104" s="711" t="s">
        <v>3117</v>
      </c>
      <c r="H104" s="711">
        <v>1104</v>
      </c>
      <c r="I104" s="712">
        <v>0</v>
      </c>
      <c r="J104" s="712">
        <v>12</v>
      </c>
      <c r="K104" s="698">
        <f t="shared" si="61"/>
        <v>92</v>
      </c>
      <c r="L104" s="819">
        <v>0</v>
      </c>
      <c r="M104" s="725">
        <v>0</v>
      </c>
      <c r="N104" s="777" t="s">
        <v>3411</v>
      </c>
      <c r="O104" s="778">
        <v>1104</v>
      </c>
      <c r="P104" s="778"/>
      <c r="Q104" s="777"/>
      <c r="R104" s="777"/>
      <c r="S104" s="737"/>
      <c r="T104" s="759"/>
      <c r="U104" s="777" t="s">
        <v>3412</v>
      </c>
      <c r="V104" s="848" t="s">
        <v>3175</v>
      </c>
      <c r="W104" s="744"/>
      <c r="X104" s="744"/>
      <c r="Y104" s="744"/>
      <c r="Z104" s="712"/>
      <c r="AA104" s="711"/>
      <c r="AB104" s="778"/>
      <c r="AC104" s="712" t="s">
        <v>52</v>
      </c>
      <c r="AD104" s="711"/>
      <c r="AE104" s="711"/>
      <c r="AF104" s="776"/>
      <c r="AG104" s="776"/>
      <c r="AH104" s="776"/>
      <c r="AI104" s="776"/>
      <c r="AJ104" s="776"/>
      <c r="AK104" s="776"/>
      <c r="AL104" s="800"/>
      <c r="AM104" s="800"/>
      <c r="AN104" s="800"/>
      <c r="AO104" s="800"/>
      <c r="AP104" s="800"/>
      <c r="AQ104" s="800"/>
      <c r="AR104" s="800"/>
      <c r="AS104" s="800"/>
      <c r="AT104" s="776"/>
      <c r="AU104" s="776"/>
      <c r="AV104" s="776"/>
      <c r="AW104" s="716" t="s">
        <v>3413</v>
      </c>
      <c r="AX104" s="865"/>
      <c r="AY104" s="712"/>
    </row>
    <row r="105" s="696" customFormat="1" ht="24" customHeight="1" spans="1:51">
      <c r="A105" s="811">
        <v>44379</v>
      </c>
      <c r="B105" s="812" t="s">
        <v>1656</v>
      </c>
      <c r="C105" s="813">
        <v>5200000301</v>
      </c>
      <c r="D105" s="791">
        <v>4500056863</v>
      </c>
      <c r="E105" s="814" t="s">
        <v>3391</v>
      </c>
      <c r="F105" s="789" t="s">
        <v>3414</v>
      </c>
      <c r="G105" s="791" t="s">
        <v>3415</v>
      </c>
      <c r="H105" s="791">
        <v>3704</v>
      </c>
      <c r="I105" s="791">
        <v>0</v>
      </c>
      <c r="J105" s="791">
        <v>8</v>
      </c>
      <c r="K105" s="834">
        <f t="shared" si="61"/>
        <v>463</v>
      </c>
      <c r="L105" s="751">
        <v>0</v>
      </c>
      <c r="M105" s="753">
        <f t="shared" ref="M105:M110" si="78">L105*H105</f>
        <v>0</v>
      </c>
      <c r="N105" s="829" t="s">
        <v>3416</v>
      </c>
      <c r="O105" s="832"/>
      <c r="P105" s="832"/>
      <c r="Q105" s="829"/>
      <c r="R105" s="829"/>
      <c r="S105" s="849"/>
      <c r="T105" s="850"/>
      <c r="U105" s="829" t="s">
        <v>3417</v>
      </c>
      <c r="V105" s="851"/>
      <c r="W105" s="815" t="s">
        <v>1427</v>
      </c>
      <c r="Y105" s="775" t="s">
        <v>58</v>
      </c>
      <c r="Z105" s="789"/>
      <c r="AA105" s="791" t="s">
        <v>3309</v>
      </c>
      <c r="AB105" s="832"/>
      <c r="AC105" s="789" t="s">
        <v>91</v>
      </c>
      <c r="AD105" s="791"/>
      <c r="AE105" s="791"/>
      <c r="AF105" s="786"/>
      <c r="AG105" s="786"/>
      <c r="AH105" s="786"/>
      <c r="AI105" s="786"/>
      <c r="AJ105" s="786"/>
      <c r="AK105" s="786"/>
      <c r="AL105" s="801"/>
      <c r="AM105" s="801"/>
      <c r="AN105" s="801"/>
      <c r="AO105" s="801"/>
      <c r="AP105" s="801"/>
      <c r="AQ105" s="801"/>
      <c r="AR105" s="801"/>
      <c r="AS105" s="801"/>
      <c r="AT105" s="786"/>
      <c r="AU105" s="786"/>
      <c r="AV105" s="786"/>
      <c r="AW105" s="795"/>
      <c r="AX105" s="866"/>
      <c r="AY105" s="789"/>
    </row>
    <row r="106" s="694" customFormat="1" ht="24" customHeight="1" spans="1:51">
      <c r="A106" s="805">
        <v>44365</v>
      </c>
      <c r="B106" s="711" t="s">
        <v>3418</v>
      </c>
      <c r="C106" s="711">
        <v>4400195371</v>
      </c>
      <c r="D106" s="711">
        <v>4500055371</v>
      </c>
      <c r="E106" s="711" t="s">
        <v>3419</v>
      </c>
      <c r="F106" s="712" t="s">
        <v>3141</v>
      </c>
      <c r="G106" s="711" t="s">
        <v>3140</v>
      </c>
      <c r="H106" s="711">
        <v>1200</v>
      </c>
      <c r="I106" s="711">
        <v>0</v>
      </c>
      <c r="J106" s="711">
        <v>12</v>
      </c>
      <c r="K106" s="755">
        <f t="shared" si="61"/>
        <v>100</v>
      </c>
      <c r="L106" s="819">
        <v>0</v>
      </c>
      <c r="M106" s="725">
        <f t="shared" si="78"/>
        <v>0</v>
      </c>
      <c r="N106" s="777" t="s">
        <v>3420</v>
      </c>
      <c r="O106" s="778"/>
      <c r="P106" s="778"/>
      <c r="Q106" s="777"/>
      <c r="R106" s="777"/>
      <c r="S106" s="737"/>
      <c r="T106" s="759"/>
      <c r="U106" s="777" t="s">
        <v>3421</v>
      </c>
      <c r="V106" s="835"/>
      <c r="W106" s="744" t="s">
        <v>3422</v>
      </c>
      <c r="Y106" s="744" t="s">
        <v>58</v>
      </c>
      <c r="Z106" s="712"/>
      <c r="AA106" s="711" t="s">
        <v>3423</v>
      </c>
      <c r="AB106" s="778"/>
      <c r="AC106" s="712" t="s">
        <v>493</v>
      </c>
      <c r="AD106" s="711"/>
      <c r="AE106" s="711"/>
      <c r="AF106" s="776"/>
      <c r="AG106" s="776"/>
      <c r="AH106" s="776"/>
      <c r="AI106" s="776"/>
      <c r="AJ106" s="776"/>
      <c r="AK106" s="776"/>
      <c r="AL106" s="800"/>
      <c r="AM106" s="800"/>
      <c r="AN106" s="800"/>
      <c r="AO106" s="800"/>
      <c r="AP106" s="800"/>
      <c r="AQ106" s="800"/>
      <c r="AR106" s="800"/>
      <c r="AS106" s="800"/>
      <c r="AT106" s="776"/>
      <c r="AU106" s="776"/>
      <c r="AV106" s="776"/>
      <c r="AW106" s="716" t="s">
        <v>3424</v>
      </c>
      <c r="AX106" s="865"/>
      <c r="AY106" s="712"/>
    </row>
    <row r="107" s="696" customFormat="1" ht="24" customHeight="1" spans="1:51">
      <c r="A107" s="811">
        <v>44379</v>
      </c>
      <c r="B107" s="812" t="s">
        <v>1656</v>
      </c>
      <c r="C107" s="813">
        <v>5200000300</v>
      </c>
      <c r="D107" s="791">
        <v>4500056859</v>
      </c>
      <c r="E107" s="814" t="s">
        <v>3391</v>
      </c>
      <c r="F107" s="789" t="s">
        <v>3414</v>
      </c>
      <c r="G107" s="791" t="s">
        <v>3415</v>
      </c>
      <c r="H107" s="791">
        <v>5824</v>
      </c>
      <c r="I107" s="791">
        <v>0</v>
      </c>
      <c r="J107" s="791">
        <v>8</v>
      </c>
      <c r="K107" s="834">
        <f t="shared" si="61"/>
        <v>728</v>
      </c>
      <c r="L107" s="751">
        <v>0</v>
      </c>
      <c r="M107" s="753">
        <f t="shared" si="78"/>
        <v>0</v>
      </c>
      <c r="N107" s="829" t="s">
        <v>3425</v>
      </c>
      <c r="O107" s="832"/>
      <c r="P107" s="832"/>
      <c r="Q107" s="829"/>
      <c r="R107" s="829"/>
      <c r="S107" s="849"/>
      <c r="T107" s="850"/>
      <c r="U107" s="829" t="s">
        <v>3426</v>
      </c>
      <c r="V107" s="851"/>
      <c r="W107" s="775" t="s">
        <v>1427</v>
      </c>
      <c r="Y107" s="775" t="s">
        <v>58</v>
      </c>
      <c r="Z107" s="789"/>
      <c r="AA107" s="791" t="s">
        <v>3309</v>
      </c>
      <c r="AB107" s="832"/>
      <c r="AC107" s="789" t="s">
        <v>91</v>
      </c>
      <c r="AD107" s="791"/>
      <c r="AE107" s="791"/>
      <c r="AF107" s="786"/>
      <c r="AG107" s="786"/>
      <c r="AH107" s="786"/>
      <c r="AI107" s="786"/>
      <c r="AJ107" s="786"/>
      <c r="AK107" s="786"/>
      <c r="AL107" s="801"/>
      <c r="AM107" s="801"/>
      <c r="AN107" s="801"/>
      <c r="AO107" s="801"/>
      <c r="AP107" s="801"/>
      <c r="AQ107" s="801"/>
      <c r="AR107" s="801"/>
      <c r="AS107" s="801"/>
      <c r="AT107" s="786"/>
      <c r="AU107" s="786"/>
      <c r="AV107" s="786"/>
      <c r="AW107" s="795"/>
      <c r="AX107" s="866"/>
      <c r="AY107" s="789"/>
    </row>
    <row r="108" s="694" customFormat="1" ht="24" customHeight="1" spans="1:51">
      <c r="A108" s="805">
        <v>44392</v>
      </c>
      <c r="B108" s="711" t="s">
        <v>1656</v>
      </c>
      <c r="C108" s="711">
        <v>5200000302</v>
      </c>
      <c r="D108" s="711">
        <v>4500057300</v>
      </c>
      <c r="E108" s="711" t="s">
        <v>3427</v>
      </c>
      <c r="F108" s="712" t="s">
        <v>3428</v>
      </c>
      <c r="G108" s="711" t="s">
        <v>3429</v>
      </c>
      <c r="H108" s="711">
        <v>2922</v>
      </c>
      <c r="I108" s="711">
        <v>0</v>
      </c>
      <c r="J108" s="711">
        <v>6</v>
      </c>
      <c r="K108" s="698">
        <f t="shared" si="61"/>
        <v>487</v>
      </c>
      <c r="L108" s="819">
        <v>0</v>
      </c>
      <c r="M108" s="725">
        <f t="shared" si="78"/>
        <v>0</v>
      </c>
      <c r="N108" s="777" t="s">
        <v>3430</v>
      </c>
      <c r="O108" s="778"/>
      <c r="P108" s="778"/>
      <c r="Q108" s="777"/>
      <c r="R108" s="777"/>
      <c r="S108" s="737"/>
      <c r="T108" s="759"/>
      <c r="U108" s="777" t="s">
        <v>3431</v>
      </c>
      <c r="V108" s="848"/>
      <c r="W108" s="744" t="s">
        <v>3432</v>
      </c>
      <c r="X108" s="744"/>
      <c r="Y108" s="744" t="s">
        <v>3433</v>
      </c>
      <c r="Z108" s="712"/>
      <c r="AA108" s="711" t="s">
        <v>3434</v>
      </c>
      <c r="AB108" s="778"/>
      <c r="AC108" s="712" t="s">
        <v>91</v>
      </c>
      <c r="AD108" s="711"/>
      <c r="AE108" s="711"/>
      <c r="AF108" s="776"/>
      <c r="AG108" s="776"/>
      <c r="AH108" s="698"/>
      <c r="AI108" s="776"/>
      <c r="AJ108" s="776"/>
      <c r="AK108" s="776"/>
      <c r="AL108" s="800"/>
      <c r="AM108" s="800"/>
      <c r="AN108" s="800"/>
      <c r="AO108" s="800"/>
      <c r="AP108" s="800"/>
      <c r="AQ108" s="800"/>
      <c r="AR108" s="800"/>
      <c r="AS108" s="800"/>
      <c r="AT108" s="776"/>
      <c r="AU108" s="776"/>
      <c r="AV108" s="776"/>
      <c r="AW108" s="716" t="s">
        <v>3435</v>
      </c>
      <c r="AX108" s="865"/>
      <c r="AY108" s="712"/>
    </row>
    <row r="109" s="694" customFormat="1" ht="24" customHeight="1" spans="1:51">
      <c r="A109" s="805">
        <v>44392</v>
      </c>
      <c r="B109" s="711" t="s">
        <v>1656</v>
      </c>
      <c r="C109" s="711">
        <v>5200000302</v>
      </c>
      <c r="D109" s="711">
        <v>4500057300</v>
      </c>
      <c r="E109" s="711" t="s">
        <v>3427</v>
      </c>
      <c r="F109" s="712" t="s">
        <v>3436</v>
      </c>
      <c r="G109" s="711" t="s">
        <v>3313</v>
      </c>
      <c r="H109" s="711">
        <v>2034</v>
      </c>
      <c r="I109" s="711">
        <v>0</v>
      </c>
      <c r="J109" s="711">
        <v>6</v>
      </c>
      <c r="K109" s="698">
        <f t="shared" si="61"/>
        <v>339</v>
      </c>
      <c r="L109" s="819">
        <v>0</v>
      </c>
      <c r="M109" s="725">
        <f t="shared" si="78"/>
        <v>0</v>
      </c>
      <c r="N109" s="777" t="s">
        <v>3430</v>
      </c>
      <c r="O109" s="778"/>
      <c r="P109" s="778"/>
      <c r="Q109" s="777"/>
      <c r="R109" s="777"/>
      <c r="S109" s="737"/>
      <c r="T109" s="759"/>
      <c r="U109" s="777" t="s">
        <v>3431</v>
      </c>
      <c r="V109" s="848"/>
      <c r="W109" s="744" t="s">
        <v>3432</v>
      </c>
      <c r="X109" s="744"/>
      <c r="Y109" s="744" t="s">
        <v>3433</v>
      </c>
      <c r="Z109" s="712"/>
      <c r="AA109" s="711" t="s">
        <v>3434</v>
      </c>
      <c r="AB109" s="778"/>
      <c r="AC109" s="712" t="s">
        <v>91</v>
      </c>
      <c r="AD109" s="711"/>
      <c r="AE109" s="711"/>
      <c r="AF109" s="776"/>
      <c r="AG109" s="711"/>
      <c r="AH109" s="776"/>
      <c r="AI109" s="776"/>
      <c r="AJ109" s="776"/>
      <c r="AK109" s="776"/>
      <c r="AL109" s="800"/>
      <c r="AM109" s="800"/>
      <c r="AN109" s="800"/>
      <c r="AO109" s="800"/>
      <c r="AP109" s="800"/>
      <c r="AQ109" s="800"/>
      <c r="AR109" s="800"/>
      <c r="AS109" s="800"/>
      <c r="AT109" s="776"/>
      <c r="AU109" s="776"/>
      <c r="AV109" s="776"/>
      <c r="AW109" s="716" t="s">
        <v>3435</v>
      </c>
      <c r="AX109" s="865"/>
      <c r="AY109" s="712"/>
    </row>
    <row r="110" s="694" customFormat="1" ht="24" customHeight="1" spans="1:51">
      <c r="A110" s="805">
        <v>44392</v>
      </c>
      <c r="B110" s="711" t="s">
        <v>1656</v>
      </c>
      <c r="C110" s="711">
        <v>5200000302</v>
      </c>
      <c r="D110" s="711">
        <v>4500057300</v>
      </c>
      <c r="E110" s="711" t="s">
        <v>3427</v>
      </c>
      <c r="F110" s="712" t="s">
        <v>3414</v>
      </c>
      <c r="G110" s="711" t="s">
        <v>3415</v>
      </c>
      <c r="H110" s="711">
        <v>1056</v>
      </c>
      <c r="I110" s="711">
        <v>0</v>
      </c>
      <c r="J110" s="711">
        <v>8</v>
      </c>
      <c r="K110" s="698">
        <f t="shared" si="61"/>
        <v>132</v>
      </c>
      <c r="L110" s="819">
        <v>0</v>
      </c>
      <c r="M110" s="725">
        <f t="shared" si="78"/>
        <v>0</v>
      </c>
      <c r="N110" s="777" t="s">
        <v>3437</v>
      </c>
      <c r="O110" s="778"/>
      <c r="P110" s="778"/>
      <c r="Q110" s="777"/>
      <c r="R110" s="777"/>
      <c r="S110" s="737"/>
      <c r="T110" s="759"/>
      <c r="U110" s="777" t="s">
        <v>3438</v>
      </c>
      <c r="V110" s="848"/>
      <c r="W110" s="744" t="s">
        <v>1427</v>
      </c>
      <c r="X110" s="744"/>
      <c r="Y110" s="744"/>
      <c r="Z110" s="712"/>
      <c r="AA110" s="711" t="s">
        <v>3309</v>
      </c>
      <c r="AB110" s="778"/>
      <c r="AC110" s="712" t="s">
        <v>91</v>
      </c>
      <c r="AD110" s="711"/>
      <c r="AE110" s="711"/>
      <c r="AF110" s="776"/>
      <c r="AG110" s="776"/>
      <c r="AH110" s="776"/>
      <c r="AI110" s="776"/>
      <c r="AJ110" s="776"/>
      <c r="AK110" s="776"/>
      <c r="AL110" s="800"/>
      <c r="AM110" s="800"/>
      <c r="AN110" s="800"/>
      <c r="AO110" s="800"/>
      <c r="AP110" s="800"/>
      <c r="AQ110" s="800"/>
      <c r="AR110" s="800"/>
      <c r="AS110" s="800"/>
      <c r="AT110" s="776"/>
      <c r="AU110" s="776"/>
      <c r="AV110" s="776"/>
      <c r="AW110" s="716" t="s">
        <v>3439</v>
      </c>
      <c r="AX110" s="865"/>
      <c r="AY110" s="712"/>
    </row>
    <row r="111" s="694" customFormat="1" ht="24" customHeight="1" spans="1:51">
      <c r="A111" s="805">
        <v>44393</v>
      </c>
      <c r="B111" s="711" t="s">
        <v>875</v>
      </c>
      <c r="C111" s="711" t="s">
        <v>3440</v>
      </c>
      <c r="D111" s="711">
        <v>4500057334</v>
      </c>
      <c r="E111" s="711" t="s">
        <v>3441</v>
      </c>
      <c r="F111" s="712" t="s">
        <v>3442</v>
      </c>
      <c r="G111" s="711" t="s">
        <v>3443</v>
      </c>
      <c r="H111" s="711">
        <v>1860</v>
      </c>
      <c r="I111" s="712">
        <v>0</v>
      </c>
      <c r="J111" s="712">
        <v>60</v>
      </c>
      <c r="K111" s="698">
        <f t="shared" si="61"/>
        <v>31</v>
      </c>
      <c r="L111" s="819">
        <v>0</v>
      </c>
      <c r="M111" s="725">
        <f>K111*L111</f>
        <v>0</v>
      </c>
      <c r="N111" s="777" t="s">
        <v>3444</v>
      </c>
      <c r="O111" s="778">
        <v>1860</v>
      </c>
      <c r="P111" s="778"/>
      <c r="Q111" s="777"/>
      <c r="R111" s="777"/>
      <c r="S111" s="750" t="s">
        <v>3374</v>
      </c>
      <c r="T111" s="759"/>
      <c r="U111" s="777" t="s">
        <v>3445</v>
      </c>
      <c r="V111" s="848" t="s">
        <v>3175</v>
      </c>
      <c r="W111" s="744" t="s">
        <v>3446</v>
      </c>
      <c r="X111" s="744">
        <v>44391</v>
      </c>
      <c r="Y111" s="744" t="s">
        <v>3447</v>
      </c>
      <c r="Z111" s="712"/>
      <c r="AA111" s="711" t="s">
        <v>3309</v>
      </c>
      <c r="AB111" s="778"/>
      <c r="AC111" s="712" t="s">
        <v>876</v>
      </c>
      <c r="AD111" s="711"/>
      <c r="AE111" s="711"/>
      <c r="AF111" s="776"/>
      <c r="AG111" s="776"/>
      <c r="AH111" s="776"/>
      <c r="AI111" s="776"/>
      <c r="AJ111" s="776"/>
      <c r="AK111" s="776"/>
      <c r="AL111" s="800"/>
      <c r="AM111" s="800"/>
      <c r="AN111" s="800"/>
      <c r="AO111" s="800"/>
      <c r="AP111" s="800"/>
      <c r="AQ111" s="800"/>
      <c r="AR111" s="800"/>
      <c r="AS111" s="800"/>
      <c r="AT111" s="776"/>
      <c r="AU111" s="776"/>
      <c r="AV111" s="776"/>
      <c r="AW111" s="716" t="s">
        <v>3448</v>
      </c>
      <c r="AX111" s="865"/>
      <c r="AY111" s="712"/>
    </row>
    <row r="112" s="694" customFormat="1" ht="24" customHeight="1" spans="1:51">
      <c r="A112" s="805">
        <v>44454</v>
      </c>
      <c r="B112" s="711" t="s">
        <v>1486</v>
      </c>
      <c r="C112" s="711" t="s">
        <v>3449</v>
      </c>
      <c r="D112" s="711">
        <v>4500061373</v>
      </c>
      <c r="E112" s="711" t="s">
        <v>3391</v>
      </c>
      <c r="F112" s="712" t="s">
        <v>3414</v>
      </c>
      <c r="G112" s="711" t="s">
        <v>3415</v>
      </c>
      <c r="H112" s="711">
        <v>496</v>
      </c>
      <c r="I112" s="711">
        <v>0</v>
      </c>
      <c r="J112" s="711">
        <v>8</v>
      </c>
      <c r="K112" s="698">
        <f t="shared" si="61"/>
        <v>62</v>
      </c>
      <c r="L112" s="819">
        <v>0</v>
      </c>
      <c r="M112" s="757">
        <f>L112*H112</f>
        <v>0</v>
      </c>
      <c r="N112" s="777" t="s">
        <v>3450</v>
      </c>
      <c r="O112" s="778"/>
      <c r="P112" s="778"/>
      <c r="Q112" s="777"/>
      <c r="R112" s="777"/>
      <c r="S112" s="737"/>
      <c r="T112" s="759"/>
      <c r="U112" s="777" t="s">
        <v>3451</v>
      </c>
      <c r="V112" s="848"/>
      <c r="W112" s="744" t="s">
        <v>3396</v>
      </c>
      <c r="X112" s="744"/>
      <c r="Y112" s="744" t="s">
        <v>1427</v>
      </c>
      <c r="Z112" s="712"/>
      <c r="AA112" s="712" t="s">
        <v>3452</v>
      </c>
      <c r="AB112" s="778"/>
      <c r="AC112" s="712" t="s">
        <v>398</v>
      </c>
      <c r="AD112" s="711"/>
      <c r="AE112" s="711"/>
      <c r="AF112" s="776"/>
      <c r="AG112" s="776"/>
      <c r="AH112" s="776"/>
      <c r="AI112" s="776"/>
      <c r="AJ112" s="776"/>
      <c r="AK112" s="776"/>
      <c r="AL112" s="800"/>
      <c r="AM112" s="800"/>
      <c r="AN112" s="800"/>
      <c r="AO112" s="800"/>
      <c r="AP112" s="800"/>
      <c r="AQ112" s="800"/>
      <c r="AR112" s="800"/>
      <c r="AS112" s="800"/>
      <c r="AT112" s="776"/>
      <c r="AU112" s="776"/>
      <c r="AV112" s="776"/>
      <c r="AW112" s="716" t="s">
        <v>3453</v>
      </c>
      <c r="AX112" s="865"/>
      <c r="AY112" s="712"/>
    </row>
    <row r="113" s="694" customFormat="1" ht="24" customHeight="1" spans="1:51">
      <c r="A113" s="805">
        <v>44454</v>
      </c>
      <c r="B113" s="711" t="s">
        <v>1486</v>
      </c>
      <c r="C113" s="711" t="s">
        <v>3449</v>
      </c>
      <c r="D113" s="711">
        <v>4500061373</v>
      </c>
      <c r="E113" s="711" t="s">
        <v>3391</v>
      </c>
      <c r="F113" s="712" t="s">
        <v>3428</v>
      </c>
      <c r="G113" s="711" t="s">
        <v>3429</v>
      </c>
      <c r="H113" s="711">
        <v>498</v>
      </c>
      <c r="I113" s="711">
        <v>0</v>
      </c>
      <c r="J113" s="711">
        <v>6</v>
      </c>
      <c r="K113" s="698">
        <f t="shared" si="61"/>
        <v>83</v>
      </c>
      <c r="L113" s="819">
        <v>0</v>
      </c>
      <c r="M113" s="725">
        <f>L113*H113</f>
        <v>0</v>
      </c>
      <c r="N113" s="777" t="s">
        <v>3450</v>
      </c>
      <c r="O113" s="778"/>
      <c r="P113" s="778"/>
      <c r="Q113" s="777"/>
      <c r="R113" s="777"/>
      <c r="S113" s="737"/>
      <c r="T113" s="759"/>
      <c r="U113" s="777" t="s">
        <v>3451</v>
      </c>
      <c r="V113" s="835"/>
      <c r="W113" s="744" t="s">
        <v>3396</v>
      </c>
      <c r="X113" s="744"/>
      <c r="Y113" s="744" t="s">
        <v>1427</v>
      </c>
      <c r="Z113" s="712"/>
      <c r="AA113" s="712" t="s">
        <v>3454</v>
      </c>
      <c r="AB113" s="778"/>
      <c r="AC113" s="712" t="s">
        <v>398</v>
      </c>
      <c r="AD113" s="711"/>
      <c r="AE113" s="711"/>
      <c r="AF113" s="800"/>
      <c r="AG113" s="776"/>
      <c r="AH113" s="698"/>
      <c r="AI113" s="776"/>
      <c r="AJ113" s="776"/>
      <c r="AK113" s="776"/>
      <c r="AL113" s="800"/>
      <c r="AM113" s="800"/>
      <c r="AN113" s="800"/>
      <c r="AO113" s="800"/>
      <c r="AP113" s="800"/>
      <c r="AQ113" s="800"/>
      <c r="AR113" s="800"/>
      <c r="AS113" s="800"/>
      <c r="AT113" s="776"/>
      <c r="AU113" s="776"/>
      <c r="AV113" s="776"/>
      <c r="AW113" s="716" t="s">
        <v>3455</v>
      </c>
      <c r="AX113" s="865"/>
      <c r="AY113" s="712"/>
    </row>
    <row r="114" s="692" customFormat="1" ht="25" customHeight="1" spans="1:47">
      <c r="A114" s="810">
        <v>44503</v>
      </c>
      <c r="B114" s="815" t="s">
        <v>2076</v>
      </c>
      <c r="C114" s="816" t="s">
        <v>3456</v>
      </c>
      <c r="D114" s="817">
        <v>4500065189</v>
      </c>
      <c r="E114" s="696" t="s">
        <v>3457</v>
      </c>
      <c r="F114" s="712" t="s">
        <v>55</v>
      </c>
      <c r="G114" s="806" t="s">
        <v>603</v>
      </c>
      <c r="H114" s="818">
        <v>5400</v>
      </c>
      <c r="I114" s="530">
        <v>0</v>
      </c>
      <c r="J114" s="712">
        <v>6</v>
      </c>
      <c r="K114" s="698">
        <f t="shared" si="61"/>
        <v>900</v>
      </c>
      <c r="L114" s="724">
        <v>0</v>
      </c>
      <c r="M114" s="724">
        <f>L114*H114</f>
        <v>0</v>
      </c>
      <c r="N114" s="829" t="s">
        <v>3458</v>
      </c>
      <c r="O114" s="832"/>
      <c r="P114" s="832"/>
      <c r="Q114" s="829"/>
      <c r="R114" s="829"/>
      <c r="S114" s="828"/>
      <c r="T114" s="828"/>
      <c r="U114" s="829" t="s">
        <v>3459</v>
      </c>
      <c r="V114" s="837"/>
      <c r="W114" s="766">
        <v>44508</v>
      </c>
      <c r="X114" s="766"/>
      <c r="Y114" s="766">
        <v>44505</v>
      </c>
      <c r="Z114" s="696"/>
      <c r="AA114" s="815" t="s">
        <v>3460</v>
      </c>
      <c r="AB114" s="746"/>
      <c r="AC114" s="785" t="s">
        <v>91</v>
      </c>
      <c r="AD114" s="746"/>
      <c r="AE114" s="746"/>
      <c r="AF114" s="694">
        <f>H114</f>
        <v>5400</v>
      </c>
      <c r="AG114" s="776"/>
      <c r="AH114" s="776"/>
      <c r="AI114" s="746">
        <f>H114</f>
        <v>5400</v>
      </c>
      <c r="AJ114" s="786"/>
      <c r="AK114" s="786"/>
      <c r="AL114" s="786"/>
      <c r="AM114" s="786"/>
      <c r="AN114" s="786"/>
      <c r="AO114" s="786"/>
      <c r="AP114" s="746"/>
      <c r="AQ114" s="746">
        <f>H114</f>
        <v>5400</v>
      </c>
      <c r="AR114" s="746"/>
      <c r="AS114" s="746"/>
      <c r="AT114" s="746"/>
      <c r="AU114" s="795" t="s">
        <v>3461</v>
      </c>
    </row>
    <row r="115" s="692" customFormat="1" ht="28" customHeight="1" spans="1:47">
      <c r="A115" s="810">
        <v>44503</v>
      </c>
      <c r="B115" s="815" t="s">
        <v>2076</v>
      </c>
      <c r="C115" s="816" t="s">
        <v>3462</v>
      </c>
      <c r="D115" s="817">
        <v>4500065191</v>
      </c>
      <c r="E115" s="696" t="s">
        <v>3457</v>
      </c>
      <c r="F115" s="712" t="s">
        <v>55</v>
      </c>
      <c r="G115" s="806" t="s">
        <v>603</v>
      </c>
      <c r="H115" s="818">
        <v>2340</v>
      </c>
      <c r="I115" s="530">
        <v>0</v>
      </c>
      <c r="J115" s="712">
        <v>6</v>
      </c>
      <c r="K115" s="698">
        <f t="shared" si="61"/>
        <v>390</v>
      </c>
      <c r="L115" s="724">
        <v>0</v>
      </c>
      <c r="M115" s="724">
        <f>L115*H115</f>
        <v>0</v>
      </c>
      <c r="N115" s="829" t="s">
        <v>3463</v>
      </c>
      <c r="O115" s="832"/>
      <c r="P115" s="832"/>
      <c r="Q115" s="829"/>
      <c r="R115" s="829"/>
      <c r="S115" s="828"/>
      <c r="T115" s="828"/>
      <c r="U115" s="829" t="s">
        <v>3464</v>
      </c>
      <c r="V115" s="837"/>
      <c r="W115" s="766">
        <v>44508</v>
      </c>
      <c r="X115" s="766"/>
      <c r="Y115" s="766">
        <v>44505</v>
      </c>
      <c r="Z115" s="696"/>
      <c r="AA115" s="815" t="s">
        <v>3460</v>
      </c>
      <c r="AB115" s="746"/>
      <c r="AC115" s="785" t="s">
        <v>91</v>
      </c>
      <c r="AD115" s="746"/>
      <c r="AE115" s="746"/>
      <c r="AF115" s="694">
        <f>H115</f>
        <v>2340</v>
      </c>
      <c r="AG115" s="776"/>
      <c r="AH115" s="776"/>
      <c r="AI115" s="746">
        <f>H115</f>
        <v>2340</v>
      </c>
      <c r="AJ115" s="786"/>
      <c r="AK115" s="786"/>
      <c r="AL115" s="786"/>
      <c r="AM115" s="786"/>
      <c r="AN115" s="786"/>
      <c r="AO115" s="786"/>
      <c r="AP115" s="746"/>
      <c r="AQ115" s="746">
        <f>H115</f>
        <v>2340</v>
      </c>
      <c r="AR115" s="746"/>
      <c r="AS115" s="746"/>
      <c r="AT115" s="746"/>
      <c r="AU115" s="795" t="s">
        <v>3461</v>
      </c>
    </row>
    <row r="116" s="697" customFormat="1" ht="12"/>
    <row r="117" s="694" customFormat="1" ht="25" customHeight="1" spans="1:256">
      <c r="A117" s="805">
        <v>44400</v>
      </c>
      <c r="B117" s="711" t="s">
        <v>3465</v>
      </c>
      <c r="C117" s="711">
        <v>4400247084</v>
      </c>
      <c r="D117" s="711">
        <v>4500057788</v>
      </c>
      <c r="E117" s="711" t="s">
        <v>1775</v>
      </c>
      <c r="F117" s="712" t="s">
        <v>3247</v>
      </c>
      <c r="G117" s="710" t="s">
        <v>3246</v>
      </c>
      <c r="H117" s="711">
        <v>7644</v>
      </c>
      <c r="I117" s="711">
        <v>0</v>
      </c>
      <c r="J117" s="711">
        <v>6</v>
      </c>
      <c r="K117" s="698">
        <f t="shared" ref="K117:K167" si="79">H117/J117</f>
        <v>1274</v>
      </c>
      <c r="L117" s="819">
        <v>0</v>
      </c>
      <c r="M117" s="820">
        <f t="shared" ref="M117:M123" si="80">L117*H117</f>
        <v>0</v>
      </c>
      <c r="N117" s="777" t="s">
        <v>3466</v>
      </c>
      <c r="O117" s="777"/>
      <c r="P117" s="777"/>
      <c r="Q117" s="770"/>
      <c r="R117" s="770"/>
      <c r="S117" s="777" t="s">
        <v>3467</v>
      </c>
      <c r="T117" s="705"/>
      <c r="U117" s="705" t="s">
        <v>1427</v>
      </c>
      <c r="V117" s="744" t="s">
        <v>58</v>
      </c>
      <c r="W117" s="744" t="s">
        <v>3468</v>
      </c>
      <c r="X117" s="778"/>
      <c r="Y117" s="712" t="s">
        <v>3255</v>
      </c>
      <c r="Z117" s="711"/>
      <c r="AA117" s="711"/>
      <c r="AB117" s="711">
        <f t="shared" ref="AB117:AB123" si="81">H117</f>
        <v>7644</v>
      </c>
      <c r="AC117" s="800"/>
      <c r="AD117" s="800"/>
      <c r="AE117" s="800"/>
      <c r="AF117" s="800"/>
      <c r="AG117" s="800"/>
      <c r="AH117" s="779">
        <f t="shared" ref="AH117:AH123" si="82">H117</f>
        <v>7644</v>
      </c>
      <c r="AI117" s="779">
        <f t="shared" ref="AI117:AI123" si="83">H117</f>
        <v>7644</v>
      </c>
      <c r="AJ117" s="779"/>
      <c r="AK117" s="769" t="s">
        <v>3469</v>
      </c>
      <c r="AL117" s="769"/>
      <c r="AM117" s="698"/>
      <c r="AN117" s="698"/>
      <c r="AO117" s="711"/>
      <c r="AP117" s="698"/>
      <c r="AQ117" s="698"/>
      <c r="AR117" s="698"/>
      <c r="AS117" s="698"/>
      <c r="AT117" s="698"/>
      <c r="AU117" s="698"/>
      <c r="AV117" s="698"/>
      <c r="AW117" s="698"/>
      <c r="AX117" s="698"/>
      <c r="AY117" s="698"/>
      <c r="AZ117" s="698"/>
      <c r="BA117" s="698"/>
      <c r="BB117" s="698"/>
      <c r="BC117" s="698"/>
      <c r="BD117" s="698"/>
      <c r="BE117" s="698"/>
      <c r="BF117" s="698"/>
      <c r="BG117" s="698"/>
      <c r="BH117" s="698"/>
      <c r="BI117" s="698"/>
      <c r="BJ117" s="698"/>
      <c r="BK117" s="698"/>
      <c r="BL117" s="698"/>
      <c r="BM117" s="698"/>
      <c r="BN117" s="698"/>
      <c r="BO117" s="698"/>
      <c r="BP117" s="698"/>
      <c r="BQ117" s="698"/>
      <c r="BR117" s="698"/>
      <c r="BS117" s="698"/>
      <c r="BT117" s="698"/>
      <c r="BU117" s="698"/>
      <c r="BV117" s="698"/>
      <c r="BW117" s="698"/>
      <c r="BX117" s="698"/>
      <c r="BY117" s="698"/>
      <c r="BZ117" s="698"/>
      <c r="CA117" s="698"/>
      <c r="CB117" s="698"/>
      <c r="CC117" s="698"/>
      <c r="CD117" s="698"/>
      <c r="CE117" s="698"/>
      <c r="CF117" s="698"/>
      <c r="CG117" s="698"/>
      <c r="CH117" s="698"/>
      <c r="CI117" s="698"/>
      <c r="CJ117" s="698"/>
      <c r="CK117" s="698"/>
      <c r="CL117" s="698"/>
      <c r="CM117" s="698"/>
      <c r="CN117" s="698"/>
      <c r="CO117" s="698"/>
      <c r="CP117" s="698"/>
      <c r="CQ117" s="698"/>
      <c r="CR117" s="698"/>
      <c r="CS117" s="698"/>
      <c r="CT117" s="698"/>
      <c r="CU117" s="698"/>
      <c r="CV117" s="698"/>
      <c r="CW117" s="698"/>
      <c r="CX117" s="698"/>
      <c r="CY117" s="698"/>
      <c r="CZ117" s="698"/>
      <c r="DA117" s="698"/>
      <c r="DB117" s="698"/>
      <c r="DC117" s="698"/>
      <c r="DD117" s="698"/>
      <c r="DE117" s="698"/>
      <c r="DF117" s="698"/>
      <c r="DG117" s="698"/>
      <c r="DH117" s="698"/>
      <c r="DI117" s="698"/>
      <c r="DJ117" s="698"/>
      <c r="DK117" s="698"/>
      <c r="DL117" s="698"/>
      <c r="DM117" s="698"/>
      <c r="DN117" s="698"/>
      <c r="DO117" s="698"/>
      <c r="DP117" s="698"/>
      <c r="DQ117" s="698"/>
      <c r="DR117" s="698"/>
      <c r="DS117" s="698"/>
      <c r="DT117" s="698"/>
      <c r="DU117" s="698"/>
      <c r="DV117" s="698"/>
      <c r="DW117" s="698"/>
      <c r="DX117" s="698"/>
      <c r="DY117" s="698"/>
      <c r="DZ117" s="698"/>
      <c r="EA117" s="698"/>
      <c r="EB117" s="698"/>
      <c r="EC117" s="698"/>
      <c r="ED117" s="698"/>
      <c r="EE117" s="698"/>
      <c r="EF117" s="698"/>
      <c r="EG117" s="698"/>
      <c r="EH117" s="698"/>
      <c r="EI117" s="698"/>
      <c r="EJ117" s="698"/>
      <c r="EK117" s="698"/>
      <c r="EL117" s="698"/>
      <c r="EM117" s="698"/>
      <c r="EN117" s="698"/>
      <c r="EO117" s="698"/>
      <c r="EP117" s="698"/>
      <c r="EQ117" s="698"/>
      <c r="ER117" s="698"/>
      <c r="ES117" s="698"/>
      <c r="ET117" s="698"/>
      <c r="EU117" s="698"/>
      <c r="EV117" s="698"/>
      <c r="EW117" s="698"/>
      <c r="EX117" s="698"/>
      <c r="EY117" s="698"/>
      <c r="EZ117" s="698"/>
      <c r="FA117" s="698"/>
      <c r="FB117" s="698"/>
      <c r="FC117" s="698"/>
      <c r="FD117" s="698"/>
      <c r="FE117" s="698"/>
      <c r="FF117" s="698"/>
      <c r="FG117" s="698"/>
      <c r="FH117" s="698"/>
      <c r="FI117" s="698"/>
      <c r="FJ117" s="698"/>
      <c r="FK117" s="698"/>
      <c r="FL117" s="698"/>
      <c r="FM117" s="698"/>
      <c r="FN117" s="698"/>
      <c r="FO117" s="698"/>
      <c r="FP117" s="698"/>
      <c r="FQ117" s="698"/>
      <c r="FR117" s="698"/>
      <c r="FS117" s="698"/>
      <c r="FT117" s="698"/>
      <c r="FU117" s="698"/>
      <c r="FV117" s="698"/>
      <c r="FW117" s="698"/>
      <c r="FX117" s="698"/>
      <c r="FY117" s="698"/>
      <c r="FZ117" s="698"/>
      <c r="GA117" s="698"/>
      <c r="GB117" s="698"/>
      <c r="GC117" s="698"/>
      <c r="GD117" s="698"/>
      <c r="GE117" s="698"/>
      <c r="GF117" s="698"/>
      <c r="GG117" s="698"/>
      <c r="GH117" s="698"/>
      <c r="GI117" s="698"/>
      <c r="GJ117" s="698"/>
      <c r="GK117" s="698"/>
      <c r="GL117" s="698"/>
      <c r="GM117" s="698"/>
      <c r="GN117" s="698"/>
      <c r="GO117" s="698"/>
      <c r="GP117" s="698"/>
      <c r="GQ117" s="698"/>
      <c r="GR117" s="698"/>
      <c r="GS117" s="698"/>
      <c r="GT117" s="698"/>
      <c r="GU117" s="698"/>
      <c r="GV117" s="698"/>
      <c r="GW117" s="698"/>
      <c r="GX117" s="698"/>
      <c r="GY117" s="698"/>
      <c r="GZ117" s="698"/>
      <c r="HA117" s="698"/>
      <c r="HB117" s="698"/>
      <c r="HC117" s="698"/>
      <c r="HD117" s="698"/>
      <c r="HE117" s="698"/>
      <c r="HF117" s="698"/>
      <c r="HG117" s="698"/>
      <c r="HH117" s="698"/>
      <c r="HI117" s="698"/>
      <c r="HJ117" s="698"/>
      <c r="HK117" s="698"/>
      <c r="HL117" s="698"/>
      <c r="HM117" s="698"/>
      <c r="HN117" s="698"/>
      <c r="HO117" s="698"/>
      <c r="HP117" s="698"/>
      <c r="HQ117" s="698"/>
      <c r="HR117" s="698"/>
      <c r="HS117" s="698"/>
      <c r="HT117" s="698"/>
      <c r="HU117" s="698"/>
      <c r="HV117" s="698"/>
      <c r="HW117" s="698"/>
      <c r="HX117" s="698"/>
      <c r="HY117" s="698"/>
      <c r="HZ117" s="698"/>
      <c r="IA117" s="799"/>
      <c r="IB117" s="799"/>
      <c r="IC117" s="799"/>
      <c r="ID117" s="799"/>
      <c r="IE117" s="799"/>
      <c r="IF117" s="799"/>
      <c r="IG117" s="799"/>
      <c r="IH117" s="799"/>
      <c r="II117" s="799"/>
      <c r="IJ117" s="799"/>
      <c r="IK117" s="799"/>
      <c r="IL117" s="799"/>
      <c r="IM117" s="799"/>
      <c r="IN117" s="799"/>
      <c r="IO117" s="799"/>
      <c r="IP117" s="799"/>
      <c r="IQ117" s="799"/>
      <c r="IR117" s="799"/>
      <c r="IS117" s="799"/>
      <c r="IT117" s="699"/>
      <c r="IU117" s="699"/>
      <c r="IV117" s="699"/>
    </row>
    <row r="118" s="694" customFormat="1" ht="25" customHeight="1" spans="1:256">
      <c r="A118" s="805">
        <v>44400</v>
      </c>
      <c r="B118" s="711" t="s">
        <v>3465</v>
      </c>
      <c r="C118" s="711">
        <v>4400233364</v>
      </c>
      <c r="D118" s="711">
        <v>4500057788</v>
      </c>
      <c r="E118" s="711" t="s">
        <v>1775</v>
      </c>
      <c r="F118" s="712" t="s">
        <v>3247</v>
      </c>
      <c r="G118" s="710" t="s">
        <v>3246</v>
      </c>
      <c r="H118" s="711">
        <v>6588</v>
      </c>
      <c r="I118" s="711">
        <v>0</v>
      </c>
      <c r="J118" s="711">
        <v>6</v>
      </c>
      <c r="K118" s="698">
        <f t="shared" si="79"/>
        <v>1098</v>
      </c>
      <c r="L118" s="819">
        <v>0</v>
      </c>
      <c r="M118" s="820">
        <f t="shared" si="80"/>
        <v>0</v>
      </c>
      <c r="N118" s="777" t="s">
        <v>3470</v>
      </c>
      <c r="O118" s="777"/>
      <c r="P118" s="777"/>
      <c r="Q118" s="770"/>
      <c r="R118" s="770"/>
      <c r="S118" s="777" t="s">
        <v>3471</v>
      </c>
      <c r="T118" s="705"/>
      <c r="U118" s="705" t="s">
        <v>1427</v>
      </c>
      <c r="V118" s="744" t="s">
        <v>58</v>
      </c>
      <c r="W118" s="744" t="s">
        <v>3468</v>
      </c>
      <c r="X118" s="778"/>
      <c r="Y118" s="712" t="s">
        <v>3255</v>
      </c>
      <c r="Z118" s="711"/>
      <c r="AA118" s="711"/>
      <c r="AB118" s="711">
        <f t="shared" si="81"/>
        <v>6588</v>
      </c>
      <c r="AC118" s="800"/>
      <c r="AD118" s="800"/>
      <c r="AE118" s="800"/>
      <c r="AF118" s="800"/>
      <c r="AG118" s="800"/>
      <c r="AH118" s="779">
        <f t="shared" si="82"/>
        <v>6588</v>
      </c>
      <c r="AI118" s="779">
        <f t="shared" si="83"/>
        <v>6588</v>
      </c>
      <c r="AJ118" s="779"/>
      <c r="AK118" s="769" t="s">
        <v>3469</v>
      </c>
      <c r="AL118" s="769"/>
      <c r="AM118" s="698"/>
      <c r="AN118" s="698"/>
      <c r="AO118" s="711"/>
      <c r="AP118" s="698"/>
      <c r="AQ118" s="698"/>
      <c r="AR118" s="698"/>
      <c r="AS118" s="698"/>
      <c r="AT118" s="698"/>
      <c r="AU118" s="698"/>
      <c r="AV118" s="698"/>
      <c r="AW118" s="698"/>
      <c r="AX118" s="698"/>
      <c r="AY118" s="698"/>
      <c r="AZ118" s="698"/>
      <c r="BA118" s="698"/>
      <c r="BB118" s="698"/>
      <c r="BC118" s="698"/>
      <c r="BD118" s="698"/>
      <c r="BE118" s="698"/>
      <c r="BF118" s="698"/>
      <c r="BG118" s="698"/>
      <c r="BH118" s="698"/>
      <c r="BI118" s="698"/>
      <c r="BJ118" s="698"/>
      <c r="BK118" s="698"/>
      <c r="BL118" s="698"/>
      <c r="BM118" s="698"/>
      <c r="BN118" s="698"/>
      <c r="BO118" s="698"/>
      <c r="BP118" s="698"/>
      <c r="BQ118" s="698"/>
      <c r="BR118" s="698"/>
      <c r="BS118" s="698"/>
      <c r="BT118" s="698"/>
      <c r="BU118" s="698"/>
      <c r="BV118" s="698"/>
      <c r="BW118" s="698"/>
      <c r="BX118" s="698"/>
      <c r="BY118" s="698"/>
      <c r="BZ118" s="698"/>
      <c r="CA118" s="698"/>
      <c r="CB118" s="698"/>
      <c r="CC118" s="698"/>
      <c r="CD118" s="698"/>
      <c r="CE118" s="698"/>
      <c r="CF118" s="698"/>
      <c r="CG118" s="698"/>
      <c r="CH118" s="698"/>
      <c r="CI118" s="698"/>
      <c r="CJ118" s="698"/>
      <c r="CK118" s="698"/>
      <c r="CL118" s="698"/>
      <c r="CM118" s="698"/>
      <c r="CN118" s="698"/>
      <c r="CO118" s="698"/>
      <c r="CP118" s="698"/>
      <c r="CQ118" s="698"/>
      <c r="CR118" s="698"/>
      <c r="CS118" s="698"/>
      <c r="CT118" s="698"/>
      <c r="CU118" s="698"/>
      <c r="CV118" s="698"/>
      <c r="CW118" s="698"/>
      <c r="CX118" s="698"/>
      <c r="CY118" s="698"/>
      <c r="CZ118" s="698"/>
      <c r="DA118" s="698"/>
      <c r="DB118" s="698"/>
      <c r="DC118" s="698"/>
      <c r="DD118" s="698"/>
      <c r="DE118" s="698"/>
      <c r="DF118" s="698"/>
      <c r="DG118" s="698"/>
      <c r="DH118" s="698"/>
      <c r="DI118" s="698"/>
      <c r="DJ118" s="698"/>
      <c r="DK118" s="698"/>
      <c r="DL118" s="698"/>
      <c r="DM118" s="698"/>
      <c r="DN118" s="698"/>
      <c r="DO118" s="698"/>
      <c r="DP118" s="698"/>
      <c r="DQ118" s="698"/>
      <c r="DR118" s="698"/>
      <c r="DS118" s="698"/>
      <c r="DT118" s="698"/>
      <c r="DU118" s="698"/>
      <c r="DV118" s="698"/>
      <c r="DW118" s="698"/>
      <c r="DX118" s="698"/>
      <c r="DY118" s="698"/>
      <c r="DZ118" s="698"/>
      <c r="EA118" s="698"/>
      <c r="EB118" s="698"/>
      <c r="EC118" s="698"/>
      <c r="ED118" s="698"/>
      <c r="EE118" s="698"/>
      <c r="EF118" s="698"/>
      <c r="EG118" s="698"/>
      <c r="EH118" s="698"/>
      <c r="EI118" s="698"/>
      <c r="EJ118" s="698"/>
      <c r="EK118" s="698"/>
      <c r="EL118" s="698"/>
      <c r="EM118" s="698"/>
      <c r="EN118" s="698"/>
      <c r="EO118" s="698"/>
      <c r="EP118" s="698"/>
      <c r="EQ118" s="698"/>
      <c r="ER118" s="698"/>
      <c r="ES118" s="698"/>
      <c r="ET118" s="698"/>
      <c r="EU118" s="698"/>
      <c r="EV118" s="698"/>
      <c r="EW118" s="698"/>
      <c r="EX118" s="698"/>
      <c r="EY118" s="698"/>
      <c r="EZ118" s="698"/>
      <c r="FA118" s="698"/>
      <c r="FB118" s="698"/>
      <c r="FC118" s="698"/>
      <c r="FD118" s="698"/>
      <c r="FE118" s="698"/>
      <c r="FF118" s="698"/>
      <c r="FG118" s="698"/>
      <c r="FH118" s="698"/>
      <c r="FI118" s="698"/>
      <c r="FJ118" s="698"/>
      <c r="FK118" s="698"/>
      <c r="FL118" s="698"/>
      <c r="FM118" s="698"/>
      <c r="FN118" s="698"/>
      <c r="FO118" s="698"/>
      <c r="FP118" s="698"/>
      <c r="FQ118" s="698"/>
      <c r="FR118" s="698"/>
      <c r="FS118" s="698"/>
      <c r="FT118" s="698"/>
      <c r="FU118" s="698"/>
      <c r="FV118" s="698"/>
      <c r="FW118" s="698"/>
      <c r="FX118" s="698"/>
      <c r="FY118" s="698"/>
      <c r="FZ118" s="698"/>
      <c r="GA118" s="698"/>
      <c r="GB118" s="698"/>
      <c r="GC118" s="698"/>
      <c r="GD118" s="698"/>
      <c r="GE118" s="698"/>
      <c r="GF118" s="698"/>
      <c r="GG118" s="698"/>
      <c r="GH118" s="698"/>
      <c r="GI118" s="698"/>
      <c r="GJ118" s="698"/>
      <c r="GK118" s="698"/>
      <c r="GL118" s="698"/>
      <c r="GM118" s="698"/>
      <c r="GN118" s="698"/>
      <c r="GO118" s="698"/>
      <c r="GP118" s="698"/>
      <c r="GQ118" s="698"/>
      <c r="GR118" s="698"/>
      <c r="GS118" s="698"/>
      <c r="GT118" s="698"/>
      <c r="GU118" s="698"/>
      <c r="GV118" s="698"/>
      <c r="GW118" s="698"/>
      <c r="GX118" s="698"/>
      <c r="GY118" s="698"/>
      <c r="GZ118" s="698"/>
      <c r="HA118" s="698"/>
      <c r="HB118" s="698"/>
      <c r="HC118" s="698"/>
      <c r="HD118" s="698"/>
      <c r="HE118" s="698"/>
      <c r="HF118" s="698"/>
      <c r="HG118" s="698"/>
      <c r="HH118" s="698"/>
      <c r="HI118" s="698"/>
      <c r="HJ118" s="698"/>
      <c r="HK118" s="698"/>
      <c r="HL118" s="698"/>
      <c r="HM118" s="698"/>
      <c r="HN118" s="698"/>
      <c r="HO118" s="698"/>
      <c r="HP118" s="698"/>
      <c r="HQ118" s="698"/>
      <c r="HR118" s="698"/>
      <c r="HS118" s="698"/>
      <c r="HT118" s="698"/>
      <c r="HU118" s="698"/>
      <c r="HV118" s="698"/>
      <c r="HW118" s="698"/>
      <c r="HX118" s="698"/>
      <c r="HY118" s="698"/>
      <c r="HZ118" s="698"/>
      <c r="IA118" s="799"/>
      <c r="IB118" s="799"/>
      <c r="IC118" s="799"/>
      <c r="ID118" s="799"/>
      <c r="IE118" s="799"/>
      <c r="IF118" s="799"/>
      <c r="IG118" s="799"/>
      <c r="IH118" s="799"/>
      <c r="II118" s="799"/>
      <c r="IJ118" s="799"/>
      <c r="IK118" s="799"/>
      <c r="IL118" s="799"/>
      <c r="IM118" s="799"/>
      <c r="IN118" s="799"/>
      <c r="IO118" s="799"/>
      <c r="IP118" s="799"/>
      <c r="IQ118" s="799"/>
      <c r="IR118" s="799"/>
      <c r="IS118" s="799"/>
      <c r="IT118" s="699"/>
      <c r="IU118" s="699"/>
      <c r="IV118" s="699"/>
    </row>
    <row r="119" s="694" customFormat="1" ht="25" customHeight="1" spans="1:256">
      <c r="A119" s="805">
        <v>44400</v>
      </c>
      <c r="B119" s="711" t="s">
        <v>3465</v>
      </c>
      <c r="C119" s="711">
        <v>4400375656</v>
      </c>
      <c r="D119" s="711">
        <v>4500057788</v>
      </c>
      <c r="E119" s="711" t="s">
        <v>1775</v>
      </c>
      <c r="F119" s="712" t="s">
        <v>3247</v>
      </c>
      <c r="G119" s="710" t="s">
        <v>3246</v>
      </c>
      <c r="H119" s="711">
        <v>7644</v>
      </c>
      <c r="I119" s="711">
        <v>0</v>
      </c>
      <c r="J119" s="711">
        <v>6</v>
      </c>
      <c r="K119" s="698">
        <f t="shared" si="79"/>
        <v>1274</v>
      </c>
      <c r="L119" s="819">
        <v>0</v>
      </c>
      <c r="M119" s="820">
        <f t="shared" si="80"/>
        <v>0</v>
      </c>
      <c r="N119" s="777" t="s">
        <v>3470</v>
      </c>
      <c r="O119" s="777"/>
      <c r="P119" s="777"/>
      <c r="Q119" s="770"/>
      <c r="R119" s="770"/>
      <c r="S119" s="777" t="s">
        <v>3471</v>
      </c>
      <c r="T119" s="705"/>
      <c r="U119" s="705" t="s">
        <v>1427</v>
      </c>
      <c r="V119" s="744" t="s">
        <v>58</v>
      </c>
      <c r="W119" s="744" t="s">
        <v>3468</v>
      </c>
      <c r="X119" s="778"/>
      <c r="Y119" s="712" t="s">
        <v>3255</v>
      </c>
      <c r="Z119" s="711"/>
      <c r="AA119" s="711"/>
      <c r="AB119" s="711">
        <f t="shared" si="81"/>
        <v>7644</v>
      </c>
      <c r="AC119" s="800"/>
      <c r="AD119" s="800"/>
      <c r="AE119" s="800"/>
      <c r="AF119" s="800"/>
      <c r="AG119" s="800"/>
      <c r="AH119" s="779">
        <f t="shared" si="82"/>
        <v>7644</v>
      </c>
      <c r="AI119" s="779">
        <f t="shared" si="83"/>
        <v>7644</v>
      </c>
      <c r="AJ119" s="779"/>
      <c r="AK119" s="769" t="s">
        <v>3469</v>
      </c>
      <c r="AL119" s="769"/>
      <c r="AM119" s="698"/>
      <c r="AN119" s="698"/>
      <c r="AO119" s="711"/>
      <c r="AP119" s="698"/>
      <c r="AQ119" s="698"/>
      <c r="AR119" s="698"/>
      <c r="AS119" s="698"/>
      <c r="AT119" s="698"/>
      <c r="AU119" s="698"/>
      <c r="AV119" s="698"/>
      <c r="AW119" s="698"/>
      <c r="AX119" s="698"/>
      <c r="AY119" s="698"/>
      <c r="AZ119" s="698"/>
      <c r="BA119" s="698"/>
      <c r="BB119" s="698"/>
      <c r="BC119" s="698"/>
      <c r="BD119" s="698"/>
      <c r="BE119" s="698"/>
      <c r="BF119" s="698"/>
      <c r="BG119" s="698"/>
      <c r="BH119" s="698"/>
      <c r="BI119" s="698"/>
      <c r="BJ119" s="698"/>
      <c r="BK119" s="698"/>
      <c r="BL119" s="698"/>
      <c r="BM119" s="698"/>
      <c r="BN119" s="698"/>
      <c r="BO119" s="698"/>
      <c r="BP119" s="698"/>
      <c r="BQ119" s="698"/>
      <c r="BR119" s="698"/>
      <c r="BS119" s="698"/>
      <c r="BT119" s="698"/>
      <c r="BU119" s="698"/>
      <c r="BV119" s="698"/>
      <c r="BW119" s="698"/>
      <c r="BX119" s="698"/>
      <c r="BY119" s="698"/>
      <c r="BZ119" s="698"/>
      <c r="CA119" s="698"/>
      <c r="CB119" s="698"/>
      <c r="CC119" s="698"/>
      <c r="CD119" s="698"/>
      <c r="CE119" s="698"/>
      <c r="CF119" s="698"/>
      <c r="CG119" s="698"/>
      <c r="CH119" s="698"/>
      <c r="CI119" s="698"/>
      <c r="CJ119" s="698"/>
      <c r="CK119" s="698"/>
      <c r="CL119" s="698"/>
      <c r="CM119" s="698"/>
      <c r="CN119" s="698"/>
      <c r="CO119" s="698"/>
      <c r="CP119" s="698"/>
      <c r="CQ119" s="698"/>
      <c r="CR119" s="698"/>
      <c r="CS119" s="698"/>
      <c r="CT119" s="698"/>
      <c r="CU119" s="698"/>
      <c r="CV119" s="698"/>
      <c r="CW119" s="698"/>
      <c r="CX119" s="698"/>
      <c r="CY119" s="698"/>
      <c r="CZ119" s="698"/>
      <c r="DA119" s="698"/>
      <c r="DB119" s="698"/>
      <c r="DC119" s="698"/>
      <c r="DD119" s="698"/>
      <c r="DE119" s="698"/>
      <c r="DF119" s="698"/>
      <c r="DG119" s="698"/>
      <c r="DH119" s="698"/>
      <c r="DI119" s="698"/>
      <c r="DJ119" s="698"/>
      <c r="DK119" s="698"/>
      <c r="DL119" s="698"/>
      <c r="DM119" s="698"/>
      <c r="DN119" s="698"/>
      <c r="DO119" s="698"/>
      <c r="DP119" s="698"/>
      <c r="DQ119" s="698"/>
      <c r="DR119" s="698"/>
      <c r="DS119" s="698"/>
      <c r="DT119" s="698"/>
      <c r="DU119" s="698"/>
      <c r="DV119" s="698"/>
      <c r="DW119" s="698"/>
      <c r="DX119" s="698"/>
      <c r="DY119" s="698"/>
      <c r="DZ119" s="698"/>
      <c r="EA119" s="698"/>
      <c r="EB119" s="698"/>
      <c r="EC119" s="698"/>
      <c r="ED119" s="698"/>
      <c r="EE119" s="698"/>
      <c r="EF119" s="698"/>
      <c r="EG119" s="698"/>
      <c r="EH119" s="698"/>
      <c r="EI119" s="698"/>
      <c r="EJ119" s="698"/>
      <c r="EK119" s="698"/>
      <c r="EL119" s="698"/>
      <c r="EM119" s="698"/>
      <c r="EN119" s="698"/>
      <c r="EO119" s="698"/>
      <c r="EP119" s="698"/>
      <c r="EQ119" s="698"/>
      <c r="ER119" s="698"/>
      <c r="ES119" s="698"/>
      <c r="ET119" s="698"/>
      <c r="EU119" s="698"/>
      <c r="EV119" s="698"/>
      <c r="EW119" s="698"/>
      <c r="EX119" s="698"/>
      <c r="EY119" s="698"/>
      <c r="EZ119" s="698"/>
      <c r="FA119" s="698"/>
      <c r="FB119" s="698"/>
      <c r="FC119" s="698"/>
      <c r="FD119" s="698"/>
      <c r="FE119" s="698"/>
      <c r="FF119" s="698"/>
      <c r="FG119" s="698"/>
      <c r="FH119" s="698"/>
      <c r="FI119" s="698"/>
      <c r="FJ119" s="698"/>
      <c r="FK119" s="698"/>
      <c r="FL119" s="698"/>
      <c r="FM119" s="698"/>
      <c r="FN119" s="698"/>
      <c r="FO119" s="698"/>
      <c r="FP119" s="698"/>
      <c r="FQ119" s="698"/>
      <c r="FR119" s="698"/>
      <c r="FS119" s="698"/>
      <c r="FT119" s="698"/>
      <c r="FU119" s="698"/>
      <c r="FV119" s="698"/>
      <c r="FW119" s="698"/>
      <c r="FX119" s="698"/>
      <c r="FY119" s="698"/>
      <c r="FZ119" s="698"/>
      <c r="GA119" s="698"/>
      <c r="GB119" s="698"/>
      <c r="GC119" s="698"/>
      <c r="GD119" s="698"/>
      <c r="GE119" s="698"/>
      <c r="GF119" s="698"/>
      <c r="GG119" s="698"/>
      <c r="GH119" s="698"/>
      <c r="GI119" s="698"/>
      <c r="GJ119" s="698"/>
      <c r="GK119" s="698"/>
      <c r="GL119" s="698"/>
      <c r="GM119" s="698"/>
      <c r="GN119" s="698"/>
      <c r="GO119" s="698"/>
      <c r="GP119" s="698"/>
      <c r="GQ119" s="698"/>
      <c r="GR119" s="698"/>
      <c r="GS119" s="698"/>
      <c r="GT119" s="698"/>
      <c r="GU119" s="698"/>
      <c r="GV119" s="698"/>
      <c r="GW119" s="698"/>
      <c r="GX119" s="698"/>
      <c r="GY119" s="698"/>
      <c r="GZ119" s="698"/>
      <c r="HA119" s="698"/>
      <c r="HB119" s="698"/>
      <c r="HC119" s="698"/>
      <c r="HD119" s="698"/>
      <c r="HE119" s="698"/>
      <c r="HF119" s="698"/>
      <c r="HG119" s="698"/>
      <c r="HH119" s="698"/>
      <c r="HI119" s="698"/>
      <c r="HJ119" s="698"/>
      <c r="HK119" s="698"/>
      <c r="HL119" s="698"/>
      <c r="HM119" s="698"/>
      <c r="HN119" s="698"/>
      <c r="HO119" s="698"/>
      <c r="HP119" s="698"/>
      <c r="HQ119" s="698"/>
      <c r="HR119" s="698"/>
      <c r="HS119" s="698"/>
      <c r="HT119" s="698"/>
      <c r="HU119" s="698"/>
      <c r="HV119" s="698"/>
      <c r="HW119" s="698"/>
      <c r="HX119" s="698"/>
      <c r="HY119" s="698"/>
      <c r="HZ119" s="698"/>
      <c r="IA119" s="799"/>
      <c r="IB119" s="799"/>
      <c r="IC119" s="799"/>
      <c r="ID119" s="799"/>
      <c r="IE119" s="799"/>
      <c r="IF119" s="799"/>
      <c r="IG119" s="799"/>
      <c r="IH119" s="799"/>
      <c r="II119" s="799"/>
      <c r="IJ119" s="799"/>
      <c r="IK119" s="799"/>
      <c r="IL119" s="799"/>
      <c r="IM119" s="799"/>
      <c r="IN119" s="799"/>
      <c r="IO119" s="799"/>
      <c r="IP119" s="799"/>
      <c r="IQ119" s="799"/>
      <c r="IR119" s="799"/>
      <c r="IS119" s="799"/>
      <c r="IT119" s="699"/>
      <c r="IU119" s="699"/>
      <c r="IV119" s="699"/>
    </row>
    <row r="120" s="694" customFormat="1" ht="25" customHeight="1" spans="1:256">
      <c r="A120" s="805">
        <v>44400</v>
      </c>
      <c r="B120" s="711" t="s">
        <v>3465</v>
      </c>
      <c r="C120" s="711">
        <v>4400375657</v>
      </c>
      <c r="D120" s="711">
        <v>4500057788</v>
      </c>
      <c r="E120" s="711" t="s">
        <v>1775</v>
      </c>
      <c r="F120" s="712" t="s">
        <v>3247</v>
      </c>
      <c r="G120" s="710" t="s">
        <v>3246</v>
      </c>
      <c r="H120" s="711">
        <v>6588</v>
      </c>
      <c r="I120" s="711">
        <v>0</v>
      </c>
      <c r="J120" s="711">
        <v>6</v>
      </c>
      <c r="K120" s="698">
        <f t="shared" si="79"/>
        <v>1098</v>
      </c>
      <c r="L120" s="819">
        <v>0</v>
      </c>
      <c r="M120" s="820">
        <f t="shared" si="80"/>
        <v>0</v>
      </c>
      <c r="N120" s="777" t="s">
        <v>3472</v>
      </c>
      <c r="O120" s="777"/>
      <c r="P120" s="777"/>
      <c r="Q120" s="770"/>
      <c r="R120" s="770"/>
      <c r="S120" s="777" t="s">
        <v>3473</v>
      </c>
      <c r="T120" s="705"/>
      <c r="U120" s="705" t="s">
        <v>1427</v>
      </c>
      <c r="V120" s="744" t="s">
        <v>58</v>
      </c>
      <c r="W120" s="744" t="s">
        <v>3468</v>
      </c>
      <c r="X120" s="778"/>
      <c r="Y120" s="712" t="s">
        <v>3255</v>
      </c>
      <c r="Z120" s="711"/>
      <c r="AA120" s="711"/>
      <c r="AB120" s="711">
        <f t="shared" si="81"/>
        <v>6588</v>
      </c>
      <c r="AC120" s="800"/>
      <c r="AD120" s="800"/>
      <c r="AE120" s="800"/>
      <c r="AF120" s="800"/>
      <c r="AG120" s="800"/>
      <c r="AH120" s="779">
        <f t="shared" si="82"/>
        <v>6588</v>
      </c>
      <c r="AI120" s="779">
        <f t="shared" si="83"/>
        <v>6588</v>
      </c>
      <c r="AJ120" s="779"/>
      <c r="AK120" s="769" t="s">
        <v>3469</v>
      </c>
      <c r="AL120" s="769"/>
      <c r="AM120" s="698"/>
      <c r="AN120" s="698"/>
      <c r="AO120" s="711"/>
      <c r="AP120" s="698"/>
      <c r="AQ120" s="698"/>
      <c r="AR120" s="698"/>
      <c r="AS120" s="698"/>
      <c r="AT120" s="698"/>
      <c r="AU120" s="698"/>
      <c r="AV120" s="698"/>
      <c r="AW120" s="698"/>
      <c r="AX120" s="698"/>
      <c r="AY120" s="698"/>
      <c r="AZ120" s="698"/>
      <c r="BA120" s="698"/>
      <c r="BB120" s="698"/>
      <c r="BC120" s="698"/>
      <c r="BD120" s="698"/>
      <c r="BE120" s="698"/>
      <c r="BF120" s="698"/>
      <c r="BG120" s="698"/>
      <c r="BH120" s="698"/>
      <c r="BI120" s="698"/>
      <c r="BJ120" s="698"/>
      <c r="BK120" s="698"/>
      <c r="BL120" s="698"/>
      <c r="BM120" s="698"/>
      <c r="BN120" s="698"/>
      <c r="BO120" s="698"/>
      <c r="BP120" s="698"/>
      <c r="BQ120" s="698"/>
      <c r="BR120" s="698"/>
      <c r="BS120" s="698"/>
      <c r="BT120" s="698"/>
      <c r="BU120" s="698"/>
      <c r="BV120" s="698"/>
      <c r="BW120" s="698"/>
      <c r="BX120" s="698"/>
      <c r="BY120" s="698"/>
      <c r="BZ120" s="698"/>
      <c r="CA120" s="698"/>
      <c r="CB120" s="698"/>
      <c r="CC120" s="698"/>
      <c r="CD120" s="698"/>
      <c r="CE120" s="698"/>
      <c r="CF120" s="698"/>
      <c r="CG120" s="698"/>
      <c r="CH120" s="698"/>
      <c r="CI120" s="698"/>
      <c r="CJ120" s="698"/>
      <c r="CK120" s="698"/>
      <c r="CL120" s="698"/>
      <c r="CM120" s="698"/>
      <c r="CN120" s="698"/>
      <c r="CO120" s="698"/>
      <c r="CP120" s="698"/>
      <c r="CQ120" s="698"/>
      <c r="CR120" s="698"/>
      <c r="CS120" s="698"/>
      <c r="CT120" s="698"/>
      <c r="CU120" s="698"/>
      <c r="CV120" s="698"/>
      <c r="CW120" s="698"/>
      <c r="CX120" s="698"/>
      <c r="CY120" s="698"/>
      <c r="CZ120" s="698"/>
      <c r="DA120" s="698"/>
      <c r="DB120" s="698"/>
      <c r="DC120" s="698"/>
      <c r="DD120" s="698"/>
      <c r="DE120" s="698"/>
      <c r="DF120" s="698"/>
      <c r="DG120" s="698"/>
      <c r="DH120" s="698"/>
      <c r="DI120" s="698"/>
      <c r="DJ120" s="698"/>
      <c r="DK120" s="698"/>
      <c r="DL120" s="698"/>
      <c r="DM120" s="698"/>
      <c r="DN120" s="698"/>
      <c r="DO120" s="698"/>
      <c r="DP120" s="698"/>
      <c r="DQ120" s="698"/>
      <c r="DR120" s="698"/>
      <c r="DS120" s="698"/>
      <c r="DT120" s="698"/>
      <c r="DU120" s="698"/>
      <c r="DV120" s="698"/>
      <c r="DW120" s="698"/>
      <c r="DX120" s="698"/>
      <c r="DY120" s="698"/>
      <c r="DZ120" s="698"/>
      <c r="EA120" s="698"/>
      <c r="EB120" s="698"/>
      <c r="EC120" s="698"/>
      <c r="ED120" s="698"/>
      <c r="EE120" s="698"/>
      <c r="EF120" s="698"/>
      <c r="EG120" s="698"/>
      <c r="EH120" s="698"/>
      <c r="EI120" s="698"/>
      <c r="EJ120" s="698"/>
      <c r="EK120" s="698"/>
      <c r="EL120" s="698"/>
      <c r="EM120" s="698"/>
      <c r="EN120" s="698"/>
      <c r="EO120" s="698"/>
      <c r="EP120" s="698"/>
      <c r="EQ120" s="698"/>
      <c r="ER120" s="698"/>
      <c r="ES120" s="698"/>
      <c r="ET120" s="698"/>
      <c r="EU120" s="698"/>
      <c r="EV120" s="698"/>
      <c r="EW120" s="698"/>
      <c r="EX120" s="698"/>
      <c r="EY120" s="698"/>
      <c r="EZ120" s="698"/>
      <c r="FA120" s="698"/>
      <c r="FB120" s="698"/>
      <c r="FC120" s="698"/>
      <c r="FD120" s="698"/>
      <c r="FE120" s="698"/>
      <c r="FF120" s="698"/>
      <c r="FG120" s="698"/>
      <c r="FH120" s="698"/>
      <c r="FI120" s="698"/>
      <c r="FJ120" s="698"/>
      <c r="FK120" s="698"/>
      <c r="FL120" s="698"/>
      <c r="FM120" s="698"/>
      <c r="FN120" s="698"/>
      <c r="FO120" s="698"/>
      <c r="FP120" s="698"/>
      <c r="FQ120" s="698"/>
      <c r="FR120" s="698"/>
      <c r="FS120" s="698"/>
      <c r="FT120" s="698"/>
      <c r="FU120" s="698"/>
      <c r="FV120" s="698"/>
      <c r="FW120" s="698"/>
      <c r="FX120" s="698"/>
      <c r="FY120" s="698"/>
      <c r="FZ120" s="698"/>
      <c r="GA120" s="698"/>
      <c r="GB120" s="698"/>
      <c r="GC120" s="698"/>
      <c r="GD120" s="698"/>
      <c r="GE120" s="698"/>
      <c r="GF120" s="698"/>
      <c r="GG120" s="698"/>
      <c r="GH120" s="698"/>
      <c r="GI120" s="698"/>
      <c r="GJ120" s="698"/>
      <c r="GK120" s="698"/>
      <c r="GL120" s="698"/>
      <c r="GM120" s="698"/>
      <c r="GN120" s="698"/>
      <c r="GO120" s="698"/>
      <c r="GP120" s="698"/>
      <c r="GQ120" s="698"/>
      <c r="GR120" s="698"/>
      <c r="GS120" s="698"/>
      <c r="GT120" s="698"/>
      <c r="GU120" s="698"/>
      <c r="GV120" s="698"/>
      <c r="GW120" s="698"/>
      <c r="GX120" s="698"/>
      <c r="GY120" s="698"/>
      <c r="GZ120" s="698"/>
      <c r="HA120" s="698"/>
      <c r="HB120" s="698"/>
      <c r="HC120" s="698"/>
      <c r="HD120" s="698"/>
      <c r="HE120" s="698"/>
      <c r="HF120" s="698"/>
      <c r="HG120" s="698"/>
      <c r="HH120" s="698"/>
      <c r="HI120" s="698"/>
      <c r="HJ120" s="698"/>
      <c r="HK120" s="698"/>
      <c r="HL120" s="698"/>
      <c r="HM120" s="698"/>
      <c r="HN120" s="698"/>
      <c r="HO120" s="698"/>
      <c r="HP120" s="698"/>
      <c r="HQ120" s="698"/>
      <c r="HR120" s="698"/>
      <c r="HS120" s="698"/>
      <c r="HT120" s="698"/>
      <c r="HU120" s="698"/>
      <c r="HV120" s="698"/>
      <c r="HW120" s="698"/>
      <c r="HX120" s="698"/>
      <c r="HY120" s="698"/>
      <c r="HZ120" s="698"/>
      <c r="IA120" s="799"/>
      <c r="IB120" s="799"/>
      <c r="IC120" s="799"/>
      <c r="ID120" s="799"/>
      <c r="IE120" s="799"/>
      <c r="IF120" s="799"/>
      <c r="IG120" s="799"/>
      <c r="IH120" s="799"/>
      <c r="II120" s="799"/>
      <c r="IJ120" s="799"/>
      <c r="IK120" s="799"/>
      <c r="IL120" s="799"/>
      <c r="IM120" s="799"/>
      <c r="IN120" s="799"/>
      <c r="IO120" s="799"/>
      <c r="IP120" s="799"/>
      <c r="IQ120" s="799"/>
      <c r="IR120" s="799"/>
      <c r="IS120" s="799"/>
      <c r="IT120" s="699"/>
      <c r="IU120" s="699"/>
      <c r="IV120" s="699"/>
    </row>
    <row r="121" s="694" customFormat="1" ht="25" customHeight="1" spans="1:256">
      <c r="A121" s="805">
        <v>44400</v>
      </c>
      <c r="B121" s="711" t="s">
        <v>3465</v>
      </c>
      <c r="C121" s="711">
        <v>4400144097</v>
      </c>
      <c r="D121" s="711">
        <v>4500057788</v>
      </c>
      <c r="E121" s="711" t="s">
        <v>1775</v>
      </c>
      <c r="F121" s="712" t="s">
        <v>3247</v>
      </c>
      <c r="G121" s="710" t="s">
        <v>3246</v>
      </c>
      <c r="H121" s="711">
        <v>7644</v>
      </c>
      <c r="I121" s="711">
        <v>0</v>
      </c>
      <c r="J121" s="711">
        <v>6</v>
      </c>
      <c r="K121" s="698">
        <f t="shared" si="79"/>
        <v>1274</v>
      </c>
      <c r="L121" s="819">
        <v>0</v>
      </c>
      <c r="M121" s="820">
        <f t="shared" si="80"/>
        <v>0</v>
      </c>
      <c r="N121" s="777" t="s">
        <v>3472</v>
      </c>
      <c r="O121" s="777"/>
      <c r="P121" s="777"/>
      <c r="Q121" s="770"/>
      <c r="R121" s="770"/>
      <c r="S121" s="777" t="s">
        <v>3473</v>
      </c>
      <c r="T121" s="705"/>
      <c r="U121" s="705" t="s">
        <v>1427</v>
      </c>
      <c r="V121" s="744" t="s">
        <v>58</v>
      </c>
      <c r="W121" s="744" t="s">
        <v>3468</v>
      </c>
      <c r="X121" s="778"/>
      <c r="Y121" s="712" t="s">
        <v>3255</v>
      </c>
      <c r="Z121" s="711"/>
      <c r="AA121" s="711"/>
      <c r="AB121" s="711">
        <f t="shared" si="81"/>
        <v>7644</v>
      </c>
      <c r="AC121" s="800"/>
      <c r="AD121" s="800"/>
      <c r="AE121" s="800"/>
      <c r="AF121" s="800"/>
      <c r="AG121" s="800"/>
      <c r="AH121" s="779">
        <f t="shared" si="82"/>
        <v>7644</v>
      </c>
      <c r="AI121" s="779">
        <f t="shared" si="83"/>
        <v>7644</v>
      </c>
      <c r="AJ121" s="779"/>
      <c r="AK121" s="769" t="s">
        <v>3469</v>
      </c>
      <c r="AL121" s="769"/>
      <c r="AM121" s="698"/>
      <c r="AN121" s="698"/>
      <c r="AO121" s="711"/>
      <c r="AP121" s="698"/>
      <c r="AQ121" s="698"/>
      <c r="AR121" s="698"/>
      <c r="AS121" s="698"/>
      <c r="AT121" s="698"/>
      <c r="AU121" s="698"/>
      <c r="AV121" s="698"/>
      <c r="AW121" s="698"/>
      <c r="AX121" s="698"/>
      <c r="AY121" s="698"/>
      <c r="AZ121" s="698"/>
      <c r="BA121" s="698"/>
      <c r="BB121" s="698"/>
      <c r="BC121" s="698"/>
      <c r="BD121" s="698"/>
      <c r="BE121" s="698"/>
      <c r="BF121" s="698"/>
      <c r="BG121" s="698"/>
      <c r="BH121" s="698"/>
      <c r="BI121" s="698"/>
      <c r="BJ121" s="698"/>
      <c r="BK121" s="698"/>
      <c r="BL121" s="698"/>
      <c r="BM121" s="698"/>
      <c r="BN121" s="698"/>
      <c r="BO121" s="698"/>
      <c r="BP121" s="698"/>
      <c r="BQ121" s="698"/>
      <c r="BR121" s="698"/>
      <c r="BS121" s="698"/>
      <c r="BT121" s="698"/>
      <c r="BU121" s="698"/>
      <c r="BV121" s="698"/>
      <c r="BW121" s="698"/>
      <c r="BX121" s="698"/>
      <c r="BY121" s="698"/>
      <c r="BZ121" s="698"/>
      <c r="CA121" s="698"/>
      <c r="CB121" s="698"/>
      <c r="CC121" s="698"/>
      <c r="CD121" s="698"/>
      <c r="CE121" s="698"/>
      <c r="CF121" s="698"/>
      <c r="CG121" s="698"/>
      <c r="CH121" s="698"/>
      <c r="CI121" s="698"/>
      <c r="CJ121" s="698"/>
      <c r="CK121" s="698"/>
      <c r="CL121" s="698"/>
      <c r="CM121" s="698"/>
      <c r="CN121" s="698"/>
      <c r="CO121" s="698"/>
      <c r="CP121" s="698"/>
      <c r="CQ121" s="698"/>
      <c r="CR121" s="698"/>
      <c r="CS121" s="698"/>
      <c r="CT121" s="698"/>
      <c r="CU121" s="698"/>
      <c r="CV121" s="698"/>
      <c r="CW121" s="698"/>
      <c r="CX121" s="698"/>
      <c r="CY121" s="698"/>
      <c r="CZ121" s="698"/>
      <c r="DA121" s="698"/>
      <c r="DB121" s="698"/>
      <c r="DC121" s="698"/>
      <c r="DD121" s="698"/>
      <c r="DE121" s="698"/>
      <c r="DF121" s="698"/>
      <c r="DG121" s="698"/>
      <c r="DH121" s="698"/>
      <c r="DI121" s="698"/>
      <c r="DJ121" s="698"/>
      <c r="DK121" s="698"/>
      <c r="DL121" s="698"/>
      <c r="DM121" s="698"/>
      <c r="DN121" s="698"/>
      <c r="DO121" s="698"/>
      <c r="DP121" s="698"/>
      <c r="DQ121" s="698"/>
      <c r="DR121" s="698"/>
      <c r="DS121" s="698"/>
      <c r="DT121" s="698"/>
      <c r="DU121" s="698"/>
      <c r="DV121" s="698"/>
      <c r="DW121" s="698"/>
      <c r="DX121" s="698"/>
      <c r="DY121" s="698"/>
      <c r="DZ121" s="698"/>
      <c r="EA121" s="698"/>
      <c r="EB121" s="698"/>
      <c r="EC121" s="698"/>
      <c r="ED121" s="698"/>
      <c r="EE121" s="698"/>
      <c r="EF121" s="698"/>
      <c r="EG121" s="698"/>
      <c r="EH121" s="698"/>
      <c r="EI121" s="698"/>
      <c r="EJ121" s="698"/>
      <c r="EK121" s="698"/>
      <c r="EL121" s="698"/>
      <c r="EM121" s="698"/>
      <c r="EN121" s="698"/>
      <c r="EO121" s="698"/>
      <c r="EP121" s="698"/>
      <c r="EQ121" s="698"/>
      <c r="ER121" s="698"/>
      <c r="ES121" s="698"/>
      <c r="ET121" s="698"/>
      <c r="EU121" s="698"/>
      <c r="EV121" s="698"/>
      <c r="EW121" s="698"/>
      <c r="EX121" s="698"/>
      <c r="EY121" s="698"/>
      <c r="EZ121" s="698"/>
      <c r="FA121" s="698"/>
      <c r="FB121" s="698"/>
      <c r="FC121" s="698"/>
      <c r="FD121" s="698"/>
      <c r="FE121" s="698"/>
      <c r="FF121" s="698"/>
      <c r="FG121" s="698"/>
      <c r="FH121" s="698"/>
      <c r="FI121" s="698"/>
      <c r="FJ121" s="698"/>
      <c r="FK121" s="698"/>
      <c r="FL121" s="698"/>
      <c r="FM121" s="698"/>
      <c r="FN121" s="698"/>
      <c r="FO121" s="698"/>
      <c r="FP121" s="698"/>
      <c r="FQ121" s="698"/>
      <c r="FR121" s="698"/>
      <c r="FS121" s="698"/>
      <c r="FT121" s="698"/>
      <c r="FU121" s="698"/>
      <c r="FV121" s="698"/>
      <c r="FW121" s="698"/>
      <c r="FX121" s="698"/>
      <c r="FY121" s="698"/>
      <c r="FZ121" s="698"/>
      <c r="GA121" s="698"/>
      <c r="GB121" s="698"/>
      <c r="GC121" s="698"/>
      <c r="GD121" s="698"/>
      <c r="GE121" s="698"/>
      <c r="GF121" s="698"/>
      <c r="GG121" s="698"/>
      <c r="GH121" s="698"/>
      <c r="GI121" s="698"/>
      <c r="GJ121" s="698"/>
      <c r="GK121" s="698"/>
      <c r="GL121" s="698"/>
      <c r="GM121" s="698"/>
      <c r="GN121" s="698"/>
      <c r="GO121" s="698"/>
      <c r="GP121" s="698"/>
      <c r="GQ121" s="698"/>
      <c r="GR121" s="698"/>
      <c r="GS121" s="698"/>
      <c r="GT121" s="698"/>
      <c r="GU121" s="698"/>
      <c r="GV121" s="698"/>
      <c r="GW121" s="698"/>
      <c r="GX121" s="698"/>
      <c r="GY121" s="698"/>
      <c r="GZ121" s="698"/>
      <c r="HA121" s="698"/>
      <c r="HB121" s="698"/>
      <c r="HC121" s="698"/>
      <c r="HD121" s="698"/>
      <c r="HE121" s="698"/>
      <c r="HF121" s="698"/>
      <c r="HG121" s="698"/>
      <c r="HH121" s="698"/>
      <c r="HI121" s="698"/>
      <c r="HJ121" s="698"/>
      <c r="HK121" s="698"/>
      <c r="HL121" s="698"/>
      <c r="HM121" s="698"/>
      <c r="HN121" s="698"/>
      <c r="HO121" s="698"/>
      <c r="HP121" s="698"/>
      <c r="HQ121" s="698"/>
      <c r="HR121" s="698"/>
      <c r="HS121" s="698"/>
      <c r="HT121" s="698"/>
      <c r="HU121" s="698"/>
      <c r="HV121" s="698"/>
      <c r="HW121" s="698"/>
      <c r="HX121" s="698"/>
      <c r="HY121" s="698"/>
      <c r="HZ121" s="698"/>
      <c r="IA121" s="799"/>
      <c r="IB121" s="799"/>
      <c r="IC121" s="799"/>
      <c r="ID121" s="799"/>
      <c r="IE121" s="799"/>
      <c r="IF121" s="799"/>
      <c r="IG121" s="799"/>
      <c r="IH121" s="799"/>
      <c r="II121" s="799"/>
      <c r="IJ121" s="799"/>
      <c r="IK121" s="799"/>
      <c r="IL121" s="799"/>
      <c r="IM121" s="799"/>
      <c r="IN121" s="799"/>
      <c r="IO121" s="799"/>
      <c r="IP121" s="799"/>
      <c r="IQ121" s="799"/>
      <c r="IR121" s="799"/>
      <c r="IS121" s="799"/>
      <c r="IT121" s="699"/>
      <c r="IU121" s="699"/>
      <c r="IV121" s="699"/>
    </row>
    <row r="122" s="694" customFormat="1" ht="25" customHeight="1" spans="1:256">
      <c r="A122" s="805">
        <v>44400</v>
      </c>
      <c r="B122" s="711" t="s">
        <v>3465</v>
      </c>
      <c r="C122" s="711">
        <v>4400375658</v>
      </c>
      <c r="D122" s="711">
        <v>4500057788</v>
      </c>
      <c r="E122" s="711" t="s">
        <v>1775</v>
      </c>
      <c r="F122" s="712" t="s">
        <v>3247</v>
      </c>
      <c r="G122" s="710" t="s">
        <v>3246</v>
      </c>
      <c r="H122" s="711">
        <v>6588</v>
      </c>
      <c r="I122" s="711">
        <v>0</v>
      </c>
      <c r="J122" s="711">
        <v>6</v>
      </c>
      <c r="K122" s="698">
        <f t="shared" si="79"/>
        <v>1098</v>
      </c>
      <c r="L122" s="819">
        <v>0</v>
      </c>
      <c r="M122" s="820">
        <f t="shared" si="80"/>
        <v>0</v>
      </c>
      <c r="N122" s="777" t="s">
        <v>3474</v>
      </c>
      <c r="O122" s="777"/>
      <c r="P122" s="777"/>
      <c r="Q122" s="770"/>
      <c r="R122" s="770"/>
      <c r="S122" s="777" t="s">
        <v>3475</v>
      </c>
      <c r="T122" s="705"/>
      <c r="U122" s="705" t="s">
        <v>1427</v>
      </c>
      <c r="V122" s="744" t="s">
        <v>58</v>
      </c>
      <c r="W122" s="744" t="s">
        <v>3468</v>
      </c>
      <c r="X122" s="778"/>
      <c r="Y122" s="712" t="s">
        <v>3255</v>
      </c>
      <c r="Z122" s="711"/>
      <c r="AA122" s="711"/>
      <c r="AB122" s="711">
        <f t="shared" si="81"/>
        <v>6588</v>
      </c>
      <c r="AC122" s="800"/>
      <c r="AD122" s="800"/>
      <c r="AE122" s="800"/>
      <c r="AF122" s="800"/>
      <c r="AG122" s="800"/>
      <c r="AH122" s="779">
        <f t="shared" si="82"/>
        <v>6588</v>
      </c>
      <c r="AI122" s="779">
        <f t="shared" si="83"/>
        <v>6588</v>
      </c>
      <c r="AJ122" s="779"/>
      <c r="AK122" s="769" t="s">
        <v>3469</v>
      </c>
      <c r="AL122" s="769"/>
      <c r="AM122" s="698"/>
      <c r="AN122" s="698"/>
      <c r="AO122" s="711"/>
      <c r="AP122" s="698"/>
      <c r="AQ122" s="698"/>
      <c r="AR122" s="698"/>
      <c r="AS122" s="698"/>
      <c r="AT122" s="698"/>
      <c r="AU122" s="698"/>
      <c r="AV122" s="698"/>
      <c r="AW122" s="698"/>
      <c r="AX122" s="698"/>
      <c r="AY122" s="698"/>
      <c r="AZ122" s="698"/>
      <c r="BA122" s="698"/>
      <c r="BB122" s="698"/>
      <c r="BC122" s="698"/>
      <c r="BD122" s="698"/>
      <c r="BE122" s="698"/>
      <c r="BF122" s="698"/>
      <c r="BG122" s="698"/>
      <c r="BH122" s="698"/>
      <c r="BI122" s="698"/>
      <c r="BJ122" s="698"/>
      <c r="BK122" s="698"/>
      <c r="BL122" s="698"/>
      <c r="BM122" s="698"/>
      <c r="BN122" s="698"/>
      <c r="BO122" s="698"/>
      <c r="BP122" s="698"/>
      <c r="BQ122" s="698"/>
      <c r="BR122" s="698"/>
      <c r="BS122" s="698"/>
      <c r="BT122" s="698"/>
      <c r="BU122" s="698"/>
      <c r="BV122" s="698"/>
      <c r="BW122" s="698"/>
      <c r="BX122" s="698"/>
      <c r="BY122" s="698"/>
      <c r="BZ122" s="698"/>
      <c r="CA122" s="698"/>
      <c r="CB122" s="698"/>
      <c r="CC122" s="698"/>
      <c r="CD122" s="698"/>
      <c r="CE122" s="698"/>
      <c r="CF122" s="698"/>
      <c r="CG122" s="698"/>
      <c r="CH122" s="698"/>
      <c r="CI122" s="698"/>
      <c r="CJ122" s="698"/>
      <c r="CK122" s="698"/>
      <c r="CL122" s="698"/>
      <c r="CM122" s="698"/>
      <c r="CN122" s="698"/>
      <c r="CO122" s="698"/>
      <c r="CP122" s="698"/>
      <c r="CQ122" s="698"/>
      <c r="CR122" s="698"/>
      <c r="CS122" s="698"/>
      <c r="CT122" s="698"/>
      <c r="CU122" s="698"/>
      <c r="CV122" s="698"/>
      <c r="CW122" s="698"/>
      <c r="CX122" s="698"/>
      <c r="CY122" s="698"/>
      <c r="CZ122" s="698"/>
      <c r="DA122" s="698"/>
      <c r="DB122" s="698"/>
      <c r="DC122" s="698"/>
      <c r="DD122" s="698"/>
      <c r="DE122" s="698"/>
      <c r="DF122" s="698"/>
      <c r="DG122" s="698"/>
      <c r="DH122" s="698"/>
      <c r="DI122" s="698"/>
      <c r="DJ122" s="698"/>
      <c r="DK122" s="698"/>
      <c r="DL122" s="698"/>
      <c r="DM122" s="698"/>
      <c r="DN122" s="698"/>
      <c r="DO122" s="698"/>
      <c r="DP122" s="698"/>
      <c r="DQ122" s="698"/>
      <c r="DR122" s="698"/>
      <c r="DS122" s="698"/>
      <c r="DT122" s="698"/>
      <c r="DU122" s="698"/>
      <c r="DV122" s="698"/>
      <c r="DW122" s="698"/>
      <c r="DX122" s="698"/>
      <c r="DY122" s="698"/>
      <c r="DZ122" s="698"/>
      <c r="EA122" s="698"/>
      <c r="EB122" s="698"/>
      <c r="EC122" s="698"/>
      <c r="ED122" s="698"/>
      <c r="EE122" s="698"/>
      <c r="EF122" s="698"/>
      <c r="EG122" s="698"/>
      <c r="EH122" s="698"/>
      <c r="EI122" s="698"/>
      <c r="EJ122" s="698"/>
      <c r="EK122" s="698"/>
      <c r="EL122" s="698"/>
      <c r="EM122" s="698"/>
      <c r="EN122" s="698"/>
      <c r="EO122" s="698"/>
      <c r="EP122" s="698"/>
      <c r="EQ122" s="698"/>
      <c r="ER122" s="698"/>
      <c r="ES122" s="698"/>
      <c r="ET122" s="698"/>
      <c r="EU122" s="698"/>
      <c r="EV122" s="698"/>
      <c r="EW122" s="698"/>
      <c r="EX122" s="698"/>
      <c r="EY122" s="698"/>
      <c r="EZ122" s="698"/>
      <c r="FA122" s="698"/>
      <c r="FB122" s="698"/>
      <c r="FC122" s="698"/>
      <c r="FD122" s="698"/>
      <c r="FE122" s="698"/>
      <c r="FF122" s="698"/>
      <c r="FG122" s="698"/>
      <c r="FH122" s="698"/>
      <c r="FI122" s="698"/>
      <c r="FJ122" s="698"/>
      <c r="FK122" s="698"/>
      <c r="FL122" s="698"/>
      <c r="FM122" s="698"/>
      <c r="FN122" s="698"/>
      <c r="FO122" s="698"/>
      <c r="FP122" s="698"/>
      <c r="FQ122" s="698"/>
      <c r="FR122" s="698"/>
      <c r="FS122" s="698"/>
      <c r="FT122" s="698"/>
      <c r="FU122" s="698"/>
      <c r="FV122" s="698"/>
      <c r="FW122" s="698"/>
      <c r="FX122" s="698"/>
      <c r="FY122" s="698"/>
      <c r="FZ122" s="698"/>
      <c r="GA122" s="698"/>
      <c r="GB122" s="698"/>
      <c r="GC122" s="698"/>
      <c r="GD122" s="698"/>
      <c r="GE122" s="698"/>
      <c r="GF122" s="698"/>
      <c r="GG122" s="698"/>
      <c r="GH122" s="698"/>
      <c r="GI122" s="698"/>
      <c r="GJ122" s="698"/>
      <c r="GK122" s="698"/>
      <c r="GL122" s="698"/>
      <c r="GM122" s="698"/>
      <c r="GN122" s="698"/>
      <c r="GO122" s="698"/>
      <c r="GP122" s="698"/>
      <c r="GQ122" s="698"/>
      <c r="GR122" s="698"/>
      <c r="GS122" s="698"/>
      <c r="GT122" s="698"/>
      <c r="GU122" s="698"/>
      <c r="GV122" s="698"/>
      <c r="GW122" s="698"/>
      <c r="GX122" s="698"/>
      <c r="GY122" s="698"/>
      <c r="GZ122" s="698"/>
      <c r="HA122" s="698"/>
      <c r="HB122" s="698"/>
      <c r="HC122" s="698"/>
      <c r="HD122" s="698"/>
      <c r="HE122" s="698"/>
      <c r="HF122" s="698"/>
      <c r="HG122" s="698"/>
      <c r="HH122" s="698"/>
      <c r="HI122" s="698"/>
      <c r="HJ122" s="698"/>
      <c r="HK122" s="698"/>
      <c r="HL122" s="698"/>
      <c r="HM122" s="698"/>
      <c r="HN122" s="698"/>
      <c r="HO122" s="698"/>
      <c r="HP122" s="698"/>
      <c r="HQ122" s="698"/>
      <c r="HR122" s="698"/>
      <c r="HS122" s="698"/>
      <c r="HT122" s="698"/>
      <c r="HU122" s="698"/>
      <c r="HV122" s="698"/>
      <c r="HW122" s="698"/>
      <c r="HX122" s="698"/>
      <c r="HY122" s="698"/>
      <c r="HZ122" s="698"/>
      <c r="IA122" s="799"/>
      <c r="IB122" s="799"/>
      <c r="IC122" s="799"/>
      <c r="ID122" s="799"/>
      <c r="IE122" s="799"/>
      <c r="IF122" s="799"/>
      <c r="IG122" s="799"/>
      <c r="IH122" s="799"/>
      <c r="II122" s="799"/>
      <c r="IJ122" s="799"/>
      <c r="IK122" s="799"/>
      <c r="IL122" s="799"/>
      <c r="IM122" s="799"/>
      <c r="IN122" s="799"/>
      <c r="IO122" s="799"/>
      <c r="IP122" s="799"/>
      <c r="IQ122" s="799"/>
      <c r="IR122" s="799"/>
      <c r="IS122" s="799"/>
      <c r="IT122" s="699"/>
      <c r="IU122" s="699"/>
      <c r="IV122" s="699"/>
    </row>
    <row r="123" s="695" customFormat="1" ht="25" customHeight="1" spans="1:256">
      <c r="A123" s="808">
        <v>44400</v>
      </c>
      <c r="B123" s="720" t="s">
        <v>3465</v>
      </c>
      <c r="C123" s="720">
        <v>4400375659</v>
      </c>
      <c r="D123" s="720">
        <v>4500057788</v>
      </c>
      <c r="E123" s="720" t="s">
        <v>1775</v>
      </c>
      <c r="F123" s="721" t="s">
        <v>3247</v>
      </c>
      <c r="G123" s="809" t="s">
        <v>3246</v>
      </c>
      <c r="H123" s="720">
        <v>6588</v>
      </c>
      <c r="I123" s="720">
        <v>0</v>
      </c>
      <c r="J123" s="720">
        <v>6</v>
      </c>
      <c r="K123" s="755">
        <f t="shared" si="79"/>
        <v>1098</v>
      </c>
      <c r="L123" s="824">
        <v>0</v>
      </c>
      <c r="M123" s="830">
        <f t="shared" si="80"/>
        <v>0</v>
      </c>
      <c r="N123" s="758" t="s">
        <v>3474</v>
      </c>
      <c r="O123" s="758"/>
      <c r="P123" s="758"/>
      <c r="Q123" s="846"/>
      <c r="R123" s="846"/>
      <c r="S123" s="758" t="s">
        <v>3475</v>
      </c>
      <c r="T123" s="847"/>
      <c r="U123" s="847" t="s">
        <v>1427</v>
      </c>
      <c r="V123" s="839" t="s">
        <v>58</v>
      </c>
      <c r="W123" s="839" t="s">
        <v>3468</v>
      </c>
      <c r="X123" s="840"/>
      <c r="Y123" s="721" t="s">
        <v>3255</v>
      </c>
      <c r="Z123" s="720"/>
      <c r="AA123" s="720"/>
      <c r="AB123" s="720">
        <f t="shared" si="81"/>
        <v>6588</v>
      </c>
      <c r="AC123" s="855"/>
      <c r="AD123" s="855"/>
      <c r="AE123" s="855"/>
      <c r="AF123" s="855"/>
      <c r="AG123" s="855"/>
      <c r="AH123" s="860">
        <f t="shared" si="82"/>
        <v>6588</v>
      </c>
      <c r="AI123" s="860">
        <f t="shared" si="83"/>
        <v>6588</v>
      </c>
      <c r="AJ123" s="860"/>
      <c r="AK123" s="859" t="s">
        <v>3469</v>
      </c>
      <c r="AL123" s="859"/>
      <c r="AM123" s="755"/>
      <c r="AN123" s="755"/>
      <c r="AO123" s="720"/>
      <c r="AP123" s="755"/>
      <c r="AQ123" s="755"/>
      <c r="AR123" s="755"/>
      <c r="AS123" s="755"/>
      <c r="AT123" s="755"/>
      <c r="AU123" s="755"/>
      <c r="AV123" s="755"/>
      <c r="AW123" s="755"/>
      <c r="AX123" s="755"/>
      <c r="AY123" s="755"/>
      <c r="AZ123" s="755"/>
      <c r="BA123" s="755"/>
      <c r="BB123" s="755"/>
      <c r="BC123" s="755"/>
      <c r="BD123" s="755"/>
      <c r="BE123" s="755"/>
      <c r="BF123" s="755"/>
      <c r="BG123" s="755"/>
      <c r="BH123" s="755"/>
      <c r="BI123" s="755"/>
      <c r="BJ123" s="755"/>
      <c r="BK123" s="755"/>
      <c r="BL123" s="755"/>
      <c r="BM123" s="755"/>
      <c r="BN123" s="755"/>
      <c r="BO123" s="755"/>
      <c r="BP123" s="755"/>
      <c r="BQ123" s="755"/>
      <c r="BR123" s="755"/>
      <c r="BS123" s="755"/>
      <c r="BT123" s="755"/>
      <c r="BU123" s="755"/>
      <c r="BV123" s="755"/>
      <c r="BW123" s="755"/>
      <c r="BX123" s="755"/>
      <c r="BY123" s="755"/>
      <c r="BZ123" s="755"/>
      <c r="CA123" s="755"/>
      <c r="CB123" s="755"/>
      <c r="CC123" s="755"/>
      <c r="CD123" s="755"/>
      <c r="CE123" s="755"/>
      <c r="CF123" s="755"/>
      <c r="CG123" s="755"/>
      <c r="CH123" s="755"/>
      <c r="CI123" s="755"/>
      <c r="CJ123" s="755"/>
      <c r="CK123" s="755"/>
      <c r="CL123" s="755"/>
      <c r="CM123" s="755"/>
      <c r="CN123" s="755"/>
      <c r="CO123" s="755"/>
      <c r="CP123" s="755"/>
      <c r="CQ123" s="755"/>
      <c r="CR123" s="755"/>
      <c r="CS123" s="755"/>
      <c r="CT123" s="755"/>
      <c r="CU123" s="755"/>
      <c r="CV123" s="755"/>
      <c r="CW123" s="755"/>
      <c r="CX123" s="755"/>
      <c r="CY123" s="755"/>
      <c r="CZ123" s="755"/>
      <c r="DA123" s="755"/>
      <c r="DB123" s="755"/>
      <c r="DC123" s="755"/>
      <c r="DD123" s="755"/>
      <c r="DE123" s="755"/>
      <c r="DF123" s="755"/>
      <c r="DG123" s="755"/>
      <c r="DH123" s="755"/>
      <c r="DI123" s="755"/>
      <c r="DJ123" s="755"/>
      <c r="DK123" s="755"/>
      <c r="DL123" s="755"/>
      <c r="DM123" s="755"/>
      <c r="DN123" s="755"/>
      <c r="DO123" s="755"/>
      <c r="DP123" s="755"/>
      <c r="DQ123" s="755"/>
      <c r="DR123" s="755"/>
      <c r="DS123" s="755"/>
      <c r="DT123" s="755"/>
      <c r="DU123" s="755"/>
      <c r="DV123" s="755"/>
      <c r="DW123" s="755"/>
      <c r="DX123" s="755"/>
      <c r="DY123" s="755"/>
      <c r="DZ123" s="755"/>
      <c r="EA123" s="755"/>
      <c r="EB123" s="755"/>
      <c r="EC123" s="755"/>
      <c r="ED123" s="755"/>
      <c r="EE123" s="755"/>
      <c r="EF123" s="755"/>
      <c r="EG123" s="755"/>
      <c r="EH123" s="755"/>
      <c r="EI123" s="755"/>
      <c r="EJ123" s="755"/>
      <c r="EK123" s="755"/>
      <c r="EL123" s="755"/>
      <c r="EM123" s="755"/>
      <c r="EN123" s="755"/>
      <c r="EO123" s="755"/>
      <c r="EP123" s="755"/>
      <c r="EQ123" s="755"/>
      <c r="ER123" s="755"/>
      <c r="ES123" s="755"/>
      <c r="ET123" s="755"/>
      <c r="EU123" s="755"/>
      <c r="EV123" s="755"/>
      <c r="EW123" s="755"/>
      <c r="EX123" s="755"/>
      <c r="EY123" s="755"/>
      <c r="EZ123" s="755"/>
      <c r="FA123" s="755"/>
      <c r="FB123" s="755"/>
      <c r="FC123" s="755"/>
      <c r="FD123" s="755"/>
      <c r="FE123" s="755"/>
      <c r="FF123" s="755"/>
      <c r="FG123" s="755"/>
      <c r="FH123" s="755"/>
      <c r="FI123" s="755"/>
      <c r="FJ123" s="755"/>
      <c r="FK123" s="755"/>
      <c r="FL123" s="755"/>
      <c r="FM123" s="755"/>
      <c r="FN123" s="755"/>
      <c r="FO123" s="755"/>
      <c r="FP123" s="755"/>
      <c r="FQ123" s="755"/>
      <c r="FR123" s="755"/>
      <c r="FS123" s="755"/>
      <c r="FT123" s="755"/>
      <c r="FU123" s="755"/>
      <c r="FV123" s="755"/>
      <c r="FW123" s="755"/>
      <c r="FX123" s="755"/>
      <c r="FY123" s="755"/>
      <c r="FZ123" s="755"/>
      <c r="GA123" s="755"/>
      <c r="GB123" s="755"/>
      <c r="GC123" s="755"/>
      <c r="GD123" s="755"/>
      <c r="GE123" s="755"/>
      <c r="GF123" s="755"/>
      <c r="GG123" s="755"/>
      <c r="GH123" s="755"/>
      <c r="GI123" s="755"/>
      <c r="GJ123" s="755"/>
      <c r="GK123" s="755"/>
      <c r="GL123" s="755"/>
      <c r="GM123" s="755"/>
      <c r="GN123" s="755"/>
      <c r="GO123" s="755"/>
      <c r="GP123" s="755"/>
      <c r="GQ123" s="755"/>
      <c r="GR123" s="755"/>
      <c r="GS123" s="755"/>
      <c r="GT123" s="755"/>
      <c r="GU123" s="755"/>
      <c r="GV123" s="755"/>
      <c r="GW123" s="755"/>
      <c r="GX123" s="755"/>
      <c r="GY123" s="755"/>
      <c r="GZ123" s="755"/>
      <c r="HA123" s="755"/>
      <c r="HB123" s="755"/>
      <c r="HC123" s="755"/>
      <c r="HD123" s="755"/>
      <c r="HE123" s="755"/>
      <c r="HF123" s="755"/>
      <c r="HG123" s="755"/>
      <c r="HH123" s="755"/>
      <c r="HI123" s="755"/>
      <c r="HJ123" s="755"/>
      <c r="HK123" s="755"/>
      <c r="HL123" s="755"/>
      <c r="HM123" s="755"/>
      <c r="HN123" s="755"/>
      <c r="HO123" s="755"/>
      <c r="HP123" s="755"/>
      <c r="HQ123" s="755"/>
      <c r="HR123" s="755"/>
      <c r="HS123" s="755"/>
      <c r="HT123" s="755"/>
      <c r="HU123" s="755"/>
      <c r="HV123" s="755"/>
      <c r="HW123" s="755"/>
      <c r="HX123" s="755"/>
      <c r="HY123" s="755"/>
      <c r="HZ123" s="755"/>
      <c r="IA123" s="867"/>
      <c r="IB123" s="867"/>
      <c r="IC123" s="867"/>
      <c r="ID123" s="867"/>
      <c r="IE123" s="867"/>
      <c r="IF123" s="867"/>
      <c r="IG123" s="867"/>
      <c r="IH123" s="867"/>
      <c r="II123" s="867"/>
      <c r="IJ123" s="867"/>
      <c r="IK123" s="867"/>
      <c r="IL123" s="867"/>
      <c r="IM123" s="867"/>
      <c r="IN123" s="867"/>
      <c r="IO123" s="867"/>
      <c r="IP123" s="867"/>
      <c r="IQ123" s="867"/>
      <c r="IR123" s="867"/>
      <c r="IS123" s="867"/>
      <c r="IT123" s="699"/>
      <c r="IU123" s="699"/>
      <c r="IV123" s="699"/>
    </row>
    <row r="124" s="698" customFormat="1" ht="25" customHeight="1" spans="1:34">
      <c r="A124" s="805">
        <v>44526</v>
      </c>
      <c r="B124" s="711" t="s">
        <v>3371</v>
      </c>
      <c r="C124" s="712" t="s">
        <v>3376</v>
      </c>
      <c r="D124" s="711">
        <v>4500066766</v>
      </c>
      <c r="E124" s="711"/>
      <c r="F124" s="711" t="s">
        <v>3144</v>
      </c>
      <c r="G124" s="712" t="s">
        <v>2042</v>
      </c>
      <c r="H124" s="711">
        <v>504</v>
      </c>
      <c r="I124" s="711">
        <v>0</v>
      </c>
      <c r="J124" s="711">
        <v>12</v>
      </c>
      <c r="K124" s="698">
        <f t="shared" si="79"/>
        <v>42</v>
      </c>
      <c r="N124" s="777">
        <v>44638</v>
      </c>
      <c r="O124" s="727" t="s">
        <v>1951</v>
      </c>
      <c r="AF124" s="784"/>
      <c r="AG124" s="799"/>
      <c r="AH124" s="799"/>
    </row>
    <row r="125" s="698" customFormat="1" ht="25" customHeight="1" spans="1:34">
      <c r="A125" s="805">
        <v>44526</v>
      </c>
      <c r="B125" s="711" t="s">
        <v>3371</v>
      </c>
      <c r="C125" s="712" t="s">
        <v>3376</v>
      </c>
      <c r="D125" s="711">
        <v>4500066766</v>
      </c>
      <c r="E125" s="711"/>
      <c r="F125" s="711" t="s">
        <v>3145</v>
      </c>
      <c r="G125" s="712" t="s">
        <v>2063</v>
      </c>
      <c r="H125" s="711">
        <v>504</v>
      </c>
      <c r="I125" s="711">
        <v>0</v>
      </c>
      <c r="J125" s="711">
        <v>12</v>
      </c>
      <c r="K125" s="698">
        <f t="shared" si="79"/>
        <v>42</v>
      </c>
      <c r="N125" s="777">
        <v>44638</v>
      </c>
      <c r="O125" s="727" t="s">
        <v>1951</v>
      </c>
      <c r="AF125" s="784"/>
      <c r="AG125" s="799"/>
      <c r="AH125" s="799"/>
    </row>
    <row r="126" s="698" customFormat="1" ht="25" customHeight="1" spans="1:34">
      <c r="A126" s="805">
        <v>44526</v>
      </c>
      <c r="B126" s="711" t="s">
        <v>3371</v>
      </c>
      <c r="C126" s="712" t="s">
        <v>3376</v>
      </c>
      <c r="D126" s="711">
        <v>4500066766</v>
      </c>
      <c r="E126" s="711"/>
      <c r="F126" s="711" t="s">
        <v>3140</v>
      </c>
      <c r="G126" s="712" t="s">
        <v>3141</v>
      </c>
      <c r="H126" s="711">
        <v>504</v>
      </c>
      <c r="I126" s="711">
        <v>0</v>
      </c>
      <c r="J126" s="711">
        <v>12</v>
      </c>
      <c r="K126" s="698">
        <f t="shared" si="79"/>
        <v>42</v>
      </c>
      <c r="N126" s="777">
        <v>44638</v>
      </c>
      <c r="O126" s="727" t="s">
        <v>1951</v>
      </c>
      <c r="AF126" s="784"/>
      <c r="AG126" s="799"/>
      <c r="AH126" s="799"/>
    </row>
    <row r="127" s="694" customFormat="1" ht="25" customHeight="1" spans="1:49">
      <c r="A127" s="805">
        <v>44642</v>
      </c>
      <c r="B127" s="711" t="s">
        <v>3476</v>
      </c>
      <c r="C127" s="712" t="s">
        <v>91</v>
      </c>
      <c r="D127" s="711">
        <v>4500073783</v>
      </c>
      <c r="E127" s="711">
        <v>2870</v>
      </c>
      <c r="F127" s="711" t="s">
        <v>3145</v>
      </c>
      <c r="G127" s="712" t="s">
        <v>2063</v>
      </c>
      <c r="H127" s="711">
        <v>600</v>
      </c>
      <c r="I127" s="711">
        <v>0</v>
      </c>
      <c r="J127" s="711">
        <v>12</v>
      </c>
      <c r="K127" s="698">
        <f t="shared" si="79"/>
        <v>50</v>
      </c>
      <c r="L127" s="777">
        <v>44722</v>
      </c>
      <c r="M127" s="777">
        <v>44718</v>
      </c>
      <c r="N127" s="777" t="s">
        <v>3477</v>
      </c>
      <c r="O127" s="777" t="s">
        <v>3478</v>
      </c>
      <c r="P127" s="835"/>
      <c r="Q127" s="744" t="s">
        <v>1427</v>
      </c>
      <c r="R127" s="744" t="s">
        <v>58</v>
      </c>
      <c r="S127" s="744" t="s">
        <v>58</v>
      </c>
      <c r="T127" s="711" t="s">
        <v>3479</v>
      </c>
      <c r="U127" s="716" t="s">
        <v>3480</v>
      </c>
      <c r="V127" s="712" t="s">
        <v>1824</v>
      </c>
      <c r="W127" s="819">
        <v>3.1564</v>
      </c>
      <c r="X127" s="725">
        <f t="shared" ref="X127:X167" si="84">W127*H127</f>
        <v>1893.84</v>
      </c>
      <c r="Y127" s="778"/>
      <c r="Z127" s="744"/>
      <c r="AA127" s="778"/>
      <c r="AB127" s="778"/>
      <c r="AC127" s="777"/>
      <c r="AD127" s="777"/>
      <c r="AE127" s="800"/>
      <c r="AF127" s="776">
        <f>H127</f>
        <v>600</v>
      </c>
      <c r="AG127" s="776"/>
      <c r="AH127" s="776"/>
      <c r="AI127" s="776"/>
      <c r="AJ127" s="776">
        <f t="shared" ref="AJ127:AJ132" si="85">H127</f>
        <v>600</v>
      </c>
      <c r="AK127" s="800"/>
      <c r="AL127" s="800"/>
      <c r="AM127" s="800"/>
      <c r="AN127" s="800"/>
      <c r="AO127" s="800">
        <f t="shared" ref="AO127:AO132" si="86">H127</f>
        <v>600</v>
      </c>
      <c r="AP127" s="800"/>
      <c r="AQ127" s="800"/>
      <c r="AR127" s="800"/>
      <c r="AS127" s="776"/>
      <c r="AT127" s="776"/>
      <c r="AU127" s="776"/>
      <c r="AV127" s="865"/>
      <c r="AW127" s="712"/>
    </row>
    <row r="128" s="692" customFormat="1" ht="25" customHeight="1" spans="1:45">
      <c r="A128" s="718">
        <v>44657</v>
      </c>
      <c r="B128" s="712" t="s">
        <v>3481</v>
      </c>
      <c r="C128" s="712" t="s">
        <v>69</v>
      </c>
      <c r="D128" s="711">
        <v>4500074893</v>
      </c>
      <c r="E128" s="711">
        <v>5200000711</v>
      </c>
      <c r="F128" s="712" t="s">
        <v>3482</v>
      </c>
      <c r="G128" s="712" t="s">
        <v>484</v>
      </c>
      <c r="H128" s="698">
        <v>2004</v>
      </c>
      <c r="I128" s="530">
        <v>0</v>
      </c>
      <c r="J128" s="698">
        <v>6</v>
      </c>
      <c r="K128" s="698">
        <f t="shared" si="79"/>
        <v>334</v>
      </c>
      <c r="L128" s="777">
        <v>44701</v>
      </c>
      <c r="M128" s="836" t="s">
        <v>3175</v>
      </c>
      <c r="N128" s="828"/>
      <c r="O128" s="828"/>
      <c r="P128" s="837"/>
      <c r="Q128" s="766" t="s">
        <v>1427</v>
      </c>
      <c r="R128" s="766" t="s">
        <v>58</v>
      </c>
      <c r="S128" s="766" t="s">
        <v>1427</v>
      </c>
      <c r="T128" s="815" t="s">
        <v>3483</v>
      </c>
      <c r="U128" s="795" t="s">
        <v>3484</v>
      </c>
      <c r="V128" s="711" t="s">
        <v>1962</v>
      </c>
      <c r="W128" s="724">
        <v>23.2509</v>
      </c>
      <c r="X128" s="725">
        <f>K128*W128</f>
        <v>7765.8006</v>
      </c>
      <c r="Y128" s="746"/>
      <c r="Z128" s="832"/>
      <c r="AA128" s="766"/>
      <c r="AB128" s="832"/>
      <c r="AC128" s="727"/>
      <c r="AD128" s="829"/>
      <c r="AE128" s="776">
        <f>H128/6*2</f>
        <v>668</v>
      </c>
      <c r="AF128" s="776">
        <f>H128/6*1</f>
        <v>334</v>
      </c>
      <c r="AG128" s="776">
        <f>H128/6*3</f>
        <v>1002</v>
      </c>
      <c r="AH128" s="746">
        <f>H128</f>
        <v>2004</v>
      </c>
      <c r="AI128" s="786"/>
      <c r="AJ128" s="786"/>
      <c r="AK128" s="786"/>
      <c r="AL128" s="786"/>
      <c r="AM128" s="786"/>
      <c r="AN128" s="786"/>
      <c r="AO128" s="746"/>
      <c r="AP128" s="746">
        <f t="shared" ref="AP128:AR128" si="87">AE128</f>
        <v>668</v>
      </c>
      <c r="AQ128" s="746">
        <f t="shared" si="87"/>
        <v>334</v>
      </c>
      <c r="AR128" s="746">
        <f t="shared" si="87"/>
        <v>1002</v>
      </c>
      <c r="AS128" s="746"/>
    </row>
    <row r="129" s="693" customFormat="1" ht="27" customHeight="1" spans="1:49">
      <c r="A129" s="805">
        <v>44608</v>
      </c>
      <c r="B129" s="711" t="s">
        <v>2146</v>
      </c>
      <c r="C129" s="712" t="s">
        <v>91</v>
      </c>
      <c r="D129" s="791">
        <v>4500070736</v>
      </c>
      <c r="E129" s="791" t="s">
        <v>3485</v>
      </c>
      <c r="F129" s="711" t="s">
        <v>3486</v>
      </c>
      <c r="G129" s="712" t="s">
        <v>3141</v>
      </c>
      <c r="H129" s="711">
        <v>1998</v>
      </c>
      <c r="I129" s="711">
        <v>0</v>
      </c>
      <c r="J129" s="711">
        <v>6</v>
      </c>
      <c r="K129" s="698">
        <f t="shared" si="79"/>
        <v>333</v>
      </c>
      <c r="L129" s="829" t="s">
        <v>3487</v>
      </c>
      <c r="M129" s="829" t="s">
        <v>3488</v>
      </c>
      <c r="N129" s="850"/>
      <c r="O129" s="849"/>
      <c r="P129" s="851"/>
      <c r="Q129" s="744" t="s">
        <v>1427</v>
      </c>
      <c r="R129" s="744" t="s">
        <v>2112</v>
      </c>
      <c r="S129" s="744" t="s">
        <v>3489</v>
      </c>
      <c r="T129" s="712" t="s">
        <v>3490</v>
      </c>
      <c r="U129" s="795" t="s">
        <v>3491</v>
      </c>
      <c r="V129" s="712" t="s">
        <v>3492</v>
      </c>
      <c r="W129" s="819">
        <v>2.9797</v>
      </c>
      <c r="X129" s="725">
        <f t="shared" si="84"/>
        <v>5953.4406</v>
      </c>
      <c r="Y129" s="832"/>
      <c r="Z129" s="775"/>
      <c r="AA129" s="832"/>
      <c r="AB129" s="832"/>
      <c r="AC129" s="829"/>
      <c r="AD129" s="829"/>
      <c r="AE129" s="800">
        <f t="shared" ref="AE129:AE131" si="88">H129</f>
        <v>1998</v>
      </c>
      <c r="AF129" s="776"/>
      <c r="AG129" s="776"/>
      <c r="AH129" s="776"/>
      <c r="AI129" s="776"/>
      <c r="AJ129" s="776">
        <f t="shared" si="85"/>
        <v>1998</v>
      </c>
      <c r="AK129" s="800"/>
      <c r="AL129" s="800"/>
      <c r="AM129" s="800"/>
      <c r="AN129" s="800"/>
      <c r="AO129" s="800">
        <f t="shared" si="86"/>
        <v>1998</v>
      </c>
      <c r="AP129" s="800"/>
      <c r="AQ129" s="800"/>
      <c r="AR129" s="800"/>
      <c r="AS129" s="776"/>
      <c r="AT129" s="776"/>
      <c r="AU129" s="786"/>
      <c r="AV129" s="876"/>
      <c r="AW129" s="877"/>
    </row>
    <row r="130" s="693" customFormat="1" ht="27" customHeight="1" spans="1:49">
      <c r="A130" s="805">
        <v>44608</v>
      </c>
      <c r="B130" s="711" t="s">
        <v>2146</v>
      </c>
      <c r="C130" s="712" t="s">
        <v>91</v>
      </c>
      <c r="D130" s="791">
        <v>4500070739</v>
      </c>
      <c r="E130" s="791" t="s">
        <v>3493</v>
      </c>
      <c r="F130" s="711" t="s">
        <v>3486</v>
      </c>
      <c r="G130" s="712" t="s">
        <v>3141</v>
      </c>
      <c r="H130" s="791">
        <v>15000</v>
      </c>
      <c r="I130" s="711">
        <v>0</v>
      </c>
      <c r="J130" s="711">
        <v>6</v>
      </c>
      <c r="K130" s="698">
        <f t="shared" si="79"/>
        <v>2500</v>
      </c>
      <c r="L130" s="829" t="s">
        <v>3494</v>
      </c>
      <c r="M130" s="829" t="s">
        <v>3495</v>
      </c>
      <c r="N130" s="850"/>
      <c r="O130" s="849"/>
      <c r="P130" s="851"/>
      <c r="Q130" s="744" t="s">
        <v>1427</v>
      </c>
      <c r="R130" s="744" t="s">
        <v>2112</v>
      </c>
      <c r="S130" s="744" t="s">
        <v>3489</v>
      </c>
      <c r="T130" s="712" t="s">
        <v>3490</v>
      </c>
      <c r="U130" s="795" t="s">
        <v>3491</v>
      </c>
      <c r="V130" s="712" t="s">
        <v>3492</v>
      </c>
      <c r="W130" s="819">
        <v>2.7759</v>
      </c>
      <c r="X130" s="725">
        <f t="shared" si="84"/>
        <v>41638.5</v>
      </c>
      <c r="Y130" s="832"/>
      <c r="Z130" s="775"/>
      <c r="AA130" s="832"/>
      <c r="AB130" s="832"/>
      <c r="AC130" s="829"/>
      <c r="AD130" s="829"/>
      <c r="AE130" s="800">
        <f t="shared" si="88"/>
        <v>15000</v>
      </c>
      <c r="AF130" s="776"/>
      <c r="AG130" s="776"/>
      <c r="AH130" s="776"/>
      <c r="AI130" s="776"/>
      <c r="AJ130" s="776">
        <f t="shared" si="85"/>
        <v>15000</v>
      </c>
      <c r="AK130" s="800"/>
      <c r="AL130" s="800"/>
      <c r="AM130" s="800"/>
      <c r="AN130" s="800"/>
      <c r="AO130" s="800">
        <f t="shared" si="86"/>
        <v>15000</v>
      </c>
      <c r="AP130" s="800"/>
      <c r="AQ130" s="800"/>
      <c r="AR130" s="800"/>
      <c r="AS130" s="776"/>
      <c r="AT130" s="776"/>
      <c r="AU130" s="786"/>
      <c r="AV130" s="876"/>
      <c r="AW130" s="877"/>
    </row>
    <row r="131" s="693" customFormat="1" ht="27" customHeight="1" spans="1:49">
      <c r="A131" s="805">
        <v>44608</v>
      </c>
      <c r="B131" s="711" t="s">
        <v>2146</v>
      </c>
      <c r="C131" s="712" t="s">
        <v>91</v>
      </c>
      <c r="D131" s="791">
        <v>4500070738</v>
      </c>
      <c r="E131" s="791" t="s">
        <v>3496</v>
      </c>
      <c r="F131" s="711" t="s">
        <v>3486</v>
      </c>
      <c r="G131" s="712" t="s">
        <v>3141</v>
      </c>
      <c r="H131" s="791">
        <v>4998</v>
      </c>
      <c r="I131" s="711">
        <v>0</v>
      </c>
      <c r="J131" s="711">
        <v>6</v>
      </c>
      <c r="K131" s="698">
        <f t="shared" si="79"/>
        <v>833</v>
      </c>
      <c r="L131" s="829" t="s">
        <v>3497</v>
      </c>
      <c r="M131" s="829" t="s">
        <v>3498</v>
      </c>
      <c r="N131" s="850"/>
      <c r="O131" s="849"/>
      <c r="P131" s="851"/>
      <c r="Q131" s="744" t="s">
        <v>1427</v>
      </c>
      <c r="R131" s="744" t="s">
        <v>2112</v>
      </c>
      <c r="S131" s="744" t="s">
        <v>3489</v>
      </c>
      <c r="T131" s="712" t="s">
        <v>3490</v>
      </c>
      <c r="U131" s="795" t="s">
        <v>3491</v>
      </c>
      <c r="V131" s="712" t="s">
        <v>3492</v>
      </c>
      <c r="W131" s="819">
        <v>2.8516</v>
      </c>
      <c r="X131" s="725">
        <f t="shared" si="84"/>
        <v>14252.2968</v>
      </c>
      <c r="Y131" s="832"/>
      <c r="Z131" s="775"/>
      <c r="AA131" s="832"/>
      <c r="AB131" s="832"/>
      <c r="AC131" s="829"/>
      <c r="AD131" s="829"/>
      <c r="AE131" s="800">
        <f t="shared" si="88"/>
        <v>4998</v>
      </c>
      <c r="AF131" s="776"/>
      <c r="AG131" s="776"/>
      <c r="AH131" s="776"/>
      <c r="AI131" s="776"/>
      <c r="AJ131" s="776">
        <f t="shared" si="85"/>
        <v>4998</v>
      </c>
      <c r="AK131" s="800"/>
      <c r="AL131" s="800"/>
      <c r="AM131" s="800"/>
      <c r="AN131" s="800"/>
      <c r="AO131" s="800">
        <f t="shared" si="86"/>
        <v>4998</v>
      </c>
      <c r="AP131" s="800"/>
      <c r="AQ131" s="800"/>
      <c r="AR131" s="800"/>
      <c r="AS131" s="776"/>
      <c r="AT131" s="776"/>
      <c r="AU131" s="786"/>
      <c r="AV131" s="876"/>
      <c r="AW131" s="877"/>
    </row>
    <row r="132" s="694" customFormat="1" ht="37" customHeight="1" spans="1:49">
      <c r="A132" s="805">
        <v>44670</v>
      </c>
      <c r="B132" s="711" t="s">
        <v>1890</v>
      </c>
      <c r="C132" s="712" t="s">
        <v>91</v>
      </c>
      <c r="D132" s="791">
        <v>4500076447</v>
      </c>
      <c r="E132" s="791">
        <v>24615</v>
      </c>
      <c r="F132" s="711" t="s">
        <v>3117</v>
      </c>
      <c r="G132" s="712" t="s">
        <v>2119</v>
      </c>
      <c r="H132" s="791">
        <v>2196</v>
      </c>
      <c r="I132" s="711">
        <v>0</v>
      </c>
      <c r="J132" s="711">
        <v>12</v>
      </c>
      <c r="K132" s="698">
        <f t="shared" si="79"/>
        <v>183</v>
      </c>
      <c r="L132" s="829" t="s">
        <v>3499</v>
      </c>
      <c r="M132" s="829" t="s">
        <v>3175</v>
      </c>
      <c r="N132" s="759"/>
      <c r="O132" s="737"/>
      <c r="P132" s="835"/>
      <c r="Q132" s="744" t="s">
        <v>1427</v>
      </c>
      <c r="R132" s="744" t="s">
        <v>58</v>
      </c>
      <c r="S132" s="744" t="s">
        <v>58</v>
      </c>
      <c r="T132" s="711" t="s">
        <v>3500</v>
      </c>
      <c r="U132" s="795" t="s">
        <v>1894</v>
      </c>
      <c r="V132" s="712" t="s">
        <v>1895</v>
      </c>
      <c r="W132" s="819">
        <v>2.9448</v>
      </c>
      <c r="X132" s="725">
        <f t="shared" si="84"/>
        <v>6466.7808</v>
      </c>
      <c r="Y132" s="778"/>
      <c r="Z132" s="744"/>
      <c r="AA132" s="778"/>
      <c r="AB132" s="778"/>
      <c r="AC132" s="777"/>
      <c r="AD132" s="777"/>
      <c r="AE132" s="776">
        <f>H132/3</f>
        <v>732</v>
      </c>
      <c r="AF132" s="776">
        <f>H132/3</f>
        <v>732</v>
      </c>
      <c r="AG132" s="776">
        <f>H132/3</f>
        <v>732</v>
      </c>
      <c r="AH132" s="776"/>
      <c r="AI132" s="776"/>
      <c r="AJ132" s="776">
        <f t="shared" si="85"/>
        <v>2196</v>
      </c>
      <c r="AK132" s="800"/>
      <c r="AL132" s="800"/>
      <c r="AM132" s="800"/>
      <c r="AN132" s="800"/>
      <c r="AO132" s="800">
        <f t="shared" si="86"/>
        <v>2196</v>
      </c>
      <c r="AP132" s="800"/>
      <c r="AQ132" s="800"/>
      <c r="AR132" s="800"/>
      <c r="AS132" s="776"/>
      <c r="AT132" s="776"/>
      <c r="AU132" s="776"/>
      <c r="AV132" s="865"/>
      <c r="AW132" s="712"/>
    </row>
    <row r="133" s="694" customFormat="1" ht="37" customHeight="1" spans="1:49">
      <c r="A133" s="805">
        <v>44481</v>
      </c>
      <c r="B133" s="711" t="s">
        <v>2146</v>
      </c>
      <c r="C133" s="712" t="s">
        <v>91</v>
      </c>
      <c r="D133" s="711">
        <v>4500063060</v>
      </c>
      <c r="E133" s="711" t="s">
        <v>3501</v>
      </c>
      <c r="F133" s="711" t="s">
        <v>3486</v>
      </c>
      <c r="G133" s="712" t="s">
        <v>3141</v>
      </c>
      <c r="H133" s="711">
        <v>9702</v>
      </c>
      <c r="I133" s="711">
        <v>0</v>
      </c>
      <c r="J133" s="711">
        <v>6</v>
      </c>
      <c r="K133" s="698">
        <f t="shared" si="79"/>
        <v>1617</v>
      </c>
      <c r="L133" s="777" t="s">
        <v>3502</v>
      </c>
      <c r="M133" s="727" t="s">
        <v>3503</v>
      </c>
      <c r="N133" s="759"/>
      <c r="O133" s="737"/>
      <c r="P133" s="835"/>
      <c r="Q133" s="744" t="s">
        <v>1427</v>
      </c>
      <c r="R133" s="744"/>
      <c r="S133" s="744" t="s">
        <v>1427</v>
      </c>
      <c r="T133" s="711" t="s">
        <v>3309</v>
      </c>
      <c r="U133" s="716" t="s">
        <v>3504</v>
      </c>
      <c r="V133" s="711" t="s">
        <v>3492</v>
      </c>
      <c r="W133" s="819">
        <v>0</v>
      </c>
      <c r="X133" s="725">
        <f t="shared" si="84"/>
        <v>0</v>
      </c>
      <c r="Y133" s="778"/>
      <c r="Z133" s="744"/>
      <c r="AA133" s="778"/>
      <c r="AB133" s="778"/>
      <c r="AC133" s="777"/>
      <c r="AD133" s="777"/>
      <c r="AE133" s="800">
        <f t="shared" ref="AE133:AE137" si="89">H133</f>
        <v>9702</v>
      </c>
      <c r="AF133" s="776"/>
      <c r="AG133" s="776"/>
      <c r="AH133" s="776"/>
      <c r="AI133" s="776">
        <f>H133</f>
        <v>9702</v>
      </c>
      <c r="AJ133" s="776"/>
      <c r="AK133" s="800"/>
      <c r="AL133" s="800"/>
      <c r="AM133" s="800"/>
      <c r="AN133" s="800">
        <f>H133</f>
        <v>9702</v>
      </c>
      <c r="AO133" s="800"/>
      <c r="AP133" s="800"/>
      <c r="AQ133" s="800"/>
      <c r="AR133" s="800"/>
      <c r="AS133" s="776"/>
      <c r="AT133" s="776"/>
      <c r="AU133" s="776"/>
      <c r="AV133" s="865"/>
      <c r="AW133" s="712"/>
    </row>
    <row r="134" s="694" customFormat="1" ht="37" customHeight="1" spans="1:49">
      <c r="A134" s="805">
        <v>44481</v>
      </c>
      <c r="B134" s="711" t="s">
        <v>2146</v>
      </c>
      <c r="C134" s="712" t="s">
        <v>91</v>
      </c>
      <c r="D134" s="711">
        <v>4500063059</v>
      </c>
      <c r="E134" s="711" t="s">
        <v>3505</v>
      </c>
      <c r="F134" s="711" t="s">
        <v>3486</v>
      </c>
      <c r="G134" s="712" t="s">
        <v>3141</v>
      </c>
      <c r="H134" s="711">
        <v>6102</v>
      </c>
      <c r="I134" s="711">
        <v>0</v>
      </c>
      <c r="J134" s="711">
        <v>6</v>
      </c>
      <c r="K134" s="698">
        <f t="shared" si="79"/>
        <v>1017</v>
      </c>
      <c r="L134" s="777" t="s">
        <v>3506</v>
      </c>
      <c r="M134" s="727" t="s">
        <v>3507</v>
      </c>
      <c r="N134" s="759"/>
      <c r="O134" s="737"/>
      <c r="P134" s="835"/>
      <c r="Q134" s="744" t="s">
        <v>1427</v>
      </c>
      <c r="R134" s="744"/>
      <c r="S134" s="744" t="s">
        <v>1427</v>
      </c>
      <c r="T134" s="711" t="s">
        <v>3309</v>
      </c>
      <c r="U134" s="716" t="s">
        <v>3508</v>
      </c>
      <c r="V134" s="711" t="s">
        <v>3492</v>
      </c>
      <c r="W134" s="819">
        <v>0</v>
      </c>
      <c r="X134" s="725">
        <f t="shared" si="84"/>
        <v>0</v>
      </c>
      <c r="Y134" s="778"/>
      <c r="Z134" s="744"/>
      <c r="AA134" s="778"/>
      <c r="AB134" s="778"/>
      <c r="AC134" s="777"/>
      <c r="AD134" s="777"/>
      <c r="AE134" s="800">
        <f t="shared" si="89"/>
        <v>6102</v>
      </c>
      <c r="AF134" s="776"/>
      <c r="AG134" s="776"/>
      <c r="AH134" s="776"/>
      <c r="AI134" s="776">
        <f>H134</f>
        <v>6102</v>
      </c>
      <c r="AJ134" s="776"/>
      <c r="AK134" s="800"/>
      <c r="AL134" s="800"/>
      <c r="AM134" s="800"/>
      <c r="AN134" s="800">
        <f>H134</f>
        <v>6102</v>
      </c>
      <c r="AO134" s="800"/>
      <c r="AP134" s="800"/>
      <c r="AQ134" s="800"/>
      <c r="AR134" s="800"/>
      <c r="AS134" s="776"/>
      <c r="AT134" s="776"/>
      <c r="AU134" s="776"/>
      <c r="AV134" s="865"/>
      <c r="AW134" s="712"/>
    </row>
    <row r="135" s="694" customFormat="1" ht="37" customHeight="1" spans="1:49">
      <c r="A135" s="805">
        <v>44571</v>
      </c>
      <c r="B135" s="711" t="s">
        <v>90</v>
      </c>
      <c r="C135" s="712" t="s">
        <v>91</v>
      </c>
      <c r="D135" s="791">
        <v>4500068838</v>
      </c>
      <c r="E135" s="711">
        <v>7676040753</v>
      </c>
      <c r="F135" s="711" t="s">
        <v>3509</v>
      </c>
      <c r="G135" s="712" t="s">
        <v>2063</v>
      </c>
      <c r="H135" s="711">
        <v>1116</v>
      </c>
      <c r="I135" s="711">
        <v>0</v>
      </c>
      <c r="J135" s="711">
        <v>2</v>
      </c>
      <c r="K135" s="698">
        <f t="shared" si="79"/>
        <v>558</v>
      </c>
      <c r="L135" s="777" t="s">
        <v>3510</v>
      </c>
      <c r="M135" s="777" t="s">
        <v>3511</v>
      </c>
      <c r="N135" s="759"/>
      <c r="O135" s="737"/>
      <c r="P135" s="835"/>
      <c r="Q135" s="744" t="s">
        <v>3512</v>
      </c>
      <c r="R135" s="744" t="s">
        <v>2112</v>
      </c>
      <c r="S135" s="744" t="s">
        <v>1427</v>
      </c>
      <c r="T135" s="712" t="s">
        <v>3513</v>
      </c>
      <c r="U135" s="716" t="s">
        <v>3514</v>
      </c>
      <c r="V135" s="711" t="s">
        <v>3515</v>
      </c>
      <c r="W135" s="819">
        <v>0</v>
      </c>
      <c r="X135" s="725">
        <f t="shared" si="84"/>
        <v>0</v>
      </c>
      <c r="Y135" s="778"/>
      <c r="Z135" s="744"/>
      <c r="AA135" s="778"/>
      <c r="AB135" s="778"/>
      <c r="AC135" s="777"/>
      <c r="AD135" s="777"/>
      <c r="AE135" s="800"/>
      <c r="AF135" s="776">
        <f>H135</f>
        <v>1116</v>
      </c>
      <c r="AG135" s="776"/>
      <c r="AH135" s="776"/>
      <c r="AI135" s="776"/>
      <c r="AJ135" s="776">
        <f t="shared" ref="AJ135:AJ166" si="90">H135</f>
        <v>1116</v>
      </c>
      <c r="AK135" s="800"/>
      <c r="AL135" s="800"/>
      <c r="AM135" s="800"/>
      <c r="AN135" s="800"/>
      <c r="AO135" s="800"/>
      <c r="AP135" s="800"/>
      <c r="AQ135" s="800"/>
      <c r="AR135" s="800"/>
      <c r="AS135" s="776"/>
      <c r="AT135" s="776">
        <f t="shared" ref="AT135:AT139" si="91">H135</f>
        <v>1116</v>
      </c>
      <c r="AU135" s="776"/>
      <c r="AV135" s="865"/>
      <c r="AW135" s="712"/>
    </row>
    <row r="136" s="694" customFormat="1" ht="37" customHeight="1" spans="1:49">
      <c r="A136" s="805">
        <v>44571</v>
      </c>
      <c r="B136" s="711" t="s">
        <v>90</v>
      </c>
      <c r="C136" s="712" t="s">
        <v>91</v>
      </c>
      <c r="D136" s="791">
        <v>4500068838</v>
      </c>
      <c r="E136" s="711">
        <v>7676040754</v>
      </c>
      <c r="F136" s="711" t="s">
        <v>3516</v>
      </c>
      <c r="G136" s="712" t="s">
        <v>2663</v>
      </c>
      <c r="H136" s="711">
        <v>1116</v>
      </c>
      <c r="I136" s="711">
        <v>0</v>
      </c>
      <c r="J136" s="711">
        <v>2</v>
      </c>
      <c r="K136" s="698">
        <f t="shared" si="79"/>
        <v>558</v>
      </c>
      <c r="L136" s="777" t="s">
        <v>3510</v>
      </c>
      <c r="M136" s="777" t="s">
        <v>3511</v>
      </c>
      <c r="N136" s="759"/>
      <c r="O136" s="737"/>
      <c r="P136" s="835"/>
      <c r="Q136" s="744" t="s">
        <v>3512</v>
      </c>
      <c r="R136" s="744" t="s">
        <v>2112</v>
      </c>
      <c r="S136" s="744" t="s">
        <v>1427</v>
      </c>
      <c r="T136" s="712" t="s">
        <v>3513</v>
      </c>
      <c r="U136" s="716"/>
      <c r="V136" s="711" t="s">
        <v>3515</v>
      </c>
      <c r="W136" s="819">
        <v>0</v>
      </c>
      <c r="X136" s="725">
        <f t="shared" si="84"/>
        <v>0</v>
      </c>
      <c r="Y136" s="778"/>
      <c r="Z136" s="744"/>
      <c r="AA136" s="778"/>
      <c r="AB136" s="778"/>
      <c r="AC136" s="777"/>
      <c r="AD136" s="777"/>
      <c r="AE136" s="800"/>
      <c r="AF136" s="776"/>
      <c r="AG136" s="776">
        <f>H136</f>
        <v>1116</v>
      </c>
      <c r="AH136" s="776"/>
      <c r="AI136" s="776"/>
      <c r="AJ136" s="776">
        <f t="shared" si="90"/>
        <v>1116</v>
      </c>
      <c r="AK136" s="800"/>
      <c r="AL136" s="800"/>
      <c r="AM136" s="800"/>
      <c r="AN136" s="800"/>
      <c r="AO136" s="800"/>
      <c r="AP136" s="800"/>
      <c r="AQ136" s="800"/>
      <c r="AR136" s="800"/>
      <c r="AS136" s="776"/>
      <c r="AT136" s="776">
        <f t="shared" si="91"/>
        <v>1116</v>
      </c>
      <c r="AU136" s="776"/>
      <c r="AV136" s="865"/>
      <c r="AW136" s="712"/>
    </row>
    <row r="137" s="694" customFormat="1" ht="37" customHeight="1" spans="1:49">
      <c r="A137" s="805">
        <v>44571</v>
      </c>
      <c r="B137" s="711" t="s">
        <v>90</v>
      </c>
      <c r="C137" s="712" t="s">
        <v>91</v>
      </c>
      <c r="D137" s="791">
        <v>4500068838</v>
      </c>
      <c r="E137" s="711">
        <v>7676040755</v>
      </c>
      <c r="F137" s="711" t="s">
        <v>3517</v>
      </c>
      <c r="G137" s="712" t="s">
        <v>2052</v>
      </c>
      <c r="H137" s="711">
        <v>1116</v>
      </c>
      <c r="I137" s="711">
        <v>0</v>
      </c>
      <c r="J137" s="711">
        <v>2</v>
      </c>
      <c r="K137" s="698">
        <f t="shared" si="79"/>
        <v>558</v>
      </c>
      <c r="L137" s="777" t="s">
        <v>3510</v>
      </c>
      <c r="M137" s="777" t="s">
        <v>3511</v>
      </c>
      <c r="N137" s="759"/>
      <c r="O137" s="737"/>
      <c r="P137" s="835"/>
      <c r="Q137" s="744" t="s">
        <v>3512</v>
      </c>
      <c r="R137" s="744" t="s">
        <v>2112</v>
      </c>
      <c r="S137" s="744" t="s">
        <v>1427</v>
      </c>
      <c r="T137" s="712" t="s">
        <v>594</v>
      </c>
      <c r="U137" s="716"/>
      <c r="V137" s="711" t="s">
        <v>3515</v>
      </c>
      <c r="W137" s="819">
        <v>0</v>
      </c>
      <c r="X137" s="725">
        <f t="shared" si="84"/>
        <v>0</v>
      </c>
      <c r="Y137" s="778"/>
      <c r="Z137" s="744"/>
      <c r="AA137" s="778"/>
      <c r="AB137" s="778"/>
      <c r="AC137" s="777"/>
      <c r="AD137" s="777"/>
      <c r="AE137" s="800">
        <f t="shared" si="89"/>
        <v>1116</v>
      </c>
      <c r="AF137" s="776"/>
      <c r="AG137" s="776"/>
      <c r="AH137" s="776"/>
      <c r="AI137" s="776"/>
      <c r="AJ137" s="776">
        <f t="shared" si="90"/>
        <v>1116</v>
      </c>
      <c r="AK137" s="800"/>
      <c r="AL137" s="800"/>
      <c r="AM137" s="800"/>
      <c r="AN137" s="800"/>
      <c r="AO137" s="800">
        <f>H137</f>
        <v>1116</v>
      </c>
      <c r="AP137" s="800"/>
      <c r="AQ137" s="800"/>
      <c r="AR137" s="800"/>
      <c r="AS137" s="776"/>
      <c r="AT137" s="776"/>
      <c r="AU137" s="776"/>
      <c r="AV137" s="865"/>
      <c r="AW137" s="712"/>
    </row>
    <row r="138" s="694" customFormat="1" ht="37" customHeight="1" spans="1:49">
      <c r="A138" s="805">
        <v>44571</v>
      </c>
      <c r="B138" s="711" t="s">
        <v>90</v>
      </c>
      <c r="C138" s="712" t="s">
        <v>91</v>
      </c>
      <c r="D138" s="711">
        <v>4500068825</v>
      </c>
      <c r="E138" s="711">
        <v>7676040763</v>
      </c>
      <c r="F138" s="711" t="s">
        <v>3509</v>
      </c>
      <c r="G138" s="712" t="s">
        <v>2063</v>
      </c>
      <c r="H138" s="711">
        <v>1000</v>
      </c>
      <c r="I138" s="711">
        <v>0</v>
      </c>
      <c r="J138" s="711">
        <v>2</v>
      </c>
      <c r="K138" s="698">
        <f t="shared" si="79"/>
        <v>500</v>
      </c>
      <c r="L138" s="777" t="s">
        <v>3518</v>
      </c>
      <c r="M138" s="777" t="s">
        <v>3519</v>
      </c>
      <c r="N138" s="759"/>
      <c r="O138" s="737"/>
      <c r="P138" s="835"/>
      <c r="Q138" s="744" t="s">
        <v>3512</v>
      </c>
      <c r="R138" s="744" t="s">
        <v>2112</v>
      </c>
      <c r="S138" s="744" t="s">
        <v>1427</v>
      </c>
      <c r="T138" s="712" t="s">
        <v>3513</v>
      </c>
      <c r="U138" s="793" t="s">
        <v>3514</v>
      </c>
      <c r="V138" s="711" t="s">
        <v>3515</v>
      </c>
      <c r="W138" s="819">
        <v>0</v>
      </c>
      <c r="X138" s="725">
        <f t="shared" si="84"/>
        <v>0</v>
      </c>
      <c r="Y138" s="778"/>
      <c r="Z138" s="744"/>
      <c r="AA138" s="778"/>
      <c r="AB138" s="778"/>
      <c r="AC138" s="777"/>
      <c r="AD138" s="777"/>
      <c r="AE138" s="800"/>
      <c r="AF138" s="776">
        <f>H138</f>
        <v>1000</v>
      </c>
      <c r="AG138" s="776"/>
      <c r="AH138" s="776"/>
      <c r="AI138" s="776"/>
      <c r="AJ138" s="776">
        <f t="shared" si="90"/>
        <v>1000</v>
      </c>
      <c r="AK138" s="800"/>
      <c r="AL138" s="800"/>
      <c r="AM138" s="800"/>
      <c r="AN138" s="800"/>
      <c r="AO138" s="800"/>
      <c r="AP138" s="800"/>
      <c r="AQ138" s="800"/>
      <c r="AR138" s="800"/>
      <c r="AS138" s="776"/>
      <c r="AT138" s="776">
        <f t="shared" si="91"/>
        <v>1000</v>
      </c>
      <c r="AU138" s="776"/>
      <c r="AV138" s="865"/>
      <c r="AW138" s="712"/>
    </row>
    <row r="139" s="694" customFormat="1" ht="37" customHeight="1" spans="1:49">
      <c r="A139" s="805">
        <v>44571</v>
      </c>
      <c r="B139" s="711" t="s">
        <v>90</v>
      </c>
      <c r="C139" s="712" t="s">
        <v>91</v>
      </c>
      <c r="D139" s="711">
        <v>4500068825</v>
      </c>
      <c r="E139" s="711">
        <v>7676040764</v>
      </c>
      <c r="F139" s="711" t="s">
        <v>3516</v>
      </c>
      <c r="G139" s="712" t="s">
        <v>2663</v>
      </c>
      <c r="H139" s="711">
        <v>1000</v>
      </c>
      <c r="I139" s="711">
        <v>0</v>
      </c>
      <c r="J139" s="711">
        <v>2</v>
      </c>
      <c r="K139" s="698">
        <f t="shared" si="79"/>
        <v>500</v>
      </c>
      <c r="L139" s="777" t="s">
        <v>3518</v>
      </c>
      <c r="M139" s="777" t="s">
        <v>3519</v>
      </c>
      <c r="N139" s="759"/>
      <c r="O139" s="737"/>
      <c r="P139" s="835"/>
      <c r="Q139" s="744" t="s">
        <v>3512</v>
      </c>
      <c r="R139" s="744" t="s">
        <v>2112</v>
      </c>
      <c r="S139" s="744" t="s">
        <v>1427</v>
      </c>
      <c r="T139" s="712" t="s">
        <v>3513</v>
      </c>
      <c r="U139" s="794"/>
      <c r="V139" s="711" t="s">
        <v>3515</v>
      </c>
      <c r="W139" s="819">
        <v>0</v>
      </c>
      <c r="X139" s="725">
        <f t="shared" si="84"/>
        <v>0</v>
      </c>
      <c r="Y139" s="778"/>
      <c r="Z139" s="744"/>
      <c r="AA139" s="778"/>
      <c r="AB139" s="778"/>
      <c r="AC139" s="777"/>
      <c r="AD139" s="777"/>
      <c r="AE139" s="800"/>
      <c r="AF139" s="776"/>
      <c r="AG139" s="776">
        <f>H139</f>
        <v>1000</v>
      </c>
      <c r="AH139" s="776"/>
      <c r="AI139" s="776"/>
      <c r="AJ139" s="776">
        <f t="shared" si="90"/>
        <v>1000</v>
      </c>
      <c r="AK139" s="800"/>
      <c r="AL139" s="800"/>
      <c r="AM139" s="800"/>
      <c r="AN139" s="800"/>
      <c r="AO139" s="800"/>
      <c r="AP139" s="800"/>
      <c r="AQ139" s="800"/>
      <c r="AR139" s="800"/>
      <c r="AS139" s="776"/>
      <c r="AT139" s="776">
        <f t="shared" si="91"/>
        <v>1000</v>
      </c>
      <c r="AU139" s="776"/>
      <c r="AV139" s="865"/>
      <c r="AW139" s="712"/>
    </row>
    <row r="140" s="694" customFormat="1" ht="37" customHeight="1" spans="1:49">
      <c r="A140" s="805">
        <v>44571</v>
      </c>
      <c r="B140" s="711" t="s">
        <v>90</v>
      </c>
      <c r="C140" s="712" t="s">
        <v>91</v>
      </c>
      <c r="D140" s="711">
        <v>4500068825</v>
      </c>
      <c r="E140" s="711">
        <v>7676040765</v>
      </c>
      <c r="F140" s="711" t="s">
        <v>3517</v>
      </c>
      <c r="G140" s="712" t="s">
        <v>2052</v>
      </c>
      <c r="H140" s="711">
        <v>1000</v>
      </c>
      <c r="I140" s="711">
        <v>0</v>
      </c>
      <c r="J140" s="711">
        <v>2</v>
      </c>
      <c r="K140" s="698">
        <f t="shared" si="79"/>
        <v>500</v>
      </c>
      <c r="L140" s="777" t="s">
        <v>3518</v>
      </c>
      <c r="M140" s="777" t="s">
        <v>3519</v>
      </c>
      <c r="N140" s="759"/>
      <c r="O140" s="737"/>
      <c r="P140" s="835"/>
      <c r="Q140" s="744" t="s">
        <v>3512</v>
      </c>
      <c r="R140" s="744" t="s">
        <v>2112</v>
      </c>
      <c r="S140" s="744" t="s">
        <v>1427</v>
      </c>
      <c r="T140" s="712" t="s">
        <v>594</v>
      </c>
      <c r="U140" s="795"/>
      <c r="V140" s="711" t="s">
        <v>3515</v>
      </c>
      <c r="W140" s="819">
        <v>0</v>
      </c>
      <c r="X140" s="725">
        <f t="shared" si="84"/>
        <v>0</v>
      </c>
      <c r="Y140" s="778"/>
      <c r="Z140" s="744"/>
      <c r="AA140" s="778"/>
      <c r="AB140" s="778"/>
      <c r="AC140" s="777"/>
      <c r="AD140" s="777"/>
      <c r="AE140" s="800">
        <f>H140</f>
        <v>1000</v>
      </c>
      <c r="AF140" s="776"/>
      <c r="AG140" s="776"/>
      <c r="AH140" s="776"/>
      <c r="AI140" s="776"/>
      <c r="AJ140" s="776">
        <f t="shared" si="90"/>
        <v>1000</v>
      </c>
      <c r="AK140" s="800"/>
      <c r="AL140" s="800"/>
      <c r="AM140" s="800"/>
      <c r="AN140" s="800"/>
      <c r="AO140" s="800">
        <f>H140</f>
        <v>1000</v>
      </c>
      <c r="AP140" s="800"/>
      <c r="AQ140" s="800"/>
      <c r="AR140" s="800"/>
      <c r="AS140" s="776"/>
      <c r="AT140" s="776"/>
      <c r="AU140" s="776"/>
      <c r="AV140" s="865"/>
      <c r="AW140" s="712"/>
    </row>
    <row r="141" s="694" customFormat="1" ht="37" customHeight="1" spans="1:49">
      <c r="A141" s="805">
        <v>44571</v>
      </c>
      <c r="B141" s="711" t="s">
        <v>90</v>
      </c>
      <c r="C141" s="712" t="s">
        <v>91</v>
      </c>
      <c r="D141" s="791">
        <v>4500068831</v>
      </c>
      <c r="E141" s="711">
        <v>7676040738</v>
      </c>
      <c r="F141" s="711" t="s">
        <v>3509</v>
      </c>
      <c r="G141" s="712" t="s">
        <v>2063</v>
      </c>
      <c r="H141" s="711">
        <v>750</v>
      </c>
      <c r="I141" s="711">
        <v>0</v>
      </c>
      <c r="J141" s="711">
        <v>2</v>
      </c>
      <c r="K141" s="698">
        <f t="shared" si="79"/>
        <v>375</v>
      </c>
      <c r="L141" s="777" t="s">
        <v>3520</v>
      </c>
      <c r="M141" s="777" t="s">
        <v>3521</v>
      </c>
      <c r="N141" s="759"/>
      <c r="O141" s="737"/>
      <c r="P141" s="835"/>
      <c r="Q141" s="744" t="s">
        <v>3512</v>
      </c>
      <c r="R141" s="744" t="s">
        <v>2112</v>
      </c>
      <c r="S141" s="744" t="s">
        <v>1427</v>
      </c>
      <c r="T141" s="712" t="s">
        <v>3513</v>
      </c>
      <c r="U141" s="793" t="s">
        <v>3514</v>
      </c>
      <c r="V141" s="711" t="s">
        <v>3515</v>
      </c>
      <c r="W141" s="819">
        <v>0</v>
      </c>
      <c r="X141" s="725">
        <f t="shared" si="84"/>
        <v>0</v>
      </c>
      <c r="Y141" s="778"/>
      <c r="Z141" s="744"/>
      <c r="AA141" s="778"/>
      <c r="AB141" s="778"/>
      <c r="AC141" s="777"/>
      <c r="AD141" s="777"/>
      <c r="AE141" s="800"/>
      <c r="AF141" s="776">
        <f>H141</f>
        <v>750</v>
      </c>
      <c r="AG141" s="776"/>
      <c r="AH141" s="776"/>
      <c r="AI141" s="776"/>
      <c r="AJ141" s="776">
        <f t="shared" si="90"/>
        <v>750</v>
      </c>
      <c r="AK141" s="800"/>
      <c r="AL141" s="800"/>
      <c r="AM141" s="800"/>
      <c r="AN141" s="800"/>
      <c r="AO141" s="800"/>
      <c r="AP141" s="800"/>
      <c r="AQ141" s="800"/>
      <c r="AR141" s="800"/>
      <c r="AS141" s="776"/>
      <c r="AT141" s="776">
        <f t="shared" ref="AT141:AT145" si="92">H141</f>
        <v>750</v>
      </c>
      <c r="AU141" s="776"/>
      <c r="AV141" s="865"/>
      <c r="AW141" s="712"/>
    </row>
    <row r="142" s="694" customFormat="1" ht="37" customHeight="1" spans="1:49">
      <c r="A142" s="805">
        <v>44571</v>
      </c>
      <c r="B142" s="711" t="s">
        <v>90</v>
      </c>
      <c r="C142" s="712" t="s">
        <v>91</v>
      </c>
      <c r="D142" s="791">
        <v>4500068831</v>
      </c>
      <c r="E142" s="711">
        <v>7676040739</v>
      </c>
      <c r="F142" s="711" t="s">
        <v>3516</v>
      </c>
      <c r="G142" s="712" t="s">
        <v>2663</v>
      </c>
      <c r="H142" s="711">
        <v>750</v>
      </c>
      <c r="I142" s="711">
        <v>0</v>
      </c>
      <c r="J142" s="711">
        <v>2</v>
      </c>
      <c r="K142" s="698">
        <f t="shared" si="79"/>
        <v>375</v>
      </c>
      <c r="L142" s="777" t="s">
        <v>3522</v>
      </c>
      <c r="M142" s="777" t="s">
        <v>3521</v>
      </c>
      <c r="N142" s="759"/>
      <c r="O142" s="737"/>
      <c r="P142" s="835"/>
      <c r="Q142" s="744" t="s">
        <v>3512</v>
      </c>
      <c r="R142" s="744" t="s">
        <v>2112</v>
      </c>
      <c r="S142" s="744" t="s">
        <v>1427</v>
      </c>
      <c r="T142" s="712" t="s">
        <v>3513</v>
      </c>
      <c r="U142" s="794"/>
      <c r="V142" s="711" t="s">
        <v>3515</v>
      </c>
      <c r="W142" s="819">
        <v>0</v>
      </c>
      <c r="X142" s="725">
        <f t="shared" si="84"/>
        <v>0</v>
      </c>
      <c r="Y142" s="778"/>
      <c r="Z142" s="744"/>
      <c r="AA142" s="778"/>
      <c r="AB142" s="778"/>
      <c r="AC142" s="777"/>
      <c r="AD142" s="777"/>
      <c r="AE142" s="800"/>
      <c r="AF142" s="776"/>
      <c r="AG142" s="776">
        <f>H142</f>
        <v>750</v>
      </c>
      <c r="AH142" s="776"/>
      <c r="AI142" s="776"/>
      <c r="AJ142" s="776">
        <f t="shared" si="90"/>
        <v>750</v>
      </c>
      <c r="AK142" s="800"/>
      <c r="AL142" s="800"/>
      <c r="AM142" s="800"/>
      <c r="AN142" s="800"/>
      <c r="AO142" s="800"/>
      <c r="AP142" s="800"/>
      <c r="AQ142" s="800"/>
      <c r="AR142" s="800"/>
      <c r="AS142" s="776"/>
      <c r="AT142" s="776">
        <f t="shared" si="92"/>
        <v>750</v>
      </c>
      <c r="AU142" s="776"/>
      <c r="AV142" s="865"/>
      <c r="AW142" s="712"/>
    </row>
    <row r="143" s="694" customFormat="1" ht="37" customHeight="1" spans="1:49">
      <c r="A143" s="805">
        <v>44571</v>
      </c>
      <c r="B143" s="711" t="s">
        <v>90</v>
      </c>
      <c r="C143" s="712" t="s">
        <v>91</v>
      </c>
      <c r="D143" s="791">
        <v>4500068831</v>
      </c>
      <c r="E143" s="711">
        <v>7676040740</v>
      </c>
      <c r="F143" s="711" t="s">
        <v>3517</v>
      </c>
      <c r="G143" s="712" t="s">
        <v>2052</v>
      </c>
      <c r="H143" s="711">
        <v>750</v>
      </c>
      <c r="I143" s="711">
        <v>0</v>
      </c>
      <c r="J143" s="711">
        <v>2</v>
      </c>
      <c r="K143" s="698">
        <f t="shared" si="79"/>
        <v>375</v>
      </c>
      <c r="L143" s="777" t="s">
        <v>3522</v>
      </c>
      <c r="M143" s="777" t="s">
        <v>3523</v>
      </c>
      <c r="N143" s="759"/>
      <c r="O143" s="737"/>
      <c r="P143" s="835"/>
      <c r="Q143" s="744" t="s">
        <v>3512</v>
      </c>
      <c r="R143" s="744" t="s">
        <v>2112</v>
      </c>
      <c r="S143" s="744" t="s">
        <v>1427</v>
      </c>
      <c r="T143" s="712" t="s">
        <v>594</v>
      </c>
      <c r="U143" s="795"/>
      <c r="V143" s="711" t="s">
        <v>3515</v>
      </c>
      <c r="W143" s="819">
        <v>0</v>
      </c>
      <c r="X143" s="725">
        <f t="shared" si="84"/>
        <v>0</v>
      </c>
      <c r="Y143" s="778"/>
      <c r="Z143" s="744"/>
      <c r="AA143" s="778"/>
      <c r="AB143" s="778"/>
      <c r="AC143" s="777"/>
      <c r="AD143" s="777"/>
      <c r="AE143" s="800">
        <f>H143</f>
        <v>750</v>
      </c>
      <c r="AF143" s="776"/>
      <c r="AG143" s="776"/>
      <c r="AH143" s="776"/>
      <c r="AI143" s="776"/>
      <c r="AJ143" s="776">
        <f t="shared" si="90"/>
        <v>750</v>
      </c>
      <c r="AK143" s="800"/>
      <c r="AL143" s="800"/>
      <c r="AM143" s="800"/>
      <c r="AN143" s="800"/>
      <c r="AO143" s="800">
        <f>H143</f>
        <v>750</v>
      </c>
      <c r="AP143" s="800"/>
      <c r="AQ143" s="800"/>
      <c r="AR143" s="800"/>
      <c r="AS143" s="776"/>
      <c r="AT143" s="776"/>
      <c r="AU143" s="776"/>
      <c r="AV143" s="865"/>
      <c r="AW143" s="712"/>
    </row>
    <row r="144" s="694" customFormat="1" ht="37" customHeight="1" spans="1:49">
      <c r="A144" s="805">
        <v>44571</v>
      </c>
      <c r="B144" s="711" t="s">
        <v>90</v>
      </c>
      <c r="C144" s="712" t="s">
        <v>91</v>
      </c>
      <c r="D144" s="791">
        <v>4500068840</v>
      </c>
      <c r="E144" s="711">
        <v>7676040758</v>
      </c>
      <c r="F144" s="711" t="s">
        <v>3509</v>
      </c>
      <c r="G144" s="712" t="s">
        <v>2063</v>
      </c>
      <c r="H144" s="711">
        <v>1210</v>
      </c>
      <c r="I144" s="711">
        <v>0</v>
      </c>
      <c r="J144" s="711">
        <v>2</v>
      </c>
      <c r="K144" s="698">
        <f t="shared" si="79"/>
        <v>605</v>
      </c>
      <c r="L144" s="777" t="s">
        <v>3524</v>
      </c>
      <c r="M144" s="777" t="s">
        <v>3520</v>
      </c>
      <c r="N144" s="759"/>
      <c r="O144" s="737"/>
      <c r="P144" s="835"/>
      <c r="Q144" s="744" t="s">
        <v>3512</v>
      </c>
      <c r="R144" s="744" t="s">
        <v>2112</v>
      </c>
      <c r="S144" s="744" t="s">
        <v>1427</v>
      </c>
      <c r="T144" s="712" t="s">
        <v>3513</v>
      </c>
      <c r="U144" s="794" t="s">
        <v>3525</v>
      </c>
      <c r="V144" s="711" t="s">
        <v>3515</v>
      </c>
      <c r="W144" s="819">
        <v>0</v>
      </c>
      <c r="X144" s="725">
        <f t="shared" si="84"/>
        <v>0</v>
      </c>
      <c r="Y144" s="778"/>
      <c r="Z144" s="744"/>
      <c r="AA144" s="778"/>
      <c r="AB144" s="778"/>
      <c r="AC144" s="777"/>
      <c r="AD144" s="777"/>
      <c r="AE144" s="800"/>
      <c r="AF144" s="776">
        <f>H144</f>
        <v>1210</v>
      </c>
      <c r="AG144" s="776"/>
      <c r="AH144" s="776"/>
      <c r="AI144" s="776"/>
      <c r="AJ144" s="776">
        <f t="shared" si="90"/>
        <v>1210</v>
      </c>
      <c r="AK144" s="800"/>
      <c r="AL144" s="800"/>
      <c r="AM144" s="800"/>
      <c r="AN144" s="800"/>
      <c r="AO144" s="800"/>
      <c r="AP144" s="800"/>
      <c r="AQ144" s="800"/>
      <c r="AR144" s="800"/>
      <c r="AS144" s="776"/>
      <c r="AT144" s="776">
        <f t="shared" si="92"/>
        <v>1210</v>
      </c>
      <c r="AU144" s="776"/>
      <c r="AV144" s="865"/>
      <c r="AW144" s="712"/>
    </row>
    <row r="145" s="694" customFormat="1" ht="37" customHeight="1" spans="1:49">
      <c r="A145" s="805">
        <v>44571</v>
      </c>
      <c r="B145" s="711" t="s">
        <v>90</v>
      </c>
      <c r="C145" s="712" t="s">
        <v>91</v>
      </c>
      <c r="D145" s="791">
        <v>4500068840</v>
      </c>
      <c r="E145" s="711">
        <v>7676040759</v>
      </c>
      <c r="F145" s="711" t="s">
        <v>3516</v>
      </c>
      <c r="G145" s="712" t="s">
        <v>2663</v>
      </c>
      <c r="H145" s="711">
        <v>1210</v>
      </c>
      <c r="I145" s="711">
        <v>0</v>
      </c>
      <c r="J145" s="711">
        <v>2</v>
      </c>
      <c r="K145" s="698">
        <f t="shared" si="79"/>
        <v>605</v>
      </c>
      <c r="L145" s="777" t="s">
        <v>3524</v>
      </c>
      <c r="M145" s="777" t="s">
        <v>3520</v>
      </c>
      <c r="N145" s="759"/>
      <c r="O145" s="737"/>
      <c r="P145" s="835"/>
      <c r="Q145" s="744" t="s">
        <v>3512</v>
      </c>
      <c r="R145" s="744" t="s">
        <v>2112</v>
      </c>
      <c r="S145" s="744" t="s">
        <v>1427</v>
      </c>
      <c r="T145" s="712" t="s">
        <v>3513</v>
      </c>
      <c r="U145" s="794"/>
      <c r="V145" s="711" t="s">
        <v>3515</v>
      </c>
      <c r="W145" s="819">
        <v>0</v>
      </c>
      <c r="X145" s="725">
        <f t="shared" si="84"/>
        <v>0</v>
      </c>
      <c r="Y145" s="778"/>
      <c r="Z145" s="744"/>
      <c r="AA145" s="778"/>
      <c r="AB145" s="778"/>
      <c r="AC145" s="777"/>
      <c r="AD145" s="777"/>
      <c r="AE145" s="800"/>
      <c r="AF145" s="776"/>
      <c r="AG145" s="776">
        <f>H145</f>
        <v>1210</v>
      </c>
      <c r="AH145" s="776"/>
      <c r="AI145" s="776"/>
      <c r="AJ145" s="776">
        <f t="shared" si="90"/>
        <v>1210</v>
      </c>
      <c r="AK145" s="800"/>
      <c r="AL145" s="800"/>
      <c r="AM145" s="800"/>
      <c r="AN145" s="800"/>
      <c r="AO145" s="800"/>
      <c r="AP145" s="800"/>
      <c r="AQ145" s="800"/>
      <c r="AR145" s="800"/>
      <c r="AS145" s="776"/>
      <c r="AT145" s="776">
        <f t="shared" si="92"/>
        <v>1210</v>
      </c>
      <c r="AU145" s="776"/>
      <c r="AV145" s="865"/>
      <c r="AW145" s="712"/>
    </row>
    <row r="146" s="694" customFormat="1" ht="37" customHeight="1" spans="1:49">
      <c r="A146" s="805">
        <v>44571</v>
      </c>
      <c r="B146" s="711" t="s">
        <v>90</v>
      </c>
      <c r="C146" s="712" t="s">
        <v>91</v>
      </c>
      <c r="D146" s="791">
        <v>4500068840</v>
      </c>
      <c r="E146" s="711">
        <v>7676040760</v>
      </c>
      <c r="F146" s="711" t="s">
        <v>3517</v>
      </c>
      <c r="G146" s="712" t="s">
        <v>2052</v>
      </c>
      <c r="H146" s="711">
        <v>1210</v>
      </c>
      <c r="I146" s="711">
        <v>0</v>
      </c>
      <c r="J146" s="711">
        <v>2</v>
      </c>
      <c r="K146" s="698">
        <f t="shared" si="79"/>
        <v>605</v>
      </c>
      <c r="L146" s="777" t="s">
        <v>3524</v>
      </c>
      <c r="M146" s="777" t="s">
        <v>3520</v>
      </c>
      <c r="N146" s="759"/>
      <c r="O146" s="737"/>
      <c r="P146" s="835"/>
      <c r="Q146" s="744" t="s">
        <v>3512</v>
      </c>
      <c r="R146" s="744" t="s">
        <v>2112</v>
      </c>
      <c r="S146" s="744" t="s">
        <v>1427</v>
      </c>
      <c r="T146" s="712" t="s">
        <v>594</v>
      </c>
      <c r="U146" s="795"/>
      <c r="V146" s="711" t="s">
        <v>3515</v>
      </c>
      <c r="W146" s="819">
        <v>0</v>
      </c>
      <c r="X146" s="725">
        <f t="shared" si="84"/>
        <v>0</v>
      </c>
      <c r="Y146" s="778"/>
      <c r="Z146" s="744"/>
      <c r="AA146" s="778"/>
      <c r="AB146" s="778"/>
      <c r="AC146" s="777"/>
      <c r="AD146" s="777"/>
      <c r="AE146" s="800">
        <f>H146</f>
        <v>1210</v>
      </c>
      <c r="AF146" s="776"/>
      <c r="AG146" s="776"/>
      <c r="AH146" s="776"/>
      <c r="AI146" s="776"/>
      <c r="AJ146" s="776">
        <f t="shared" si="90"/>
        <v>1210</v>
      </c>
      <c r="AK146" s="800"/>
      <c r="AL146" s="800"/>
      <c r="AM146" s="800"/>
      <c r="AN146" s="800"/>
      <c r="AO146" s="800">
        <f>H146</f>
        <v>1210</v>
      </c>
      <c r="AP146" s="800"/>
      <c r="AQ146" s="800"/>
      <c r="AR146" s="800"/>
      <c r="AS146" s="776"/>
      <c r="AT146" s="776"/>
      <c r="AU146" s="776"/>
      <c r="AV146" s="865"/>
      <c r="AW146" s="712"/>
    </row>
    <row r="147" s="694" customFormat="1" ht="37" customHeight="1" spans="1:49">
      <c r="A147" s="805">
        <v>44571</v>
      </c>
      <c r="B147" s="711" t="s">
        <v>90</v>
      </c>
      <c r="C147" s="712" t="s">
        <v>91</v>
      </c>
      <c r="D147" s="791">
        <v>4500068841</v>
      </c>
      <c r="E147" s="711">
        <v>7676040768</v>
      </c>
      <c r="F147" s="711" t="s">
        <v>3509</v>
      </c>
      <c r="G147" s="712" t="s">
        <v>2063</v>
      </c>
      <c r="H147" s="711">
        <v>1360</v>
      </c>
      <c r="I147" s="711">
        <v>0</v>
      </c>
      <c r="J147" s="711">
        <v>2</v>
      </c>
      <c r="K147" s="698">
        <f t="shared" si="79"/>
        <v>680</v>
      </c>
      <c r="L147" s="777" t="s">
        <v>3526</v>
      </c>
      <c r="M147" s="777" t="s">
        <v>3510</v>
      </c>
      <c r="N147" s="759"/>
      <c r="O147" s="737"/>
      <c r="P147" s="835"/>
      <c r="Q147" s="744" t="s">
        <v>3512</v>
      </c>
      <c r="R147" s="744" t="s">
        <v>2112</v>
      </c>
      <c r="S147" s="744" t="s">
        <v>1427</v>
      </c>
      <c r="T147" s="712" t="s">
        <v>3513</v>
      </c>
      <c r="U147" s="794" t="s">
        <v>3527</v>
      </c>
      <c r="V147" s="711" t="s">
        <v>3515</v>
      </c>
      <c r="W147" s="819">
        <v>0</v>
      </c>
      <c r="X147" s="725">
        <f t="shared" si="84"/>
        <v>0</v>
      </c>
      <c r="Y147" s="778"/>
      <c r="Z147" s="744"/>
      <c r="AA147" s="778"/>
      <c r="AB147" s="778"/>
      <c r="AC147" s="777"/>
      <c r="AD147" s="777"/>
      <c r="AE147" s="800"/>
      <c r="AF147" s="776">
        <f>H147</f>
        <v>1360</v>
      </c>
      <c r="AG147" s="776"/>
      <c r="AH147" s="776"/>
      <c r="AI147" s="776"/>
      <c r="AJ147" s="776">
        <f t="shared" si="90"/>
        <v>1360</v>
      </c>
      <c r="AK147" s="800"/>
      <c r="AL147" s="800"/>
      <c r="AM147" s="800"/>
      <c r="AN147" s="800"/>
      <c r="AO147" s="800"/>
      <c r="AP147" s="800"/>
      <c r="AQ147" s="800"/>
      <c r="AR147" s="800"/>
      <c r="AS147" s="776"/>
      <c r="AT147" s="776">
        <f t="shared" ref="AT147:AT151" si="93">H147</f>
        <v>1360</v>
      </c>
      <c r="AU147" s="776"/>
      <c r="AV147" s="865"/>
      <c r="AW147" s="712"/>
    </row>
    <row r="148" s="694" customFormat="1" ht="37" customHeight="1" spans="1:49">
      <c r="A148" s="805">
        <v>44571</v>
      </c>
      <c r="B148" s="711" t="s">
        <v>90</v>
      </c>
      <c r="C148" s="712" t="s">
        <v>91</v>
      </c>
      <c r="D148" s="791">
        <v>4500068841</v>
      </c>
      <c r="E148" s="711">
        <v>7676040769</v>
      </c>
      <c r="F148" s="711" t="s">
        <v>3516</v>
      </c>
      <c r="G148" s="712" t="s">
        <v>2663</v>
      </c>
      <c r="H148" s="711">
        <v>1360</v>
      </c>
      <c r="I148" s="711">
        <v>0</v>
      </c>
      <c r="J148" s="711">
        <v>2</v>
      </c>
      <c r="K148" s="698">
        <f t="shared" si="79"/>
        <v>680</v>
      </c>
      <c r="L148" s="777" t="s">
        <v>3526</v>
      </c>
      <c r="M148" s="777" t="s">
        <v>3510</v>
      </c>
      <c r="N148" s="759"/>
      <c r="O148" s="737"/>
      <c r="P148" s="835"/>
      <c r="Q148" s="744" t="s">
        <v>3512</v>
      </c>
      <c r="R148" s="744" t="s">
        <v>2112</v>
      </c>
      <c r="S148" s="744" t="s">
        <v>1427</v>
      </c>
      <c r="T148" s="712" t="s">
        <v>3513</v>
      </c>
      <c r="U148" s="794"/>
      <c r="V148" s="711" t="s">
        <v>3515</v>
      </c>
      <c r="W148" s="819">
        <v>0</v>
      </c>
      <c r="X148" s="725">
        <f t="shared" si="84"/>
        <v>0</v>
      </c>
      <c r="Y148" s="778"/>
      <c r="Z148" s="744"/>
      <c r="AA148" s="778"/>
      <c r="AB148" s="778"/>
      <c r="AC148" s="777"/>
      <c r="AD148" s="777"/>
      <c r="AE148" s="800"/>
      <c r="AF148" s="776"/>
      <c r="AG148" s="776">
        <f>H148</f>
        <v>1360</v>
      </c>
      <c r="AH148" s="776"/>
      <c r="AI148" s="776"/>
      <c r="AJ148" s="776">
        <f t="shared" si="90"/>
        <v>1360</v>
      </c>
      <c r="AK148" s="800"/>
      <c r="AL148" s="800"/>
      <c r="AM148" s="800"/>
      <c r="AN148" s="800"/>
      <c r="AO148" s="800"/>
      <c r="AP148" s="800"/>
      <c r="AQ148" s="800"/>
      <c r="AR148" s="800"/>
      <c r="AS148" s="776"/>
      <c r="AT148" s="776">
        <f t="shared" si="93"/>
        <v>1360</v>
      </c>
      <c r="AU148" s="776"/>
      <c r="AV148" s="865"/>
      <c r="AW148" s="712"/>
    </row>
    <row r="149" s="694" customFormat="1" ht="37" customHeight="1" spans="1:49">
      <c r="A149" s="805">
        <v>44571</v>
      </c>
      <c r="B149" s="711" t="s">
        <v>90</v>
      </c>
      <c r="C149" s="712" t="s">
        <v>91</v>
      </c>
      <c r="D149" s="791">
        <v>4500068841</v>
      </c>
      <c r="E149" s="711">
        <v>7676040770</v>
      </c>
      <c r="F149" s="711" t="s">
        <v>3517</v>
      </c>
      <c r="G149" s="712" t="s">
        <v>2052</v>
      </c>
      <c r="H149" s="711">
        <v>1360</v>
      </c>
      <c r="I149" s="711">
        <v>0</v>
      </c>
      <c r="J149" s="711">
        <v>2</v>
      </c>
      <c r="K149" s="698">
        <f t="shared" si="79"/>
        <v>680</v>
      </c>
      <c r="L149" s="777" t="s">
        <v>3526</v>
      </c>
      <c r="M149" s="777" t="s">
        <v>3510</v>
      </c>
      <c r="N149" s="759"/>
      <c r="O149" s="737"/>
      <c r="P149" s="835"/>
      <c r="Q149" s="744" t="s">
        <v>3512</v>
      </c>
      <c r="R149" s="744" t="s">
        <v>2112</v>
      </c>
      <c r="S149" s="744" t="s">
        <v>1427</v>
      </c>
      <c r="T149" s="712" t="s">
        <v>594</v>
      </c>
      <c r="U149" s="795"/>
      <c r="V149" s="711" t="s">
        <v>3515</v>
      </c>
      <c r="W149" s="819">
        <v>0</v>
      </c>
      <c r="X149" s="725">
        <f t="shared" si="84"/>
        <v>0</v>
      </c>
      <c r="Y149" s="778"/>
      <c r="Z149" s="744"/>
      <c r="AA149" s="778"/>
      <c r="AB149" s="778"/>
      <c r="AC149" s="777"/>
      <c r="AD149" s="777"/>
      <c r="AE149" s="800">
        <f>H149</f>
        <v>1360</v>
      </c>
      <c r="AF149" s="776"/>
      <c r="AG149" s="776"/>
      <c r="AH149" s="776"/>
      <c r="AI149" s="776"/>
      <c r="AJ149" s="776">
        <f t="shared" si="90"/>
        <v>1360</v>
      </c>
      <c r="AK149" s="800"/>
      <c r="AL149" s="800"/>
      <c r="AM149" s="800"/>
      <c r="AN149" s="800"/>
      <c r="AO149" s="800">
        <f>H149</f>
        <v>1360</v>
      </c>
      <c r="AP149" s="800"/>
      <c r="AQ149" s="800"/>
      <c r="AR149" s="800"/>
      <c r="AS149" s="776"/>
      <c r="AT149" s="776"/>
      <c r="AU149" s="776"/>
      <c r="AV149" s="865"/>
      <c r="AW149" s="712"/>
    </row>
    <row r="150" s="694" customFormat="1" ht="37" customHeight="1" spans="1:49">
      <c r="A150" s="805">
        <v>44571</v>
      </c>
      <c r="B150" s="711" t="s">
        <v>90</v>
      </c>
      <c r="C150" s="712" t="s">
        <v>91</v>
      </c>
      <c r="D150" s="791">
        <v>4500068842</v>
      </c>
      <c r="E150" s="711">
        <v>7676040748</v>
      </c>
      <c r="F150" s="711" t="s">
        <v>3509</v>
      </c>
      <c r="G150" s="712" t="s">
        <v>2063</v>
      </c>
      <c r="H150" s="711">
        <v>1602</v>
      </c>
      <c r="I150" s="711">
        <v>0</v>
      </c>
      <c r="J150" s="711">
        <v>2</v>
      </c>
      <c r="K150" s="698">
        <f t="shared" si="79"/>
        <v>801</v>
      </c>
      <c r="L150" s="777" t="s">
        <v>3528</v>
      </c>
      <c r="M150" s="777" t="s">
        <v>3529</v>
      </c>
      <c r="N150" s="759"/>
      <c r="O150" s="737"/>
      <c r="P150" s="835"/>
      <c r="Q150" s="744" t="s">
        <v>3512</v>
      </c>
      <c r="R150" s="744" t="s">
        <v>2112</v>
      </c>
      <c r="S150" s="744" t="s">
        <v>1427</v>
      </c>
      <c r="T150" s="712" t="s">
        <v>3513</v>
      </c>
      <c r="U150" s="716" t="s">
        <v>3527</v>
      </c>
      <c r="V150" s="711" t="s">
        <v>3515</v>
      </c>
      <c r="W150" s="819">
        <v>0</v>
      </c>
      <c r="X150" s="725">
        <f t="shared" si="84"/>
        <v>0</v>
      </c>
      <c r="Y150" s="778"/>
      <c r="Z150" s="744"/>
      <c r="AA150" s="778"/>
      <c r="AB150" s="778"/>
      <c r="AC150" s="777"/>
      <c r="AD150" s="777"/>
      <c r="AE150" s="800"/>
      <c r="AF150" s="776">
        <f>H150</f>
        <v>1602</v>
      </c>
      <c r="AG150" s="776"/>
      <c r="AH150" s="776"/>
      <c r="AI150" s="776"/>
      <c r="AJ150" s="776">
        <f t="shared" si="90"/>
        <v>1602</v>
      </c>
      <c r="AK150" s="800"/>
      <c r="AL150" s="800"/>
      <c r="AM150" s="800"/>
      <c r="AN150" s="800"/>
      <c r="AO150" s="800"/>
      <c r="AP150" s="800"/>
      <c r="AQ150" s="800"/>
      <c r="AR150" s="800"/>
      <c r="AS150" s="776"/>
      <c r="AT150" s="776">
        <f t="shared" si="93"/>
        <v>1602</v>
      </c>
      <c r="AU150" s="776"/>
      <c r="AV150" s="865"/>
      <c r="AW150" s="712"/>
    </row>
    <row r="151" s="694" customFormat="1" ht="37" customHeight="1" spans="1:49">
      <c r="A151" s="805">
        <v>44571</v>
      </c>
      <c r="B151" s="711" t="s">
        <v>90</v>
      </c>
      <c r="C151" s="712" t="s">
        <v>91</v>
      </c>
      <c r="D151" s="791">
        <v>4500068842</v>
      </c>
      <c r="E151" s="711">
        <v>7676040749</v>
      </c>
      <c r="F151" s="711" t="s">
        <v>3516</v>
      </c>
      <c r="G151" s="712" t="s">
        <v>2663</v>
      </c>
      <c r="H151" s="711">
        <v>1602</v>
      </c>
      <c r="I151" s="711">
        <v>0</v>
      </c>
      <c r="J151" s="711">
        <v>2</v>
      </c>
      <c r="K151" s="698">
        <f t="shared" si="79"/>
        <v>801</v>
      </c>
      <c r="L151" s="777" t="s">
        <v>3528</v>
      </c>
      <c r="M151" s="777" t="s">
        <v>3529</v>
      </c>
      <c r="N151" s="759"/>
      <c r="O151" s="737"/>
      <c r="P151" s="835"/>
      <c r="Q151" s="744" t="s">
        <v>3512</v>
      </c>
      <c r="R151" s="744" t="s">
        <v>2112</v>
      </c>
      <c r="S151" s="744" t="s">
        <v>1427</v>
      </c>
      <c r="T151" s="712" t="s">
        <v>3513</v>
      </c>
      <c r="U151" s="716"/>
      <c r="V151" s="711" t="s">
        <v>3515</v>
      </c>
      <c r="W151" s="819">
        <v>0</v>
      </c>
      <c r="X151" s="725">
        <f t="shared" si="84"/>
        <v>0</v>
      </c>
      <c r="Y151" s="778"/>
      <c r="Z151" s="744"/>
      <c r="AA151" s="778"/>
      <c r="AB151" s="778"/>
      <c r="AC151" s="777"/>
      <c r="AD151" s="777"/>
      <c r="AE151" s="800"/>
      <c r="AF151" s="776"/>
      <c r="AG151" s="776">
        <f>H151</f>
        <v>1602</v>
      </c>
      <c r="AH151" s="776"/>
      <c r="AI151" s="776"/>
      <c r="AJ151" s="776">
        <f t="shared" si="90"/>
        <v>1602</v>
      </c>
      <c r="AK151" s="800"/>
      <c r="AL151" s="800"/>
      <c r="AM151" s="800"/>
      <c r="AN151" s="800"/>
      <c r="AO151" s="800"/>
      <c r="AP151" s="800"/>
      <c r="AQ151" s="800"/>
      <c r="AR151" s="800"/>
      <c r="AS151" s="776"/>
      <c r="AT151" s="776">
        <f t="shared" si="93"/>
        <v>1602</v>
      </c>
      <c r="AU151" s="776"/>
      <c r="AV151" s="865"/>
      <c r="AW151" s="712"/>
    </row>
    <row r="152" s="694" customFormat="1" ht="37" customHeight="1" spans="1:49">
      <c r="A152" s="805">
        <v>44571</v>
      </c>
      <c r="B152" s="711" t="s">
        <v>90</v>
      </c>
      <c r="C152" s="712" t="s">
        <v>91</v>
      </c>
      <c r="D152" s="791">
        <v>4500068842</v>
      </c>
      <c r="E152" s="711">
        <v>7676040750</v>
      </c>
      <c r="F152" s="711" t="s">
        <v>3517</v>
      </c>
      <c r="G152" s="712" t="s">
        <v>2052</v>
      </c>
      <c r="H152" s="711">
        <v>1602</v>
      </c>
      <c r="I152" s="711">
        <v>0</v>
      </c>
      <c r="J152" s="711">
        <v>2</v>
      </c>
      <c r="K152" s="698">
        <f t="shared" si="79"/>
        <v>801</v>
      </c>
      <c r="L152" s="777" t="s">
        <v>3528</v>
      </c>
      <c r="M152" s="777" t="s">
        <v>3529</v>
      </c>
      <c r="N152" s="759"/>
      <c r="O152" s="737"/>
      <c r="P152" s="835"/>
      <c r="Q152" s="744" t="s">
        <v>3512</v>
      </c>
      <c r="R152" s="744" t="s">
        <v>2112</v>
      </c>
      <c r="S152" s="744" t="s">
        <v>1427</v>
      </c>
      <c r="T152" s="712" t="s">
        <v>594</v>
      </c>
      <c r="U152" s="716"/>
      <c r="V152" s="711" t="s">
        <v>3515</v>
      </c>
      <c r="W152" s="819">
        <v>0</v>
      </c>
      <c r="X152" s="725">
        <f t="shared" si="84"/>
        <v>0</v>
      </c>
      <c r="Y152" s="778"/>
      <c r="Z152" s="744"/>
      <c r="AA152" s="778"/>
      <c r="AB152" s="778"/>
      <c r="AC152" s="777"/>
      <c r="AD152" s="777"/>
      <c r="AE152" s="800">
        <f>H152</f>
        <v>1602</v>
      </c>
      <c r="AF152" s="776"/>
      <c r="AG152" s="776"/>
      <c r="AH152" s="776"/>
      <c r="AI152" s="776"/>
      <c r="AJ152" s="776">
        <f t="shared" si="90"/>
        <v>1602</v>
      </c>
      <c r="AK152" s="800"/>
      <c r="AL152" s="800"/>
      <c r="AM152" s="800"/>
      <c r="AN152" s="800"/>
      <c r="AO152" s="800">
        <f t="shared" ref="AO152:AO165" si="94">H152</f>
        <v>1602</v>
      </c>
      <c r="AP152" s="800"/>
      <c r="AQ152" s="800"/>
      <c r="AR152" s="800"/>
      <c r="AS152" s="776"/>
      <c r="AT152" s="776"/>
      <c r="AU152" s="776"/>
      <c r="AV152" s="865"/>
      <c r="AW152" s="712"/>
    </row>
    <row r="153" s="694" customFormat="1" ht="37" customHeight="1" spans="1:49">
      <c r="A153" s="805">
        <v>44571</v>
      </c>
      <c r="B153" s="711" t="s">
        <v>90</v>
      </c>
      <c r="C153" s="712" t="s">
        <v>91</v>
      </c>
      <c r="D153" s="791">
        <v>4500068843</v>
      </c>
      <c r="E153" s="711">
        <v>7676040743</v>
      </c>
      <c r="F153" s="711" t="s">
        <v>3509</v>
      </c>
      <c r="G153" s="712" t="s">
        <v>2063</v>
      </c>
      <c r="H153" s="711">
        <v>924</v>
      </c>
      <c r="I153" s="711">
        <v>0</v>
      </c>
      <c r="J153" s="711">
        <v>2</v>
      </c>
      <c r="K153" s="698">
        <f t="shared" si="79"/>
        <v>462</v>
      </c>
      <c r="L153" s="777" t="s">
        <v>3530</v>
      </c>
      <c r="M153" s="777" t="s">
        <v>3531</v>
      </c>
      <c r="N153" s="759"/>
      <c r="O153" s="737"/>
      <c r="P153" s="835"/>
      <c r="Q153" s="744" t="s">
        <v>3512</v>
      </c>
      <c r="R153" s="744" t="s">
        <v>2112</v>
      </c>
      <c r="S153" s="744" t="s">
        <v>1427</v>
      </c>
      <c r="T153" s="712" t="s">
        <v>3513</v>
      </c>
      <c r="U153" s="794" t="s">
        <v>3527</v>
      </c>
      <c r="V153" s="711" t="s">
        <v>3515</v>
      </c>
      <c r="W153" s="819">
        <v>0</v>
      </c>
      <c r="X153" s="725">
        <f t="shared" si="84"/>
        <v>0</v>
      </c>
      <c r="Y153" s="778"/>
      <c r="Z153" s="744"/>
      <c r="AA153" s="778"/>
      <c r="AB153" s="778"/>
      <c r="AC153" s="777"/>
      <c r="AD153" s="777"/>
      <c r="AE153" s="800"/>
      <c r="AF153" s="776">
        <f>H153</f>
        <v>924</v>
      </c>
      <c r="AG153" s="776"/>
      <c r="AH153" s="776"/>
      <c r="AI153" s="776"/>
      <c r="AJ153" s="776">
        <f t="shared" si="90"/>
        <v>924</v>
      </c>
      <c r="AK153" s="800"/>
      <c r="AL153" s="800"/>
      <c r="AM153" s="800"/>
      <c r="AN153" s="800"/>
      <c r="AO153" s="800"/>
      <c r="AP153" s="800"/>
      <c r="AQ153" s="800"/>
      <c r="AR153" s="800"/>
      <c r="AS153" s="776"/>
      <c r="AT153" s="776">
        <f>H153</f>
        <v>924</v>
      </c>
      <c r="AU153" s="776"/>
      <c r="AV153" s="865"/>
      <c r="AW153" s="712"/>
    </row>
    <row r="154" s="694" customFormat="1" ht="37" customHeight="1" spans="1:49">
      <c r="A154" s="805">
        <v>44571</v>
      </c>
      <c r="B154" s="711" t="s">
        <v>90</v>
      </c>
      <c r="C154" s="712" t="s">
        <v>91</v>
      </c>
      <c r="D154" s="791">
        <v>4500068843</v>
      </c>
      <c r="E154" s="711">
        <v>7676040744</v>
      </c>
      <c r="F154" s="711" t="s">
        <v>3516</v>
      </c>
      <c r="G154" s="712" t="s">
        <v>2663</v>
      </c>
      <c r="H154" s="711">
        <v>924</v>
      </c>
      <c r="I154" s="711">
        <v>0</v>
      </c>
      <c r="J154" s="711">
        <v>2</v>
      </c>
      <c r="K154" s="698">
        <f t="shared" si="79"/>
        <v>462</v>
      </c>
      <c r="L154" s="777" t="s">
        <v>3532</v>
      </c>
      <c r="M154" s="777" t="s">
        <v>3533</v>
      </c>
      <c r="N154" s="759"/>
      <c r="O154" s="737"/>
      <c r="P154" s="835"/>
      <c r="Q154" s="744" t="s">
        <v>3512</v>
      </c>
      <c r="R154" s="744" t="s">
        <v>2112</v>
      </c>
      <c r="S154" s="744" t="s">
        <v>1427</v>
      </c>
      <c r="T154" s="712" t="s">
        <v>3513</v>
      </c>
      <c r="U154" s="794"/>
      <c r="V154" s="711" t="s">
        <v>3515</v>
      </c>
      <c r="W154" s="819">
        <v>0</v>
      </c>
      <c r="X154" s="725">
        <f t="shared" si="84"/>
        <v>0</v>
      </c>
      <c r="Y154" s="778"/>
      <c r="Z154" s="744"/>
      <c r="AA154" s="778"/>
      <c r="AB154" s="778"/>
      <c r="AC154" s="777"/>
      <c r="AD154" s="777"/>
      <c r="AE154" s="800"/>
      <c r="AF154" s="776"/>
      <c r="AG154" s="776">
        <f>H154</f>
        <v>924</v>
      </c>
      <c r="AH154" s="776"/>
      <c r="AI154" s="776"/>
      <c r="AJ154" s="776">
        <f t="shared" si="90"/>
        <v>924</v>
      </c>
      <c r="AK154" s="800"/>
      <c r="AL154" s="800"/>
      <c r="AM154" s="800"/>
      <c r="AN154" s="800"/>
      <c r="AO154" s="800"/>
      <c r="AP154" s="800"/>
      <c r="AQ154" s="800"/>
      <c r="AR154" s="800"/>
      <c r="AS154" s="776"/>
      <c r="AT154" s="776">
        <f>H154</f>
        <v>924</v>
      </c>
      <c r="AU154" s="776"/>
      <c r="AV154" s="865"/>
      <c r="AW154" s="712"/>
    </row>
    <row r="155" s="694" customFormat="1" ht="37" customHeight="1" spans="1:49">
      <c r="A155" s="805">
        <v>44571</v>
      </c>
      <c r="B155" s="711" t="s">
        <v>90</v>
      </c>
      <c r="C155" s="712" t="s">
        <v>91</v>
      </c>
      <c r="D155" s="791">
        <v>4500068843</v>
      </c>
      <c r="E155" s="711">
        <v>7676040745</v>
      </c>
      <c r="F155" s="711" t="s">
        <v>3517</v>
      </c>
      <c r="G155" s="712" t="s">
        <v>2052</v>
      </c>
      <c r="H155" s="711">
        <v>924</v>
      </c>
      <c r="I155" s="711">
        <v>0</v>
      </c>
      <c r="J155" s="711">
        <v>2</v>
      </c>
      <c r="K155" s="698">
        <f t="shared" si="79"/>
        <v>462</v>
      </c>
      <c r="L155" s="777" t="s">
        <v>3532</v>
      </c>
      <c r="M155" s="777" t="s">
        <v>3533</v>
      </c>
      <c r="N155" s="759"/>
      <c r="O155" s="737"/>
      <c r="P155" s="835"/>
      <c r="Q155" s="744" t="s">
        <v>3512</v>
      </c>
      <c r="R155" s="744" t="s">
        <v>2112</v>
      </c>
      <c r="S155" s="744" t="s">
        <v>1427</v>
      </c>
      <c r="T155" s="712" t="s">
        <v>594</v>
      </c>
      <c r="U155" s="795"/>
      <c r="V155" s="711" t="s">
        <v>3515</v>
      </c>
      <c r="W155" s="819">
        <v>0</v>
      </c>
      <c r="X155" s="725">
        <f t="shared" si="84"/>
        <v>0</v>
      </c>
      <c r="Y155" s="778"/>
      <c r="Z155" s="744"/>
      <c r="AA155" s="778"/>
      <c r="AB155" s="778"/>
      <c r="AC155" s="777"/>
      <c r="AD155" s="777"/>
      <c r="AE155" s="800">
        <f>H155</f>
        <v>924</v>
      </c>
      <c r="AF155" s="776"/>
      <c r="AG155" s="776"/>
      <c r="AH155" s="776"/>
      <c r="AI155" s="776"/>
      <c r="AJ155" s="776">
        <f t="shared" si="90"/>
        <v>924</v>
      </c>
      <c r="AK155" s="800"/>
      <c r="AL155" s="800"/>
      <c r="AM155" s="800"/>
      <c r="AN155" s="800"/>
      <c r="AO155" s="800">
        <f t="shared" si="94"/>
        <v>924</v>
      </c>
      <c r="AP155" s="800"/>
      <c r="AQ155" s="800"/>
      <c r="AR155" s="800"/>
      <c r="AS155" s="776"/>
      <c r="AT155" s="776"/>
      <c r="AU155" s="776"/>
      <c r="AV155" s="865"/>
      <c r="AW155" s="712"/>
    </row>
    <row r="156" s="693" customFormat="1" ht="37" customHeight="1" spans="1:49">
      <c r="A156" s="805">
        <v>44707</v>
      </c>
      <c r="B156" s="712" t="s">
        <v>1656</v>
      </c>
      <c r="C156" s="712" t="s">
        <v>91</v>
      </c>
      <c r="D156" s="791">
        <v>4500079790</v>
      </c>
      <c r="E156" s="789" t="s">
        <v>3534</v>
      </c>
      <c r="F156" s="711" t="s">
        <v>3313</v>
      </c>
      <c r="G156" s="712" t="s">
        <v>3436</v>
      </c>
      <c r="H156" s="791">
        <v>5784</v>
      </c>
      <c r="I156" s="711">
        <v>0</v>
      </c>
      <c r="J156" s="711">
        <v>6</v>
      </c>
      <c r="K156" s="698">
        <f t="shared" si="79"/>
        <v>964</v>
      </c>
      <c r="L156" s="829" t="s">
        <v>3535</v>
      </c>
      <c r="M156" s="868" t="s">
        <v>3536</v>
      </c>
      <c r="N156" s="694"/>
      <c r="O156" s="849"/>
      <c r="P156" s="851"/>
      <c r="Q156" s="744">
        <v>44709</v>
      </c>
      <c r="R156" s="744" t="s">
        <v>58</v>
      </c>
      <c r="S156" s="744" t="s">
        <v>3537</v>
      </c>
      <c r="T156" s="711" t="s">
        <v>3500</v>
      </c>
      <c r="U156" s="794" t="s">
        <v>3538</v>
      </c>
      <c r="V156" s="694" t="s">
        <v>3539</v>
      </c>
      <c r="W156" s="871">
        <v>3.188</v>
      </c>
      <c r="X156" s="725">
        <f t="shared" si="84"/>
        <v>18439.392</v>
      </c>
      <c r="Y156" s="832"/>
      <c r="Z156" s="775"/>
      <c r="AA156" s="832"/>
      <c r="AB156" s="832"/>
      <c r="AC156" s="829" t="s">
        <v>327</v>
      </c>
      <c r="AD156" s="829"/>
      <c r="AE156" s="776"/>
      <c r="AF156" s="711">
        <f>H156</f>
        <v>5784</v>
      </c>
      <c r="AG156" s="776"/>
      <c r="AH156" s="776"/>
      <c r="AI156" s="776"/>
      <c r="AJ156" s="776">
        <f t="shared" si="90"/>
        <v>5784</v>
      </c>
      <c r="AK156" s="800"/>
      <c r="AL156" s="800"/>
      <c r="AM156" s="800"/>
      <c r="AN156" s="800"/>
      <c r="AO156" s="800">
        <f t="shared" si="94"/>
        <v>5784</v>
      </c>
      <c r="AP156" s="800"/>
      <c r="AQ156" s="800"/>
      <c r="AR156" s="800"/>
      <c r="AS156" s="776"/>
      <c r="AT156" s="776"/>
      <c r="AU156" s="786"/>
      <c r="AV156" s="876"/>
      <c r="AW156" s="877"/>
    </row>
    <row r="157" s="693" customFormat="1" ht="37" customHeight="1" spans="1:49">
      <c r="A157" s="805">
        <v>44707</v>
      </c>
      <c r="B157" s="712" t="s">
        <v>1656</v>
      </c>
      <c r="C157" s="712" t="s">
        <v>91</v>
      </c>
      <c r="D157" s="791">
        <v>4500079790</v>
      </c>
      <c r="E157" s="789" t="s">
        <v>3534</v>
      </c>
      <c r="F157" s="711" t="s">
        <v>3429</v>
      </c>
      <c r="G157" s="712" t="s">
        <v>3540</v>
      </c>
      <c r="H157" s="791">
        <v>5322</v>
      </c>
      <c r="I157" s="711">
        <v>0</v>
      </c>
      <c r="J157" s="711">
        <v>6</v>
      </c>
      <c r="K157" s="698">
        <f t="shared" si="79"/>
        <v>887</v>
      </c>
      <c r="L157" s="829" t="s">
        <v>3541</v>
      </c>
      <c r="M157" s="868" t="s">
        <v>3536</v>
      </c>
      <c r="N157" s="694"/>
      <c r="O157" s="849"/>
      <c r="P157" s="851"/>
      <c r="Q157" s="744">
        <v>44709</v>
      </c>
      <c r="R157" s="744" t="s">
        <v>58</v>
      </c>
      <c r="S157" s="744" t="s">
        <v>3537</v>
      </c>
      <c r="T157" s="711" t="s">
        <v>3500</v>
      </c>
      <c r="U157" s="794"/>
      <c r="V157" s="694" t="s">
        <v>3539</v>
      </c>
      <c r="W157" s="871">
        <v>3.188</v>
      </c>
      <c r="X157" s="725">
        <f t="shared" si="84"/>
        <v>16966.536</v>
      </c>
      <c r="Y157" s="832"/>
      <c r="Z157" s="775"/>
      <c r="AA157" s="832"/>
      <c r="AB157" s="832"/>
      <c r="AC157" s="829" t="s">
        <v>327</v>
      </c>
      <c r="AD157" s="829"/>
      <c r="AE157" s="776"/>
      <c r="AF157" s="776"/>
      <c r="AG157" s="698">
        <f>H157</f>
        <v>5322</v>
      </c>
      <c r="AH157" s="776"/>
      <c r="AI157" s="776"/>
      <c r="AJ157" s="776">
        <f t="shared" si="90"/>
        <v>5322</v>
      </c>
      <c r="AK157" s="800"/>
      <c r="AL157" s="800"/>
      <c r="AM157" s="800"/>
      <c r="AN157" s="800"/>
      <c r="AO157" s="800">
        <f t="shared" si="94"/>
        <v>5322</v>
      </c>
      <c r="AP157" s="800"/>
      <c r="AQ157" s="800"/>
      <c r="AR157" s="800"/>
      <c r="AS157" s="776"/>
      <c r="AT157" s="776"/>
      <c r="AU157" s="786"/>
      <c r="AV157" s="876"/>
      <c r="AW157" s="877"/>
    </row>
    <row r="158" s="693" customFormat="1" ht="37" customHeight="1" spans="1:49">
      <c r="A158" s="805">
        <v>44707</v>
      </c>
      <c r="B158" s="712" t="s">
        <v>1656</v>
      </c>
      <c r="C158" s="712" t="s">
        <v>91</v>
      </c>
      <c r="D158" s="791">
        <v>4500079790</v>
      </c>
      <c r="E158" s="789" t="s">
        <v>3534</v>
      </c>
      <c r="F158" s="711" t="s">
        <v>3542</v>
      </c>
      <c r="G158" s="712" t="s">
        <v>3543</v>
      </c>
      <c r="H158" s="791">
        <v>6198</v>
      </c>
      <c r="I158" s="711">
        <v>0</v>
      </c>
      <c r="J158" s="711">
        <v>6</v>
      </c>
      <c r="K158" s="698">
        <f t="shared" si="79"/>
        <v>1033</v>
      </c>
      <c r="L158" s="829" t="s">
        <v>3541</v>
      </c>
      <c r="M158" s="868" t="s">
        <v>3536</v>
      </c>
      <c r="N158" s="694"/>
      <c r="O158" s="849"/>
      <c r="P158" s="851"/>
      <c r="Q158" s="744">
        <v>44709</v>
      </c>
      <c r="R158" s="744" t="s">
        <v>58</v>
      </c>
      <c r="S158" s="744" t="s">
        <v>3537</v>
      </c>
      <c r="T158" s="711" t="s">
        <v>3500</v>
      </c>
      <c r="U158" s="795"/>
      <c r="V158" s="694" t="s">
        <v>3539</v>
      </c>
      <c r="W158" s="871">
        <v>3.188</v>
      </c>
      <c r="X158" s="725">
        <f t="shared" si="84"/>
        <v>19759.224</v>
      </c>
      <c r="Y158" s="832"/>
      <c r="Z158" s="775"/>
      <c r="AA158" s="832"/>
      <c r="AB158" s="832"/>
      <c r="AC158" s="829" t="s">
        <v>327</v>
      </c>
      <c r="AD158" s="829"/>
      <c r="AE158" s="776">
        <f t="shared" ref="AE158:AE161" si="95">H158/3</f>
        <v>2066</v>
      </c>
      <c r="AF158" s="776"/>
      <c r="AG158" s="776"/>
      <c r="AH158" s="776"/>
      <c r="AI158" s="776"/>
      <c r="AJ158" s="776">
        <f t="shared" si="90"/>
        <v>6198</v>
      </c>
      <c r="AK158" s="800"/>
      <c r="AL158" s="800"/>
      <c r="AM158" s="800"/>
      <c r="AN158" s="800"/>
      <c r="AO158" s="800">
        <f t="shared" si="94"/>
        <v>6198</v>
      </c>
      <c r="AP158" s="800"/>
      <c r="AQ158" s="800"/>
      <c r="AR158" s="800"/>
      <c r="AS158" s="776"/>
      <c r="AT158" s="776"/>
      <c r="AU158" s="786"/>
      <c r="AV158" s="876"/>
      <c r="AW158" s="877"/>
    </row>
    <row r="159" s="693" customFormat="1" ht="37" customHeight="1" spans="1:49">
      <c r="A159" s="805">
        <v>44679</v>
      </c>
      <c r="B159" s="791" t="s">
        <v>3544</v>
      </c>
      <c r="C159" s="789" t="s">
        <v>91</v>
      </c>
      <c r="D159" s="791">
        <v>4500077068</v>
      </c>
      <c r="E159" s="791">
        <v>93310858</v>
      </c>
      <c r="F159" s="711" t="s">
        <v>3545</v>
      </c>
      <c r="G159" s="712" t="s">
        <v>3252</v>
      </c>
      <c r="H159" s="711">
        <v>876</v>
      </c>
      <c r="I159" s="711">
        <v>0</v>
      </c>
      <c r="J159" s="711">
        <v>6</v>
      </c>
      <c r="K159" s="698">
        <f t="shared" si="79"/>
        <v>146</v>
      </c>
      <c r="L159" s="777" t="s">
        <v>3546</v>
      </c>
      <c r="M159" s="777" t="s">
        <v>3547</v>
      </c>
      <c r="N159" s="868" t="s">
        <v>3548</v>
      </c>
      <c r="O159" s="849" t="s">
        <v>1480</v>
      </c>
      <c r="P159" s="851"/>
      <c r="Q159" s="744">
        <v>44679</v>
      </c>
      <c r="R159" s="744" t="s">
        <v>58</v>
      </c>
      <c r="S159" s="744">
        <v>44698</v>
      </c>
      <c r="T159" s="712" t="s">
        <v>3549</v>
      </c>
      <c r="U159" s="795" t="s">
        <v>3550</v>
      </c>
      <c r="V159" s="712" t="s">
        <v>3551</v>
      </c>
      <c r="W159" s="819">
        <v>3.1869</v>
      </c>
      <c r="X159" s="725">
        <f t="shared" si="84"/>
        <v>2791.7244</v>
      </c>
      <c r="Y159" s="832"/>
      <c r="Z159" s="775"/>
      <c r="AA159" s="832">
        <v>876</v>
      </c>
      <c r="AB159" s="778">
        <f t="shared" ref="AB159:AB161" si="96">AA159-H159</f>
        <v>0</v>
      </c>
      <c r="AC159" s="829" t="s">
        <v>327</v>
      </c>
      <c r="AD159" s="829"/>
      <c r="AE159" s="776">
        <f t="shared" si="95"/>
        <v>292</v>
      </c>
      <c r="AF159" s="776">
        <f t="shared" ref="AF159:AF161" si="97">H159/3</f>
        <v>292</v>
      </c>
      <c r="AG159" s="776">
        <f t="shared" ref="AG159:AG161" si="98">H159/3</f>
        <v>292</v>
      </c>
      <c r="AH159" s="776"/>
      <c r="AI159" s="776"/>
      <c r="AJ159" s="776">
        <f t="shared" si="90"/>
        <v>876</v>
      </c>
      <c r="AK159" s="800"/>
      <c r="AL159" s="800"/>
      <c r="AM159" s="800"/>
      <c r="AN159" s="800"/>
      <c r="AO159" s="800">
        <f t="shared" si="94"/>
        <v>876</v>
      </c>
      <c r="AP159" s="800"/>
      <c r="AQ159" s="800"/>
      <c r="AR159" s="800"/>
      <c r="AS159" s="776"/>
      <c r="AT159" s="776"/>
      <c r="AU159" s="786"/>
      <c r="AV159" s="876"/>
      <c r="AW159" s="877"/>
    </row>
    <row r="160" s="693" customFormat="1" ht="37" customHeight="1" spans="1:49">
      <c r="A160" s="805">
        <v>44678</v>
      </c>
      <c r="B160" s="791" t="s">
        <v>3544</v>
      </c>
      <c r="C160" s="789" t="s">
        <v>91</v>
      </c>
      <c r="D160" s="791">
        <v>4500077290</v>
      </c>
      <c r="E160" s="791">
        <v>93310838</v>
      </c>
      <c r="F160" s="711" t="s">
        <v>3545</v>
      </c>
      <c r="G160" s="712" t="s">
        <v>3252</v>
      </c>
      <c r="H160" s="711">
        <v>1284</v>
      </c>
      <c r="I160" s="711">
        <v>0</v>
      </c>
      <c r="J160" s="711">
        <v>6</v>
      </c>
      <c r="K160" s="698">
        <f t="shared" si="79"/>
        <v>214</v>
      </c>
      <c r="L160" s="777" t="s">
        <v>3546</v>
      </c>
      <c r="M160" s="777" t="s">
        <v>3547</v>
      </c>
      <c r="N160" s="868" t="s">
        <v>3548</v>
      </c>
      <c r="O160" s="849" t="s">
        <v>1480</v>
      </c>
      <c r="P160" s="851"/>
      <c r="Q160" s="744">
        <v>44679</v>
      </c>
      <c r="R160" s="744" t="s">
        <v>58</v>
      </c>
      <c r="S160" s="744">
        <v>44698</v>
      </c>
      <c r="T160" s="712" t="s">
        <v>3549</v>
      </c>
      <c r="U160" s="795" t="s">
        <v>3550</v>
      </c>
      <c r="V160" s="712" t="s">
        <v>3551</v>
      </c>
      <c r="W160" s="819">
        <v>3.0515</v>
      </c>
      <c r="X160" s="725">
        <f t="shared" si="84"/>
        <v>3918.126</v>
      </c>
      <c r="Y160" s="832"/>
      <c r="Z160" s="775"/>
      <c r="AA160" s="832">
        <v>1284</v>
      </c>
      <c r="AB160" s="778">
        <f t="shared" si="96"/>
        <v>0</v>
      </c>
      <c r="AC160" s="829" t="s">
        <v>327</v>
      </c>
      <c r="AD160" s="829"/>
      <c r="AE160" s="776">
        <f t="shared" si="95"/>
        <v>428</v>
      </c>
      <c r="AF160" s="776">
        <f t="shared" si="97"/>
        <v>428</v>
      </c>
      <c r="AG160" s="776">
        <f t="shared" si="98"/>
        <v>428</v>
      </c>
      <c r="AH160" s="776"/>
      <c r="AI160" s="776"/>
      <c r="AJ160" s="776">
        <f t="shared" si="90"/>
        <v>1284</v>
      </c>
      <c r="AK160" s="800"/>
      <c r="AL160" s="800"/>
      <c r="AM160" s="800"/>
      <c r="AN160" s="800"/>
      <c r="AO160" s="800">
        <f t="shared" si="94"/>
        <v>1284</v>
      </c>
      <c r="AP160" s="800"/>
      <c r="AQ160" s="800"/>
      <c r="AR160" s="800"/>
      <c r="AS160" s="776"/>
      <c r="AT160" s="776"/>
      <c r="AU160" s="786"/>
      <c r="AV160" s="876"/>
      <c r="AW160" s="877"/>
    </row>
    <row r="161" s="693" customFormat="1" ht="37" customHeight="1" spans="1:49">
      <c r="A161" s="805">
        <v>44678</v>
      </c>
      <c r="B161" s="791" t="s">
        <v>3544</v>
      </c>
      <c r="C161" s="789" t="s">
        <v>91</v>
      </c>
      <c r="D161" s="791">
        <v>4500077307</v>
      </c>
      <c r="E161" s="791">
        <v>93310844</v>
      </c>
      <c r="F161" s="711" t="s">
        <v>3545</v>
      </c>
      <c r="G161" s="712" t="s">
        <v>3252</v>
      </c>
      <c r="H161" s="711">
        <v>1050</v>
      </c>
      <c r="I161" s="711">
        <v>0</v>
      </c>
      <c r="J161" s="711">
        <v>6</v>
      </c>
      <c r="K161" s="698">
        <f t="shared" si="79"/>
        <v>175</v>
      </c>
      <c r="L161" s="777" t="s">
        <v>3546</v>
      </c>
      <c r="M161" s="777" t="s">
        <v>3547</v>
      </c>
      <c r="N161" s="868" t="s">
        <v>3548</v>
      </c>
      <c r="O161" s="849" t="s">
        <v>1480</v>
      </c>
      <c r="P161" s="851"/>
      <c r="Q161" s="744">
        <v>44679</v>
      </c>
      <c r="R161" s="744" t="s">
        <v>58</v>
      </c>
      <c r="S161" s="744">
        <v>44698</v>
      </c>
      <c r="T161" s="712" t="s">
        <v>3549</v>
      </c>
      <c r="U161" s="795" t="s">
        <v>3550</v>
      </c>
      <c r="V161" s="712" t="s">
        <v>3551</v>
      </c>
      <c r="W161" s="819">
        <v>3.0515</v>
      </c>
      <c r="X161" s="725">
        <f t="shared" si="84"/>
        <v>3204.075</v>
      </c>
      <c r="Y161" s="832"/>
      <c r="Z161" s="775"/>
      <c r="AA161" s="832">
        <v>1050</v>
      </c>
      <c r="AB161" s="778">
        <f t="shared" si="96"/>
        <v>0</v>
      </c>
      <c r="AC161" s="829" t="s">
        <v>327</v>
      </c>
      <c r="AD161" s="829"/>
      <c r="AE161" s="776">
        <f t="shared" si="95"/>
        <v>350</v>
      </c>
      <c r="AF161" s="776">
        <f t="shared" si="97"/>
        <v>350</v>
      </c>
      <c r="AG161" s="776">
        <f t="shared" si="98"/>
        <v>350</v>
      </c>
      <c r="AH161" s="776"/>
      <c r="AI161" s="776"/>
      <c r="AJ161" s="776">
        <f t="shared" si="90"/>
        <v>1050</v>
      </c>
      <c r="AK161" s="800"/>
      <c r="AL161" s="800"/>
      <c r="AM161" s="800"/>
      <c r="AN161" s="800"/>
      <c r="AO161" s="800">
        <f t="shared" si="94"/>
        <v>1050</v>
      </c>
      <c r="AP161" s="800"/>
      <c r="AQ161" s="800"/>
      <c r="AR161" s="800"/>
      <c r="AS161" s="776"/>
      <c r="AT161" s="776"/>
      <c r="AU161" s="786"/>
      <c r="AV161" s="876"/>
      <c r="AW161" s="877"/>
    </row>
    <row r="162" s="693" customFormat="1" ht="37" customHeight="1" spans="1:49">
      <c r="A162" s="805">
        <v>44684</v>
      </c>
      <c r="B162" s="712" t="s">
        <v>3544</v>
      </c>
      <c r="C162" s="712" t="s">
        <v>91</v>
      </c>
      <c r="D162" s="791">
        <v>4500077343</v>
      </c>
      <c r="E162" s="791">
        <v>93310816</v>
      </c>
      <c r="F162" s="711" t="s">
        <v>3545</v>
      </c>
      <c r="G162" s="712" t="s">
        <v>2119</v>
      </c>
      <c r="H162" s="711">
        <v>882</v>
      </c>
      <c r="I162" s="711">
        <v>0</v>
      </c>
      <c r="J162" s="711">
        <v>6</v>
      </c>
      <c r="K162" s="698">
        <f t="shared" si="79"/>
        <v>147</v>
      </c>
      <c r="L162" s="777" t="s">
        <v>3552</v>
      </c>
      <c r="M162" s="777" t="s">
        <v>3547</v>
      </c>
      <c r="N162" s="850"/>
      <c r="O162" s="849"/>
      <c r="P162" s="851"/>
      <c r="Q162" s="744">
        <v>44670</v>
      </c>
      <c r="R162" s="744" t="s">
        <v>58</v>
      </c>
      <c r="S162" s="744">
        <v>44713</v>
      </c>
      <c r="T162" s="711" t="s">
        <v>3553</v>
      </c>
      <c r="U162" s="795" t="s">
        <v>3550</v>
      </c>
      <c r="V162" s="712" t="s">
        <v>3551</v>
      </c>
      <c r="W162" s="819">
        <v>3.1869</v>
      </c>
      <c r="X162" s="725">
        <f t="shared" si="84"/>
        <v>2810.8458</v>
      </c>
      <c r="Y162" s="832"/>
      <c r="Z162" s="775"/>
      <c r="AA162" s="832"/>
      <c r="AB162" s="832"/>
      <c r="AC162" s="829"/>
      <c r="AD162" s="829"/>
      <c r="AE162" s="776">
        <f>H162/3*1</f>
        <v>294</v>
      </c>
      <c r="AF162" s="776">
        <f>H162/3*1</f>
        <v>294</v>
      </c>
      <c r="AG162" s="776">
        <f>H162/3*1</f>
        <v>294</v>
      </c>
      <c r="AH162" s="776"/>
      <c r="AI162" s="776"/>
      <c r="AJ162" s="776">
        <f t="shared" si="90"/>
        <v>882</v>
      </c>
      <c r="AK162" s="800"/>
      <c r="AL162" s="800"/>
      <c r="AM162" s="800"/>
      <c r="AN162" s="800"/>
      <c r="AO162" s="800">
        <f t="shared" si="94"/>
        <v>882</v>
      </c>
      <c r="AP162" s="800"/>
      <c r="AQ162" s="800"/>
      <c r="AR162" s="800"/>
      <c r="AS162" s="776"/>
      <c r="AT162" s="776"/>
      <c r="AU162" s="786"/>
      <c r="AV162" s="876"/>
      <c r="AW162" s="877"/>
    </row>
    <row r="163" s="693" customFormat="1" ht="37" customHeight="1" spans="1:49">
      <c r="A163" s="805">
        <v>44684</v>
      </c>
      <c r="B163" s="712" t="s">
        <v>3544</v>
      </c>
      <c r="C163" s="712" t="s">
        <v>91</v>
      </c>
      <c r="D163" s="791">
        <v>4500077353</v>
      </c>
      <c r="E163" s="791">
        <v>93310850</v>
      </c>
      <c r="F163" s="711" t="s">
        <v>3545</v>
      </c>
      <c r="G163" s="712" t="s">
        <v>2119</v>
      </c>
      <c r="H163" s="711">
        <v>864</v>
      </c>
      <c r="I163" s="711">
        <v>0</v>
      </c>
      <c r="J163" s="711">
        <v>6</v>
      </c>
      <c r="K163" s="698">
        <f t="shared" si="79"/>
        <v>144</v>
      </c>
      <c r="L163" s="777" t="s">
        <v>3552</v>
      </c>
      <c r="M163" s="777" t="s">
        <v>3547</v>
      </c>
      <c r="N163" s="850"/>
      <c r="O163" s="849"/>
      <c r="P163" s="851"/>
      <c r="Q163" s="744">
        <v>44670</v>
      </c>
      <c r="R163" s="744" t="s">
        <v>58</v>
      </c>
      <c r="S163" s="744">
        <v>44713</v>
      </c>
      <c r="T163" s="711" t="s">
        <v>3553</v>
      </c>
      <c r="U163" s="795" t="s">
        <v>3550</v>
      </c>
      <c r="V163" s="712" t="s">
        <v>3551</v>
      </c>
      <c r="W163" s="819">
        <v>3.1869</v>
      </c>
      <c r="X163" s="725">
        <f t="shared" si="84"/>
        <v>2753.4816</v>
      </c>
      <c r="Y163" s="832"/>
      <c r="Z163" s="775"/>
      <c r="AA163" s="832"/>
      <c r="AB163" s="832"/>
      <c r="AC163" s="829"/>
      <c r="AD163" s="829"/>
      <c r="AE163" s="776">
        <f>H163/3*1</f>
        <v>288</v>
      </c>
      <c r="AF163" s="776">
        <f>H163/3*1</f>
        <v>288</v>
      </c>
      <c r="AG163" s="776">
        <f>H163/3*1</f>
        <v>288</v>
      </c>
      <c r="AH163" s="776"/>
      <c r="AI163" s="776"/>
      <c r="AJ163" s="776">
        <f t="shared" si="90"/>
        <v>864</v>
      </c>
      <c r="AK163" s="800"/>
      <c r="AL163" s="800"/>
      <c r="AM163" s="800"/>
      <c r="AN163" s="800"/>
      <c r="AO163" s="800">
        <f t="shared" si="94"/>
        <v>864</v>
      </c>
      <c r="AP163" s="800"/>
      <c r="AQ163" s="800"/>
      <c r="AR163" s="800"/>
      <c r="AS163" s="776"/>
      <c r="AT163" s="776"/>
      <c r="AU163" s="786"/>
      <c r="AV163" s="876"/>
      <c r="AW163" s="877"/>
    </row>
    <row r="164" s="694" customFormat="1" ht="37" customHeight="1" spans="1:49">
      <c r="A164" s="805">
        <v>44725</v>
      </c>
      <c r="B164" s="711" t="s">
        <v>3554</v>
      </c>
      <c r="C164" s="712" t="s">
        <v>900</v>
      </c>
      <c r="D164" s="711">
        <v>4500081122</v>
      </c>
      <c r="E164" s="711" t="s">
        <v>3555</v>
      </c>
      <c r="F164" s="711" t="s">
        <v>3117</v>
      </c>
      <c r="G164" s="712" t="s">
        <v>2119</v>
      </c>
      <c r="H164" s="711">
        <v>636</v>
      </c>
      <c r="I164" s="711">
        <v>0</v>
      </c>
      <c r="J164" s="711">
        <v>12</v>
      </c>
      <c r="K164" s="698">
        <f t="shared" si="79"/>
        <v>53</v>
      </c>
      <c r="L164" s="777" t="s">
        <v>3556</v>
      </c>
      <c r="M164" s="727" t="s">
        <v>3557</v>
      </c>
      <c r="N164" s="748"/>
      <c r="O164" s="737"/>
      <c r="P164" s="835"/>
      <c r="Q164" s="744">
        <v>44726</v>
      </c>
      <c r="R164" s="744" t="s">
        <v>58</v>
      </c>
      <c r="S164" s="530" t="s">
        <v>58</v>
      </c>
      <c r="T164" s="712" t="s">
        <v>2377</v>
      </c>
      <c r="U164" s="716" t="s">
        <v>3558</v>
      </c>
      <c r="V164" s="712" t="s">
        <v>3363</v>
      </c>
      <c r="W164" s="819">
        <v>3.3291</v>
      </c>
      <c r="X164" s="725">
        <f t="shared" si="84"/>
        <v>2117.3076</v>
      </c>
      <c r="Y164" s="778"/>
      <c r="Z164" s="744"/>
      <c r="AA164" s="769"/>
      <c r="AB164" s="778"/>
      <c r="AC164" s="727" t="s">
        <v>58</v>
      </c>
      <c r="AD164" s="777"/>
      <c r="AE164" s="776">
        <f>H164/3</f>
        <v>212</v>
      </c>
      <c r="AF164" s="776">
        <f>H164/3</f>
        <v>212</v>
      </c>
      <c r="AG164" s="776">
        <f>H164/3</f>
        <v>212</v>
      </c>
      <c r="AH164" s="776"/>
      <c r="AI164" s="776"/>
      <c r="AJ164" s="776">
        <f t="shared" si="90"/>
        <v>636</v>
      </c>
      <c r="AK164" s="800"/>
      <c r="AL164" s="800"/>
      <c r="AM164" s="800"/>
      <c r="AN164" s="800"/>
      <c r="AO164" s="800">
        <f t="shared" si="94"/>
        <v>636</v>
      </c>
      <c r="AP164" s="800"/>
      <c r="AQ164" s="800"/>
      <c r="AR164" s="800"/>
      <c r="AS164" s="776"/>
      <c r="AT164" s="776"/>
      <c r="AU164" s="776"/>
      <c r="AV164" s="865"/>
      <c r="AW164" s="712"/>
    </row>
    <row r="165" s="693" customFormat="1" ht="37" customHeight="1" spans="1:49">
      <c r="A165" s="805">
        <v>44601</v>
      </c>
      <c r="B165" s="711" t="s">
        <v>230</v>
      </c>
      <c r="C165" s="712" t="s">
        <v>91</v>
      </c>
      <c r="D165" s="791">
        <v>4500070245</v>
      </c>
      <c r="E165" s="791">
        <v>70009137</v>
      </c>
      <c r="F165" s="711" t="s">
        <v>3203</v>
      </c>
      <c r="G165" s="712" t="s">
        <v>2119</v>
      </c>
      <c r="H165" s="791">
        <v>600</v>
      </c>
      <c r="I165" s="711">
        <v>0</v>
      </c>
      <c r="J165" s="711">
        <v>12</v>
      </c>
      <c r="K165" s="698">
        <f t="shared" si="79"/>
        <v>50</v>
      </c>
      <c r="L165" s="829" t="s">
        <v>3559</v>
      </c>
      <c r="M165" s="829" t="s">
        <v>3560</v>
      </c>
      <c r="N165" s="850"/>
      <c r="O165" s="849"/>
      <c r="P165" s="851"/>
      <c r="Q165" s="744" t="s">
        <v>1427</v>
      </c>
      <c r="R165" s="744" t="s">
        <v>58</v>
      </c>
      <c r="S165" s="744" t="s">
        <v>1427</v>
      </c>
      <c r="T165" s="712" t="s">
        <v>3490</v>
      </c>
      <c r="U165" s="795" t="s">
        <v>3561</v>
      </c>
      <c r="V165" s="712" t="s">
        <v>1895</v>
      </c>
      <c r="W165" s="819">
        <v>3.1564</v>
      </c>
      <c r="X165" s="725">
        <f t="shared" si="84"/>
        <v>1893.84</v>
      </c>
      <c r="Y165" s="832"/>
      <c r="Z165" s="775"/>
      <c r="AA165" s="832"/>
      <c r="AB165" s="832"/>
      <c r="AC165" s="829"/>
      <c r="AD165" s="829"/>
      <c r="AE165" s="776">
        <f>H165/12*7</f>
        <v>350</v>
      </c>
      <c r="AF165" s="776">
        <f>H165/12*3</f>
        <v>150</v>
      </c>
      <c r="AG165" s="776">
        <f>H165/12*2</f>
        <v>100</v>
      </c>
      <c r="AH165" s="776"/>
      <c r="AI165" s="776"/>
      <c r="AJ165" s="776">
        <f t="shared" si="90"/>
        <v>600</v>
      </c>
      <c r="AK165" s="800"/>
      <c r="AL165" s="800"/>
      <c r="AM165" s="800"/>
      <c r="AN165" s="800"/>
      <c r="AO165" s="800">
        <f t="shared" si="94"/>
        <v>600</v>
      </c>
      <c r="AP165" s="800"/>
      <c r="AQ165" s="800"/>
      <c r="AR165" s="800"/>
      <c r="AS165" s="776"/>
      <c r="AT165" s="776"/>
      <c r="AU165" s="786"/>
      <c r="AV165" s="876"/>
      <c r="AW165" s="877"/>
    </row>
    <row r="166" s="693" customFormat="1" ht="31" customHeight="1" spans="1:53">
      <c r="A166" s="805">
        <v>44831</v>
      </c>
      <c r="B166" s="711" t="s">
        <v>209</v>
      </c>
      <c r="C166" s="712" t="s">
        <v>91</v>
      </c>
      <c r="D166" s="791">
        <v>4500087663</v>
      </c>
      <c r="E166" s="789" t="s">
        <v>3562</v>
      </c>
      <c r="F166" s="711" t="s">
        <v>3313</v>
      </c>
      <c r="G166" s="712" t="s">
        <v>3436</v>
      </c>
      <c r="H166" s="791">
        <v>4176</v>
      </c>
      <c r="I166" s="711">
        <v>0</v>
      </c>
      <c r="J166" s="711">
        <v>6</v>
      </c>
      <c r="K166" s="698">
        <f t="shared" si="79"/>
        <v>696</v>
      </c>
      <c r="L166" s="829" t="s">
        <v>3563</v>
      </c>
      <c r="M166" s="829" t="s">
        <v>3564</v>
      </c>
      <c r="N166" s="850"/>
      <c r="O166" s="869"/>
      <c r="P166" s="851"/>
      <c r="Q166" s="744" t="s">
        <v>3565</v>
      </c>
      <c r="R166" s="744" t="s">
        <v>2112</v>
      </c>
      <c r="S166" s="744" t="s">
        <v>3566</v>
      </c>
      <c r="T166" s="712" t="s">
        <v>3567</v>
      </c>
      <c r="U166" s="795" t="s">
        <v>3568</v>
      </c>
      <c r="V166" s="712" t="s">
        <v>3391</v>
      </c>
      <c r="W166" s="819">
        <v>3.2226</v>
      </c>
      <c r="X166" s="725">
        <f t="shared" si="84"/>
        <v>13457.5776</v>
      </c>
      <c r="Y166" s="832"/>
      <c r="Z166" s="775"/>
      <c r="AA166" s="832"/>
      <c r="AB166" s="832"/>
      <c r="AC166" s="836"/>
      <c r="AD166" s="694"/>
      <c r="AE166" s="776"/>
      <c r="AF166" s="711">
        <f>H166</f>
        <v>4176</v>
      </c>
      <c r="AG166" s="776"/>
      <c r="AH166" s="776"/>
      <c r="AI166" s="776"/>
      <c r="AJ166" s="776">
        <f t="shared" si="90"/>
        <v>4176</v>
      </c>
      <c r="AK166" s="800"/>
      <c r="AL166" s="800"/>
      <c r="AM166" s="800"/>
      <c r="AN166" s="800"/>
      <c r="AO166" s="800"/>
      <c r="AP166" s="800">
        <f>H166</f>
        <v>4176</v>
      </c>
      <c r="AQ166" s="800"/>
      <c r="AR166" s="800"/>
      <c r="AS166" s="800"/>
      <c r="AT166" s="800"/>
      <c r="AU166" s="800"/>
      <c r="AV166" s="776"/>
      <c r="AW166" s="878"/>
      <c r="AX166" s="878"/>
      <c r="AY166" s="776"/>
      <c r="AZ166" s="879"/>
      <c r="BA166" s="877"/>
    </row>
    <row r="167" s="693" customFormat="1" ht="31" customHeight="1" spans="1:56">
      <c r="A167" s="805">
        <v>44823</v>
      </c>
      <c r="B167" s="711" t="s">
        <v>2297</v>
      </c>
      <c r="C167" s="712" t="s">
        <v>876</v>
      </c>
      <c r="D167" s="791">
        <v>4500087111</v>
      </c>
      <c r="E167" s="789">
        <v>19088606</v>
      </c>
      <c r="F167" s="711" t="s">
        <v>3569</v>
      </c>
      <c r="G167" s="712" t="s">
        <v>2119</v>
      </c>
      <c r="H167" s="791">
        <v>1416</v>
      </c>
      <c r="I167" s="711">
        <v>0</v>
      </c>
      <c r="J167" s="711">
        <v>12</v>
      </c>
      <c r="K167" s="698">
        <f t="shared" si="79"/>
        <v>118</v>
      </c>
      <c r="L167" s="829" t="s">
        <v>3570</v>
      </c>
      <c r="M167" s="829" t="s">
        <v>3571</v>
      </c>
      <c r="N167" s="850"/>
      <c r="O167" s="869"/>
      <c r="P167" s="851"/>
      <c r="Q167" s="744">
        <v>44825</v>
      </c>
      <c r="R167" s="744" t="s">
        <v>2112</v>
      </c>
      <c r="S167" s="744">
        <v>44852</v>
      </c>
      <c r="T167" s="712" t="s">
        <v>3572</v>
      </c>
      <c r="U167" s="795" t="s">
        <v>3573</v>
      </c>
      <c r="V167" s="712" t="s">
        <v>3574</v>
      </c>
      <c r="W167" s="819">
        <v>3.1707</v>
      </c>
      <c r="X167" s="725">
        <f t="shared" si="84"/>
        <v>4489.7112</v>
      </c>
      <c r="Y167" s="832"/>
      <c r="Z167" s="775"/>
      <c r="AA167" s="775"/>
      <c r="AB167" s="856" t="s">
        <v>3575</v>
      </c>
      <c r="AC167" s="832"/>
      <c r="AD167" s="836" t="s">
        <v>327</v>
      </c>
      <c r="AE167" s="694"/>
      <c r="AF167" s="776">
        <f>H167/3</f>
        <v>472</v>
      </c>
      <c r="AG167" s="776">
        <f>H167/3</f>
        <v>472</v>
      </c>
      <c r="AH167" s="776">
        <f>H167/3</f>
        <v>472</v>
      </c>
      <c r="AI167" s="776"/>
      <c r="AJ167" s="776"/>
      <c r="AK167" s="776"/>
      <c r="AL167" s="800"/>
      <c r="AM167" s="800"/>
      <c r="AN167" s="800">
        <f>H167</f>
        <v>1416</v>
      </c>
      <c r="AO167" s="800"/>
      <c r="AP167" s="800"/>
      <c r="AQ167" s="800"/>
      <c r="AR167" s="800">
        <f>H167</f>
        <v>1416</v>
      </c>
      <c r="AS167" s="800"/>
      <c r="AT167" s="800"/>
      <c r="AU167" s="800"/>
      <c r="AV167" s="800"/>
      <c r="AW167" s="776"/>
      <c r="AX167" s="878"/>
      <c r="AY167" s="878"/>
      <c r="AZ167" s="776"/>
      <c r="BA167" s="880" t="s">
        <v>3576</v>
      </c>
      <c r="BB167" s="712" t="s">
        <v>3576</v>
      </c>
      <c r="BC167" s="705" t="s">
        <v>3576</v>
      </c>
      <c r="BD167" s="802" t="s">
        <v>3577</v>
      </c>
    </row>
    <row r="168" s="698" customFormat="1" ht="41" customHeight="1" spans="1:42">
      <c r="A168" s="805">
        <v>44491</v>
      </c>
      <c r="B168" s="711" t="s">
        <v>3399</v>
      </c>
      <c r="C168" s="763" t="s">
        <v>91</v>
      </c>
      <c r="D168" s="711">
        <v>4500064413</v>
      </c>
      <c r="E168" s="710" t="s">
        <v>66</v>
      </c>
      <c r="F168" s="763"/>
      <c r="G168" s="712" t="s">
        <v>67</v>
      </c>
      <c r="H168" s="711">
        <v>100404</v>
      </c>
      <c r="I168" s="698">
        <v>4200</v>
      </c>
      <c r="J168" s="698">
        <v>12</v>
      </c>
      <c r="K168" s="698">
        <f>I168/J168</f>
        <v>350</v>
      </c>
      <c r="L168" s="777" t="s">
        <v>3578</v>
      </c>
      <c r="M168" s="777" t="s">
        <v>3579</v>
      </c>
      <c r="N168" s="703"/>
      <c r="O168" s="703" t="s">
        <v>56</v>
      </c>
      <c r="P168" s="707" t="s">
        <v>3580</v>
      </c>
      <c r="Q168" s="726" t="s">
        <v>3581</v>
      </c>
      <c r="R168" s="726"/>
      <c r="S168" s="726" t="s">
        <v>58</v>
      </c>
      <c r="T168" s="705" t="s">
        <v>3582</v>
      </c>
      <c r="U168" s="716" t="s">
        <v>3583</v>
      </c>
      <c r="V168" s="711" t="s">
        <v>3584</v>
      </c>
      <c r="W168" s="724">
        <v>3.4839</v>
      </c>
      <c r="X168" s="725">
        <f>W168*I168</f>
        <v>14632.38</v>
      </c>
      <c r="Z168" s="874">
        <f>372+228</f>
        <v>600</v>
      </c>
      <c r="AA168" s="726"/>
      <c r="AB168" s="778">
        <f>Z168-I168</f>
        <v>-3600</v>
      </c>
      <c r="AC168" s="875" t="s">
        <v>58</v>
      </c>
      <c r="AD168" s="777"/>
      <c r="AE168" s="776">
        <f>I168</f>
        <v>4200</v>
      </c>
      <c r="AF168" s="776"/>
      <c r="AG168" s="776"/>
      <c r="AH168" s="698">
        <f>I168</f>
        <v>4200</v>
      </c>
      <c r="AI168" s="776"/>
      <c r="AJ168" s="776"/>
      <c r="AK168" s="776"/>
      <c r="AL168" s="776"/>
      <c r="AM168" s="776"/>
      <c r="AN168" s="776"/>
      <c r="AP168" s="698">
        <f>I168</f>
        <v>4200</v>
      </c>
    </row>
    <row r="169" s="692" customFormat="1" ht="41" customHeight="1" spans="1:45">
      <c r="A169" s="718">
        <v>44820</v>
      </c>
      <c r="B169" s="712" t="s">
        <v>209</v>
      </c>
      <c r="C169" s="712" t="s">
        <v>91</v>
      </c>
      <c r="D169" s="791">
        <v>4500086846</v>
      </c>
      <c r="E169" s="711" t="s">
        <v>3585</v>
      </c>
      <c r="F169" s="712" t="s">
        <v>3324</v>
      </c>
      <c r="G169" s="712" t="s">
        <v>65</v>
      </c>
      <c r="H169" s="698">
        <v>504</v>
      </c>
      <c r="I169" s="870">
        <v>0</v>
      </c>
      <c r="J169" s="746">
        <v>4</v>
      </c>
      <c r="K169" s="746">
        <f>H169/J169</f>
        <v>126</v>
      </c>
      <c r="L169" s="836">
        <v>44872</v>
      </c>
      <c r="M169" s="836" t="s">
        <v>3586</v>
      </c>
      <c r="N169" s="852"/>
      <c r="O169" s="852"/>
      <c r="P169" s="837"/>
      <c r="Q169" s="766" t="s">
        <v>3587</v>
      </c>
      <c r="R169" s="766"/>
      <c r="S169" s="766" t="s">
        <v>3566</v>
      </c>
      <c r="T169" s="815" t="s">
        <v>3567</v>
      </c>
      <c r="U169" s="795" t="s">
        <v>3588</v>
      </c>
      <c r="V169" s="791" t="s">
        <v>3391</v>
      </c>
      <c r="W169" s="724">
        <v>5.0773</v>
      </c>
      <c r="X169" s="725">
        <f>W169*H169</f>
        <v>2558.9592</v>
      </c>
      <c r="Y169" s="746"/>
      <c r="Z169" s="832"/>
      <c r="AA169" s="766"/>
      <c r="AB169" s="778"/>
      <c r="AC169" s="875"/>
      <c r="AD169" s="829"/>
      <c r="AE169" s="786"/>
      <c r="AF169" s="776">
        <f>H169</f>
        <v>504</v>
      </c>
      <c r="AG169" s="854"/>
      <c r="AH169" s="746"/>
      <c r="AI169" s="786"/>
      <c r="AJ169" s="786"/>
      <c r="AK169" s="786"/>
      <c r="AL169" s="786"/>
      <c r="AM169" s="786"/>
      <c r="AN169" s="786"/>
      <c r="AO169" s="746"/>
      <c r="AP169" s="746"/>
      <c r="AQ169" s="746">
        <f>H169</f>
        <v>504</v>
      </c>
      <c r="AR169" s="746"/>
      <c r="AS169" s="746"/>
    </row>
    <row r="170" s="694" customFormat="1" ht="36" customHeight="1" spans="1:254">
      <c r="A170" s="805">
        <v>44875</v>
      </c>
      <c r="B170" s="712" t="s">
        <v>90</v>
      </c>
      <c r="C170" s="721" t="s">
        <v>91</v>
      </c>
      <c r="D170" s="711">
        <v>4500090512</v>
      </c>
      <c r="E170" s="712" t="s">
        <v>3589</v>
      </c>
      <c r="F170" s="711" t="s">
        <v>3590</v>
      </c>
      <c r="G170" s="712" t="s">
        <v>3591</v>
      </c>
      <c r="H170" s="711">
        <v>1</v>
      </c>
      <c r="I170" s="711">
        <v>0</v>
      </c>
      <c r="J170" s="711">
        <v>1</v>
      </c>
      <c r="K170" s="698">
        <f t="shared" ref="K170:K210" si="99">H170/J170</f>
        <v>1</v>
      </c>
      <c r="L170" s="777">
        <v>44921</v>
      </c>
      <c r="M170" s="727">
        <v>44917</v>
      </c>
      <c r="N170" s="744"/>
      <c r="O170" s="744" t="s">
        <v>3592</v>
      </c>
      <c r="P170" s="744"/>
      <c r="Q170" s="845"/>
      <c r="R170" s="845"/>
      <c r="S170" s="845"/>
      <c r="T170" s="744"/>
      <c r="U170" s="859" t="s">
        <v>3593</v>
      </c>
      <c r="V170" s="711" t="s">
        <v>3594</v>
      </c>
      <c r="W170" s="872">
        <v>1609.0328</v>
      </c>
      <c r="X170" s="757">
        <f t="shared" ref="X170:X206" si="100">W170*H170</f>
        <v>1609.0328</v>
      </c>
      <c r="Y170" s="778"/>
      <c r="Z170" s="712" t="s">
        <v>63</v>
      </c>
      <c r="AA170" s="712"/>
      <c r="AB170" s="778"/>
      <c r="AC170" s="778"/>
      <c r="AD170" s="711"/>
      <c r="AE170" s="711"/>
      <c r="AF170" s="711"/>
      <c r="AG170" s="800"/>
      <c r="AH170" s="800"/>
      <c r="AI170" s="800"/>
      <c r="AJ170" s="800"/>
      <c r="AK170" s="800"/>
      <c r="AL170" s="779"/>
      <c r="AM170" s="779"/>
      <c r="AN170" s="779"/>
      <c r="AO170" s="698"/>
      <c r="AP170" s="698"/>
      <c r="AQ170" s="711"/>
      <c r="AR170" s="698"/>
      <c r="AS170" s="698"/>
      <c r="AT170" s="698"/>
      <c r="AU170" s="698"/>
      <c r="AV170" s="698"/>
      <c r="AW170" s="698"/>
      <c r="AX170" s="698"/>
      <c r="AY170" s="698"/>
      <c r="AZ170" s="698"/>
      <c r="BA170" s="698"/>
      <c r="BB170" s="698"/>
      <c r="BC170" s="698"/>
      <c r="BD170" s="698"/>
      <c r="BE170" s="698"/>
      <c r="BF170" s="698"/>
      <c r="BG170" s="698"/>
      <c r="BH170" s="698"/>
      <c r="BI170" s="698"/>
      <c r="BJ170" s="698"/>
      <c r="BK170" s="698"/>
      <c r="BL170" s="698"/>
      <c r="BM170" s="698"/>
      <c r="BN170" s="698"/>
      <c r="BO170" s="698"/>
      <c r="BP170" s="698"/>
      <c r="BQ170" s="698"/>
      <c r="BR170" s="698"/>
      <c r="BS170" s="698"/>
      <c r="BT170" s="698"/>
      <c r="BU170" s="698"/>
      <c r="BV170" s="698"/>
      <c r="BW170" s="698"/>
      <c r="BX170" s="698"/>
      <c r="BY170" s="698"/>
      <c r="BZ170" s="698"/>
      <c r="CA170" s="698"/>
      <c r="CB170" s="698"/>
      <c r="CC170" s="698"/>
      <c r="CD170" s="698"/>
      <c r="CE170" s="698"/>
      <c r="CF170" s="698"/>
      <c r="CG170" s="698"/>
      <c r="CH170" s="698"/>
      <c r="CI170" s="698"/>
      <c r="CJ170" s="698"/>
      <c r="CK170" s="698"/>
      <c r="CL170" s="698"/>
      <c r="CM170" s="698"/>
      <c r="CN170" s="698"/>
      <c r="CO170" s="698"/>
      <c r="CP170" s="698"/>
      <c r="CQ170" s="698"/>
      <c r="CR170" s="698"/>
      <c r="CS170" s="698"/>
      <c r="CT170" s="698"/>
      <c r="CU170" s="698"/>
      <c r="CV170" s="698"/>
      <c r="CW170" s="698"/>
      <c r="CX170" s="698"/>
      <c r="CY170" s="698"/>
      <c r="CZ170" s="698"/>
      <c r="DA170" s="698"/>
      <c r="DB170" s="698"/>
      <c r="DC170" s="698"/>
      <c r="DD170" s="698"/>
      <c r="DE170" s="698"/>
      <c r="DF170" s="698"/>
      <c r="DG170" s="698"/>
      <c r="DH170" s="698"/>
      <c r="DI170" s="698"/>
      <c r="DJ170" s="698"/>
      <c r="DK170" s="698"/>
      <c r="DL170" s="698"/>
      <c r="DM170" s="698"/>
      <c r="DN170" s="698"/>
      <c r="DO170" s="698"/>
      <c r="DP170" s="698"/>
      <c r="DQ170" s="698"/>
      <c r="DR170" s="698"/>
      <c r="DS170" s="698"/>
      <c r="DT170" s="698"/>
      <c r="DU170" s="698"/>
      <c r="DV170" s="698"/>
      <c r="DW170" s="698"/>
      <c r="DX170" s="698"/>
      <c r="DY170" s="698"/>
      <c r="DZ170" s="698"/>
      <c r="EA170" s="698"/>
      <c r="EB170" s="698"/>
      <c r="EC170" s="698"/>
      <c r="ED170" s="698"/>
      <c r="EE170" s="698"/>
      <c r="EF170" s="698"/>
      <c r="EG170" s="698"/>
      <c r="EH170" s="698"/>
      <c r="EI170" s="698"/>
      <c r="EJ170" s="698"/>
      <c r="EK170" s="698"/>
      <c r="EL170" s="698"/>
      <c r="EM170" s="698"/>
      <c r="EN170" s="698"/>
      <c r="EO170" s="698"/>
      <c r="EP170" s="698"/>
      <c r="EQ170" s="698"/>
      <c r="ER170" s="698"/>
      <c r="ES170" s="698"/>
      <c r="ET170" s="698"/>
      <c r="EU170" s="698"/>
      <c r="EV170" s="698"/>
      <c r="EW170" s="698"/>
      <c r="EX170" s="698"/>
      <c r="EY170" s="698"/>
      <c r="EZ170" s="698"/>
      <c r="FA170" s="698"/>
      <c r="FB170" s="698"/>
      <c r="FC170" s="698"/>
      <c r="FD170" s="698"/>
      <c r="FE170" s="698"/>
      <c r="FF170" s="698"/>
      <c r="FG170" s="698"/>
      <c r="FH170" s="698"/>
      <c r="FI170" s="698"/>
      <c r="FJ170" s="698"/>
      <c r="FK170" s="799"/>
      <c r="FL170" s="799"/>
      <c r="FM170" s="799"/>
      <c r="FN170" s="799"/>
      <c r="FO170" s="799"/>
      <c r="FP170" s="799"/>
      <c r="FQ170" s="799"/>
      <c r="FR170" s="799"/>
      <c r="FS170" s="799"/>
      <c r="FT170" s="799"/>
      <c r="FU170" s="799"/>
      <c r="FV170" s="799"/>
      <c r="FW170" s="799"/>
      <c r="FX170" s="799"/>
      <c r="FY170" s="799"/>
      <c r="FZ170" s="799"/>
      <c r="GA170" s="799"/>
      <c r="GB170" s="799"/>
      <c r="GC170" s="799"/>
      <c r="GD170" s="799"/>
      <c r="GE170" s="799"/>
      <c r="GF170" s="799"/>
      <c r="GG170" s="799"/>
      <c r="GH170" s="799"/>
      <c r="GI170" s="799"/>
      <c r="GJ170" s="799"/>
      <c r="GK170" s="799"/>
      <c r="GL170" s="799"/>
      <c r="GM170" s="799"/>
      <c r="GN170" s="799"/>
      <c r="GO170" s="799"/>
      <c r="GP170" s="799"/>
      <c r="GQ170" s="799"/>
      <c r="GR170" s="799"/>
      <c r="GS170" s="799"/>
      <c r="GT170" s="799"/>
      <c r="GU170" s="799"/>
      <c r="GV170" s="799"/>
      <c r="GW170" s="799"/>
      <c r="GX170" s="799"/>
      <c r="GY170" s="799"/>
      <c r="GZ170" s="799"/>
      <c r="HA170" s="799"/>
      <c r="HB170" s="799"/>
      <c r="HC170" s="799"/>
      <c r="HD170" s="799"/>
      <c r="HE170" s="799"/>
      <c r="HF170" s="799"/>
      <c r="HG170" s="799"/>
      <c r="HH170" s="799"/>
      <c r="HI170" s="799"/>
      <c r="HJ170" s="799"/>
      <c r="HK170" s="799"/>
      <c r="HL170" s="799"/>
      <c r="HM170" s="799"/>
      <c r="HN170" s="799"/>
      <c r="HO170" s="699"/>
      <c r="HP170" s="699"/>
      <c r="HQ170" s="699"/>
      <c r="HR170" s="699"/>
      <c r="HS170" s="699"/>
      <c r="HT170" s="699"/>
      <c r="HU170" s="699"/>
      <c r="HV170" s="699"/>
      <c r="HW170" s="699"/>
      <c r="HX170" s="699"/>
      <c r="HY170" s="699"/>
      <c r="HZ170" s="699"/>
      <c r="IA170" s="699"/>
      <c r="IB170" s="699"/>
      <c r="IC170" s="699"/>
      <c r="ID170" s="699"/>
      <c r="IE170" s="699"/>
      <c r="IF170" s="699"/>
      <c r="IG170" s="699"/>
      <c r="IH170" s="699"/>
      <c r="II170" s="699"/>
      <c r="IJ170" s="699"/>
      <c r="IK170" s="699"/>
      <c r="IL170" s="699"/>
      <c r="IM170" s="699"/>
      <c r="IN170" s="699"/>
      <c r="IO170" s="699"/>
      <c r="IP170" s="699"/>
      <c r="IQ170" s="699"/>
      <c r="IR170" s="699"/>
      <c r="IS170" s="699"/>
      <c r="IT170" s="699"/>
    </row>
    <row r="171" s="694" customFormat="1" ht="36" customHeight="1" spans="1:254">
      <c r="A171" s="805">
        <v>44875</v>
      </c>
      <c r="B171" s="712" t="s">
        <v>90</v>
      </c>
      <c r="C171" s="721" t="s">
        <v>91</v>
      </c>
      <c r="D171" s="711">
        <v>4500090512</v>
      </c>
      <c r="E171" s="712" t="s">
        <v>3589</v>
      </c>
      <c r="F171" s="711" t="s">
        <v>1447</v>
      </c>
      <c r="G171" s="712" t="s">
        <v>3595</v>
      </c>
      <c r="H171" s="711">
        <v>640</v>
      </c>
      <c r="I171" s="711">
        <v>0</v>
      </c>
      <c r="J171" s="711">
        <v>4</v>
      </c>
      <c r="K171" s="698">
        <f t="shared" si="99"/>
        <v>160</v>
      </c>
      <c r="L171" s="777">
        <v>44921</v>
      </c>
      <c r="M171" s="727">
        <v>44917</v>
      </c>
      <c r="N171" s="744"/>
      <c r="O171" s="744" t="s">
        <v>3592</v>
      </c>
      <c r="P171" s="744"/>
      <c r="Q171" s="873" t="s">
        <v>3596</v>
      </c>
      <c r="R171" s="845"/>
      <c r="S171" s="845" t="s">
        <v>3597</v>
      </c>
      <c r="T171" s="744" t="s">
        <v>3598</v>
      </c>
      <c r="U171" s="856"/>
      <c r="V171" s="711" t="s">
        <v>3594</v>
      </c>
      <c r="W171" s="872">
        <v>0</v>
      </c>
      <c r="X171" s="757">
        <f t="shared" si="100"/>
        <v>0</v>
      </c>
      <c r="Y171" s="778"/>
      <c r="Z171" s="712" t="s">
        <v>63</v>
      </c>
      <c r="AA171" s="712"/>
      <c r="AB171" s="778"/>
      <c r="AC171" s="778"/>
      <c r="AD171" s="711">
        <f t="shared" ref="AD171:AD175" si="101">H171</f>
        <v>640</v>
      </c>
      <c r="AE171" s="711">
        <f>H171</f>
        <v>640</v>
      </c>
      <c r="AF171" s="711"/>
      <c r="AG171" s="800"/>
      <c r="AH171" s="800"/>
      <c r="AI171" s="800"/>
      <c r="AJ171" s="800"/>
      <c r="AK171" s="800"/>
      <c r="AL171" s="779"/>
      <c r="AM171" s="779"/>
      <c r="AN171" s="779"/>
      <c r="AO171" s="698"/>
      <c r="AP171" s="698"/>
      <c r="AQ171" s="711">
        <f>H171</f>
        <v>640</v>
      </c>
      <c r="AR171" s="698">
        <f>H171</f>
        <v>640</v>
      </c>
      <c r="AS171" s="698"/>
      <c r="AT171" s="698"/>
      <c r="AU171" s="698"/>
      <c r="AV171" s="698"/>
      <c r="AW171" s="698"/>
      <c r="AX171" s="698"/>
      <c r="AY171" s="698"/>
      <c r="AZ171" s="698"/>
      <c r="BA171" s="698"/>
      <c r="BB171" s="698"/>
      <c r="BC171" s="698"/>
      <c r="BD171" s="698"/>
      <c r="BE171" s="698"/>
      <c r="BF171" s="698"/>
      <c r="BG171" s="698"/>
      <c r="BH171" s="698"/>
      <c r="BI171" s="698"/>
      <c r="BJ171" s="698"/>
      <c r="BK171" s="698"/>
      <c r="BL171" s="698"/>
      <c r="BM171" s="698"/>
      <c r="BN171" s="698"/>
      <c r="BO171" s="698"/>
      <c r="BP171" s="698"/>
      <c r="BQ171" s="698"/>
      <c r="BR171" s="698"/>
      <c r="BS171" s="698"/>
      <c r="BT171" s="698"/>
      <c r="BU171" s="698"/>
      <c r="BV171" s="698"/>
      <c r="BW171" s="698"/>
      <c r="BX171" s="698"/>
      <c r="BY171" s="698"/>
      <c r="BZ171" s="698"/>
      <c r="CA171" s="698"/>
      <c r="CB171" s="698"/>
      <c r="CC171" s="698"/>
      <c r="CD171" s="698"/>
      <c r="CE171" s="698"/>
      <c r="CF171" s="698"/>
      <c r="CG171" s="698"/>
      <c r="CH171" s="698"/>
      <c r="CI171" s="698"/>
      <c r="CJ171" s="698"/>
      <c r="CK171" s="698"/>
      <c r="CL171" s="698"/>
      <c r="CM171" s="698"/>
      <c r="CN171" s="698"/>
      <c r="CO171" s="698"/>
      <c r="CP171" s="698"/>
      <c r="CQ171" s="698"/>
      <c r="CR171" s="698"/>
      <c r="CS171" s="698"/>
      <c r="CT171" s="698"/>
      <c r="CU171" s="698"/>
      <c r="CV171" s="698"/>
      <c r="CW171" s="698"/>
      <c r="CX171" s="698"/>
      <c r="CY171" s="698"/>
      <c r="CZ171" s="698"/>
      <c r="DA171" s="698"/>
      <c r="DB171" s="698"/>
      <c r="DC171" s="698"/>
      <c r="DD171" s="698"/>
      <c r="DE171" s="698"/>
      <c r="DF171" s="698"/>
      <c r="DG171" s="698"/>
      <c r="DH171" s="698"/>
      <c r="DI171" s="698"/>
      <c r="DJ171" s="698"/>
      <c r="DK171" s="698"/>
      <c r="DL171" s="698"/>
      <c r="DM171" s="698"/>
      <c r="DN171" s="698"/>
      <c r="DO171" s="698"/>
      <c r="DP171" s="698"/>
      <c r="DQ171" s="698"/>
      <c r="DR171" s="698"/>
      <c r="DS171" s="698"/>
      <c r="DT171" s="698"/>
      <c r="DU171" s="698"/>
      <c r="DV171" s="698"/>
      <c r="DW171" s="698"/>
      <c r="DX171" s="698"/>
      <c r="DY171" s="698"/>
      <c r="DZ171" s="698"/>
      <c r="EA171" s="698"/>
      <c r="EB171" s="698"/>
      <c r="EC171" s="698"/>
      <c r="ED171" s="698"/>
      <c r="EE171" s="698"/>
      <c r="EF171" s="698"/>
      <c r="EG171" s="698"/>
      <c r="EH171" s="698"/>
      <c r="EI171" s="698"/>
      <c r="EJ171" s="698"/>
      <c r="EK171" s="698"/>
      <c r="EL171" s="698"/>
      <c r="EM171" s="698"/>
      <c r="EN171" s="698"/>
      <c r="EO171" s="698"/>
      <c r="EP171" s="698"/>
      <c r="EQ171" s="698"/>
      <c r="ER171" s="698"/>
      <c r="ES171" s="698"/>
      <c r="ET171" s="698"/>
      <c r="EU171" s="698"/>
      <c r="EV171" s="698"/>
      <c r="EW171" s="698"/>
      <c r="EX171" s="698"/>
      <c r="EY171" s="698"/>
      <c r="EZ171" s="698"/>
      <c r="FA171" s="698"/>
      <c r="FB171" s="698"/>
      <c r="FC171" s="698"/>
      <c r="FD171" s="698"/>
      <c r="FE171" s="698"/>
      <c r="FF171" s="698"/>
      <c r="FG171" s="698"/>
      <c r="FH171" s="698"/>
      <c r="FI171" s="698"/>
      <c r="FJ171" s="698"/>
      <c r="FK171" s="799"/>
      <c r="FL171" s="799"/>
      <c r="FM171" s="799"/>
      <c r="FN171" s="799"/>
      <c r="FO171" s="799"/>
      <c r="FP171" s="799"/>
      <c r="FQ171" s="799"/>
      <c r="FR171" s="799"/>
      <c r="FS171" s="799"/>
      <c r="FT171" s="799"/>
      <c r="FU171" s="799"/>
      <c r="FV171" s="799"/>
      <c r="FW171" s="799"/>
      <c r="FX171" s="799"/>
      <c r="FY171" s="799"/>
      <c r="FZ171" s="799"/>
      <c r="GA171" s="799"/>
      <c r="GB171" s="799"/>
      <c r="GC171" s="799"/>
      <c r="GD171" s="799"/>
      <c r="GE171" s="799"/>
      <c r="GF171" s="799"/>
      <c r="GG171" s="799"/>
      <c r="GH171" s="799"/>
      <c r="GI171" s="799"/>
      <c r="GJ171" s="799"/>
      <c r="GK171" s="799"/>
      <c r="GL171" s="799"/>
      <c r="GM171" s="799"/>
      <c r="GN171" s="799"/>
      <c r="GO171" s="799"/>
      <c r="GP171" s="799"/>
      <c r="GQ171" s="799"/>
      <c r="GR171" s="799"/>
      <c r="GS171" s="799"/>
      <c r="GT171" s="799"/>
      <c r="GU171" s="799"/>
      <c r="GV171" s="799"/>
      <c r="GW171" s="799"/>
      <c r="GX171" s="799"/>
      <c r="GY171" s="799"/>
      <c r="GZ171" s="799"/>
      <c r="HA171" s="799"/>
      <c r="HB171" s="799"/>
      <c r="HC171" s="799"/>
      <c r="HD171" s="799"/>
      <c r="HE171" s="799"/>
      <c r="HF171" s="799"/>
      <c r="HG171" s="799"/>
      <c r="HH171" s="799"/>
      <c r="HI171" s="799"/>
      <c r="HJ171" s="799"/>
      <c r="HK171" s="799"/>
      <c r="HL171" s="799"/>
      <c r="HM171" s="799"/>
      <c r="HN171" s="799"/>
      <c r="HO171" s="699"/>
      <c r="HP171" s="699"/>
      <c r="HQ171" s="699"/>
      <c r="HR171" s="699"/>
      <c r="HS171" s="699"/>
      <c r="HT171" s="699"/>
      <c r="HU171" s="699"/>
      <c r="HV171" s="699"/>
      <c r="HW171" s="699"/>
      <c r="HX171" s="699"/>
      <c r="HY171" s="699"/>
      <c r="HZ171" s="699"/>
      <c r="IA171" s="699"/>
      <c r="IB171" s="699"/>
      <c r="IC171" s="699"/>
      <c r="ID171" s="699"/>
      <c r="IE171" s="699"/>
      <c r="IF171" s="699"/>
      <c r="IG171" s="699"/>
      <c r="IH171" s="699"/>
      <c r="II171" s="699"/>
      <c r="IJ171" s="699"/>
      <c r="IK171" s="699"/>
      <c r="IL171" s="699"/>
      <c r="IM171" s="699"/>
      <c r="IN171" s="699"/>
      <c r="IO171" s="699"/>
      <c r="IP171" s="699"/>
      <c r="IQ171" s="699"/>
      <c r="IR171" s="699"/>
      <c r="IS171" s="699"/>
      <c r="IT171" s="699"/>
    </row>
    <row r="172" s="694" customFormat="1" ht="36" customHeight="1" spans="1:254">
      <c r="A172" s="805">
        <v>44875</v>
      </c>
      <c r="B172" s="712" t="s">
        <v>90</v>
      </c>
      <c r="C172" s="721" t="s">
        <v>91</v>
      </c>
      <c r="D172" s="711">
        <v>4500090512</v>
      </c>
      <c r="E172" s="712">
        <v>1328827696</v>
      </c>
      <c r="F172" s="711" t="s">
        <v>3599</v>
      </c>
      <c r="G172" s="712" t="s">
        <v>3600</v>
      </c>
      <c r="H172" s="711">
        <v>2</v>
      </c>
      <c r="I172" s="711">
        <v>0</v>
      </c>
      <c r="J172" s="711">
        <v>1</v>
      </c>
      <c r="K172" s="698">
        <f t="shared" si="99"/>
        <v>2</v>
      </c>
      <c r="L172" s="777">
        <v>44921</v>
      </c>
      <c r="M172" s="727">
        <v>44917</v>
      </c>
      <c r="N172" s="744"/>
      <c r="O172" s="744" t="s">
        <v>3592</v>
      </c>
      <c r="P172" s="744"/>
      <c r="Q172" s="845"/>
      <c r="R172" s="845"/>
      <c r="S172" s="845"/>
      <c r="T172" s="744"/>
      <c r="U172" s="859" t="s">
        <v>3601</v>
      </c>
      <c r="V172" s="711" t="s">
        <v>3594</v>
      </c>
      <c r="W172" s="872">
        <v>1609.0328</v>
      </c>
      <c r="X172" s="757">
        <f t="shared" si="100"/>
        <v>3218.0656</v>
      </c>
      <c r="Y172" s="778"/>
      <c r="Z172" s="712" t="s">
        <v>63</v>
      </c>
      <c r="AA172" s="712"/>
      <c r="AB172" s="778"/>
      <c r="AC172" s="778"/>
      <c r="AD172" s="711"/>
      <c r="AE172" s="711"/>
      <c r="AF172" s="711"/>
      <c r="AG172" s="800"/>
      <c r="AH172" s="800"/>
      <c r="AI172" s="800"/>
      <c r="AJ172" s="800"/>
      <c r="AK172" s="800"/>
      <c r="AL172" s="779"/>
      <c r="AM172" s="779"/>
      <c r="AN172" s="779"/>
      <c r="AO172" s="698"/>
      <c r="AP172" s="698"/>
      <c r="AQ172" s="711"/>
      <c r="AR172" s="698"/>
      <c r="AS172" s="698"/>
      <c r="AT172" s="698"/>
      <c r="AU172" s="698"/>
      <c r="AV172" s="698"/>
      <c r="AW172" s="698"/>
      <c r="AX172" s="698"/>
      <c r="AY172" s="698"/>
      <c r="AZ172" s="698"/>
      <c r="BA172" s="698"/>
      <c r="BB172" s="698"/>
      <c r="BC172" s="698"/>
      <c r="BD172" s="698"/>
      <c r="BE172" s="698"/>
      <c r="BF172" s="698"/>
      <c r="BG172" s="698"/>
      <c r="BH172" s="698"/>
      <c r="BI172" s="698"/>
      <c r="BJ172" s="698"/>
      <c r="BK172" s="698"/>
      <c r="BL172" s="698"/>
      <c r="BM172" s="698"/>
      <c r="BN172" s="698"/>
      <c r="BO172" s="698"/>
      <c r="BP172" s="698"/>
      <c r="BQ172" s="698"/>
      <c r="BR172" s="698"/>
      <c r="BS172" s="698"/>
      <c r="BT172" s="698"/>
      <c r="BU172" s="698"/>
      <c r="BV172" s="698"/>
      <c r="BW172" s="698"/>
      <c r="BX172" s="698"/>
      <c r="BY172" s="698"/>
      <c r="BZ172" s="698"/>
      <c r="CA172" s="698"/>
      <c r="CB172" s="698"/>
      <c r="CC172" s="698"/>
      <c r="CD172" s="698"/>
      <c r="CE172" s="698"/>
      <c r="CF172" s="698"/>
      <c r="CG172" s="698"/>
      <c r="CH172" s="698"/>
      <c r="CI172" s="698"/>
      <c r="CJ172" s="698"/>
      <c r="CK172" s="698"/>
      <c r="CL172" s="698"/>
      <c r="CM172" s="698"/>
      <c r="CN172" s="698"/>
      <c r="CO172" s="698"/>
      <c r="CP172" s="698"/>
      <c r="CQ172" s="698"/>
      <c r="CR172" s="698"/>
      <c r="CS172" s="698"/>
      <c r="CT172" s="698"/>
      <c r="CU172" s="698"/>
      <c r="CV172" s="698"/>
      <c r="CW172" s="698"/>
      <c r="CX172" s="698"/>
      <c r="CY172" s="698"/>
      <c r="CZ172" s="698"/>
      <c r="DA172" s="698"/>
      <c r="DB172" s="698"/>
      <c r="DC172" s="698"/>
      <c r="DD172" s="698"/>
      <c r="DE172" s="698"/>
      <c r="DF172" s="698"/>
      <c r="DG172" s="698"/>
      <c r="DH172" s="698"/>
      <c r="DI172" s="698"/>
      <c r="DJ172" s="698"/>
      <c r="DK172" s="698"/>
      <c r="DL172" s="698"/>
      <c r="DM172" s="698"/>
      <c r="DN172" s="698"/>
      <c r="DO172" s="698"/>
      <c r="DP172" s="698"/>
      <c r="DQ172" s="698"/>
      <c r="DR172" s="698"/>
      <c r="DS172" s="698"/>
      <c r="DT172" s="698"/>
      <c r="DU172" s="698"/>
      <c r="DV172" s="698"/>
      <c r="DW172" s="698"/>
      <c r="DX172" s="698"/>
      <c r="DY172" s="698"/>
      <c r="DZ172" s="698"/>
      <c r="EA172" s="698"/>
      <c r="EB172" s="698"/>
      <c r="EC172" s="698"/>
      <c r="ED172" s="698"/>
      <c r="EE172" s="698"/>
      <c r="EF172" s="698"/>
      <c r="EG172" s="698"/>
      <c r="EH172" s="698"/>
      <c r="EI172" s="698"/>
      <c r="EJ172" s="698"/>
      <c r="EK172" s="698"/>
      <c r="EL172" s="698"/>
      <c r="EM172" s="698"/>
      <c r="EN172" s="698"/>
      <c r="EO172" s="698"/>
      <c r="EP172" s="698"/>
      <c r="EQ172" s="698"/>
      <c r="ER172" s="698"/>
      <c r="ES172" s="698"/>
      <c r="ET172" s="698"/>
      <c r="EU172" s="698"/>
      <c r="EV172" s="698"/>
      <c r="EW172" s="698"/>
      <c r="EX172" s="698"/>
      <c r="EY172" s="698"/>
      <c r="EZ172" s="698"/>
      <c r="FA172" s="698"/>
      <c r="FB172" s="698"/>
      <c r="FC172" s="698"/>
      <c r="FD172" s="698"/>
      <c r="FE172" s="698"/>
      <c r="FF172" s="698"/>
      <c r="FG172" s="698"/>
      <c r="FH172" s="698"/>
      <c r="FI172" s="698"/>
      <c r="FJ172" s="698"/>
      <c r="FK172" s="799"/>
      <c r="FL172" s="799"/>
      <c r="FM172" s="799"/>
      <c r="FN172" s="799"/>
      <c r="FO172" s="799"/>
      <c r="FP172" s="799"/>
      <c r="FQ172" s="799"/>
      <c r="FR172" s="799"/>
      <c r="FS172" s="799"/>
      <c r="FT172" s="799"/>
      <c r="FU172" s="799"/>
      <c r="FV172" s="799"/>
      <c r="FW172" s="799"/>
      <c r="FX172" s="799"/>
      <c r="FY172" s="799"/>
      <c r="FZ172" s="799"/>
      <c r="GA172" s="799"/>
      <c r="GB172" s="799"/>
      <c r="GC172" s="799"/>
      <c r="GD172" s="799"/>
      <c r="GE172" s="799"/>
      <c r="GF172" s="799"/>
      <c r="GG172" s="799"/>
      <c r="GH172" s="799"/>
      <c r="GI172" s="799"/>
      <c r="GJ172" s="799"/>
      <c r="GK172" s="799"/>
      <c r="GL172" s="799"/>
      <c r="GM172" s="799"/>
      <c r="GN172" s="799"/>
      <c r="GO172" s="799"/>
      <c r="GP172" s="799"/>
      <c r="GQ172" s="799"/>
      <c r="GR172" s="799"/>
      <c r="GS172" s="799"/>
      <c r="GT172" s="799"/>
      <c r="GU172" s="799"/>
      <c r="GV172" s="799"/>
      <c r="GW172" s="799"/>
      <c r="GX172" s="799"/>
      <c r="GY172" s="799"/>
      <c r="GZ172" s="799"/>
      <c r="HA172" s="799"/>
      <c r="HB172" s="799"/>
      <c r="HC172" s="799"/>
      <c r="HD172" s="799"/>
      <c r="HE172" s="799"/>
      <c r="HF172" s="799"/>
      <c r="HG172" s="799"/>
      <c r="HH172" s="799"/>
      <c r="HI172" s="799"/>
      <c r="HJ172" s="799"/>
      <c r="HK172" s="799"/>
      <c r="HL172" s="799"/>
      <c r="HM172" s="799"/>
      <c r="HN172" s="799"/>
      <c r="HO172" s="699"/>
      <c r="HP172" s="699"/>
      <c r="HQ172" s="699"/>
      <c r="HR172" s="699"/>
      <c r="HS172" s="699"/>
      <c r="HT172" s="699"/>
      <c r="HU172" s="699"/>
      <c r="HV172" s="699"/>
      <c r="HW172" s="699"/>
      <c r="HX172" s="699"/>
      <c r="HY172" s="699"/>
      <c r="HZ172" s="699"/>
      <c r="IA172" s="699"/>
      <c r="IB172" s="699"/>
      <c r="IC172" s="699"/>
      <c r="ID172" s="699"/>
      <c r="IE172" s="699"/>
      <c r="IF172" s="699"/>
      <c r="IG172" s="699"/>
      <c r="IH172" s="699"/>
      <c r="II172" s="699"/>
      <c r="IJ172" s="699"/>
      <c r="IK172" s="699"/>
      <c r="IL172" s="699"/>
      <c r="IM172" s="699"/>
      <c r="IN172" s="699"/>
      <c r="IO172" s="699"/>
      <c r="IP172" s="699"/>
      <c r="IQ172" s="699"/>
      <c r="IR172" s="699"/>
      <c r="IS172" s="699"/>
      <c r="IT172" s="699"/>
    </row>
    <row r="173" s="694" customFormat="1" ht="36" customHeight="1" spans="1:254">
      <c r="A173" s="805">
        <v>44875</v>
      </c>
      <c r="B173" s="712" t="s">
        <v>90</v>
      </c>
      <c r="C173" s="721" t="s">
        <v>91</v>
      </c>
      <c r="D173" s="711">
        <v>4500090512</v>
      </c>
      <c r="E173" s="712">
        <v>1328827696</v>
      </c>
      <c r="F173" s="711" t="s">
        <v>1446</v>
      </c>
      <c r="G173" s="712" t="s">
        <v>3602</v>
      </c>
      <c r="H173" s="711">
        <v>1280</v>
      </c>
      <c r="I173" s="711">
        <v>0</v>
      </c>
      <c r="J173" s="711">
        <v>4</v>
      </c>
      <c r="K173" s="698">
        <f t="shared" si="99"/>
        <v>320</v>
      </c>
      <c r="L173" s="777">
        <v>44921</v>
      </c>
      <c r="M173" s="727">
        <v>44917</v>
      </c>
      <c r="N173" s="744"/>
      <c r="O173" s="744" t="s">
        <v>3592</v>
      </c>
      <c r="P173" s="744"/>
      <c r="Q173" s="873" t="s">
        <v>3596</v>
      </c>
      <c r="R173" s="845"/>
      <c r="S173" s="845" t="s">
        <v>3597</v>
      </c>
      <c r="T173" s="744" t="s">
        <v>3598</v>
      </c>
      <c r="U173" s="856"/>
      <c r="V173" s="711" t="s">
        <v>3594</v>
      </c>
      <c r="W173" s="872">
        <v>0</v>
      </c>
      <c r="X173" s="757">
        <f t="shared" si="100"/>
        <v>0</v>
      </c>
      <c r="Y173" s="778"/>
      <c r="Z173" s="712" t="s">
        <v>63</v>
      </c>
      <c r="AA173" s="712"/>
      <c r="AB173" s="778"/>
      <c r="AC173" s="778"/>
      <c r="AD173" s="711">
        <f t="shared" si="101"/>
        <v>1280</v>
      </c>
      <c r="AE173" s="711"/>
      <c r="AF173" s="711">
        <f>H173</f>
        <v>1280</v>
      </c>
      <c r="AG173" s="800"/>
      <c r="AH173" s="800"/>
      <c r="AI173" s="800"/>
      <c r="AJ173" s="800"/>
      <c r="AK173" s="800"/>
      <c r="AL173" s="779"/>
      <c r="AM173" s="779"/>
      <c r="AN173" s="779"/>
      <c r="AO173" s="698">
        <f>H173</f>
        <v>1280</v>
      </c>
      <c r="AP173" s="698">
        <f>H173</f>
        <v>1280</v>
      </c>
      <c r="AQ173" s="711"/>
      <c r="AR173" s="698"/>
      <c r="AS173" s="698"/>
      <c r="AT173" s="698"/>
      <c r="AU173" s="698"/>
      <c r="AV173" s="698"/>
      <c r="AW173" s="698"/>
      <c r="AX173" s="698"/>
      <c r="AY173" s="698"/>
      <c r="AZ173" s="698"/>
      <c r="BA173" s="698"/>
      <c r="BB173" s="698"/>
      <c r="BC173" s="698"/>
      <c r="BD173" s="698"/>
      <c r="BE173" s="698"/>
      <c r="BF173" s="698"/>
      <c r="BG173" s="698"/>
      <c r="BH173" s="698"/>
      <c r="BI173" s="698"/>
      <c r="BJ173" s="698"/>
      <c r="BK173" s="698"/>
      <c r="BL173" s="698"/>
      <c r="BM173" s="698"/>
      <c r="BN173" s="698"/>
      <c r="BO173" s="698"/>
      <c r="BP173" s="698"/>
      <c r="BQ173" s="698"/>
      <c r="BR173" s="698"/>
      <c r="BS173" s="698"/>
      <c r="BT173" s="698"/>
      <c r="BU173" s="698"/>
      <c r="BV173" s="698"/>
      <c r="BW173" s="698"/>
      <c r="BX173" s="698"/>
      <c r="BY173" s="698"/>
      <c r="BZ173" s="698"/>
      <c r="CA173" s="698"/>
      <c r="CB173" s="698"/>
      <c r="CC173" s="698"/>
      <c r="CD173" s="698"/>
      <c r="CE173" s="698"/>
      <c r="CF173" s="698"/>
      <c r="CG173" s="698"/>
      <c r="CH173" s="698"/>
      <c r="CI173" s="698"/>
      <c r="CJ173" s="698"/>
      <c r="CK173" s="698"/>
      <c r="CL173" s="698"/>
      <c r="CM173" s="698"/>
      <c r="CN173" s="698"/>
      <c r="CO173" s="698"/>
      <c r="CP173" s="698"/>
      <c r="CQ173" s="698"/>
      <c r="CR173" s="698"/>
      <c r="CS173" s="698"/>
      <c r="CT173" s="698"/>
      <c r="CU173" s="698"/>
      <c r="CV173" s="698"/>
      <c r="CW173" s="698"/>
      <c r="CX173" s="698"/>
      <c r="CY173" s="698"/>
      <c r="CZ173" s="698"/>
      <c r="DA173" s="698"/>
      <c r="DB173" s="698"/>
      <c r="DC173" s="698"/>
      <c r="DD173" s="698"/>
      <c r="DE173" s="698"/>
      <c r="DF173" s="698"/>
      <c r="DG173" s="698"/>
      <c r="DH173" s="698"/>
      <c r="DI173" s="698"/>
      <c r="DJ173" s="698"/>
      <c r="DK173" s="698"/>
      <c r="DL173" s="698"/>
      <c r="DM173" s="698"/>
      <c r="DN173" s="698"/>
      <c r="DO173" s="698"/>
      <c r="DP173" s="698"/>
      <c r="DQ173" s="698"/>
      <c r="DR173" s="698"/>
      <c r="DS173" s="698"/>
      <c r="DT173" s="698"/>
      <c r="DU173" s="698"/>
      <c r="DV173" s="698"/>
      <c r="DW173" s="698"/>
      <c r="DX173" s="698"/>
      <c r="DY173" s="698"/>
      <c r="DZ173" s="698"/>
      <c r="EA173" s="698"/>
      <c r="EB173" s="698"/>
      <c r="EC173" s="698"/>
      <c r="ED173" s="698"/>
      <c r="EE173" s="698"/>
      <c r="EF173" s="698"/>
      <c r="EG173" s="698"/>
      <c r="EH173" s="698"/>
      <c r="EI173" s="698"/>
      <c r="EJ173" s="698"/>
      <c r="EK173" s="698"/>
      <c r="EL173" s="698"/>
      <c r="EM173" s="698"/>
      <c r="EN173" s="698"/>
      <c r="EO173" s="698"/>
      <c r="EP173" s="698"/>
      <c r="EQ173" s="698"/>
      <c r="ER173" s="698"/>
      <c r="ES173" s="698"/>
      <c r="ET173" s="698"/>
      <c r="EU173" s="698"/>
      <c r="EV173" s="698"/>
      <c r="EW173" s="698"/>
      <c r="EX173" s="698"/>
      <c r="EY173" s="698"/>
      <c r="EZ173" s="698"/>
      <c r="FA173" s="698"/>
      <c r="FB173" s="698"/>
      <c r="FC173" s="698"/>
      <c r="FD173" s="698"/>
      <c r="FE173" s="698"/>
      <c r="FF173" s="698"/>
      <c r="FG173" s="698"/>
      <c r="FH173" s="698"/>
      <c r="FI173" s="698"/>
      <c r="FJ173" s="698"/>
      <c r="FK173" s="799"/>
      <c r="FL173" s="799"/>
      <c r="FM173" s="799"/>
      <c r="FN173" s="799"/>
      <c r="FO173" s="799"/>
      <c r="FP173" s="799"/>
      <c r="FQ173" s="799"/>
      <c r="FR173" s="799"/>
      <c r="FS173" s="799"/>
      <c r="FT173" s="799"/>
      <c r="FU173" s="799"/>
      <c r="FV173" s="799"/>
      <c r="FW173" s="799"/>
      <c r="FX173" s="799"/>
      <c r="FY173" s="799"/>
      <c r="FZ173" s="799"/>
      <c r="GA173" s="799"/>
      <c r="GB173" s="799"/>
      <c r="GC173" s="799"/>
      <c r="GD173" s="799"/>
      <c r="GE173" s="799"/>
      <c r="GF173" s="799"/>
      <c r="GG173" s="799"/>
      <c r="GH173" s="799"/>
      <c r="GI173" s="799"/>
      <c r="GJ173" s="799"/>
      <c r="GK173" s="799"/>
      <c r="GL173" s="799"/>
      <c r="GM173" s="799"/>
      <c r="GN173" s="799"/>
      <c r="GO173" s="799"/>
      <c r="GP173" s="799"/>
      <c r="GQ173" s="799"/>
      <c r="GR173" s="799"/>
      <c r="GS173" s="799"/>
      <c r="GT173" s="799"/>
      <c r="GU173" s="799"/>
      <c r="GV173" s="799"/>
      <c r="GW173" s="799"/>
      <c r="GX173" s="799"/>
      <c r="GY173" s="799"/>
      <c r="GZ173" s="799"/>
      <c r="HA173" s="799"/>
      <c r="HB173" s="799"/>
      <c r="HC173" s="799"/>
      <c r="HD173" s="799"/>
      <c r="HE173" s="799"/>
      <c r="HF173" s="799"/>
      <c r="HG173" s="799"/>
      <c r="HH173" s="799"/>
      <c r="HI173" s="799"/>
      <c r="HJ173" s="799"/>
      <c r="HK173" s="799"/>
      <c r="HL173" s="799"/>
      <c r="HM173" s="799"/>
      <c r="HN173" s="799"/>
      <c r="HO173" s="699"/>
      <c r="HP173" s="699"/>
      <c r="HQ173" s="699"/>
      <c r="HR173" s="699"/>
      <c r="HS173" s="699"/>
      <c r="HT173" s="699"/>
      <c r="HU173" s="699"/>
      <c r="HV173" s="699"/>
      <c r="HW173" s="699"/>
      <c r="HX173" s="699"/>
      <c r="HY173" s="699"/>
      <c r="HZ173" s="699"/>
      <c r="IA173" s="699"/>
      <c r="IB173" s="699"/>
      <c r="IC173" s="699"/>
      <c r="ID173" s="699"/>
      <c r="IE173" s="699"/>
      <c r="IF173" s="699"/>
      <c r="IG173" s="699"/>
      <c r="IH173" s="699"/>
      <c r="II173" s="699"/>
      <c r="IJ173" s="699"/>
      <c r="IK173" s="699"/>
      <c r="IL173" s="699"/>
      <c r="IM173" s="699"/>
      <c r="IN173" s="699"/>
      <c r="IO173" s="699"/>
      <c r="IP173" s="699"/>
      <c r="IQ173" s="699"/>
      <c r="IR173" s="699"/>
      <c r="IS173" s="699"/>
      <c r="IT173" s="699"/>
    </row>
    <row r="174" s="694" customFormat="1" ht="36" customHeight="1" spans="1:254">
      <c r="A174" s="805">
        <v>44875</v>
      </c>
      <c r="B174" s="712" t="s">
        <v>90</v>
      </c>
      <c r="C174" s="721" t="s">
        <v>91</v>
      </c>
      <c r="D174" s="711">
        <v>4500090513</v>
      </c>
      <c r="E174" s="712">
        <v>1328827685</v>
      </c>
      <c r="F174" s="711" t="s">
        <v>3590</v>
      </c>
      <c r="G174" s="712" t="s">
        <v>3591</v>
      </c>
      <c r="H174" s="711">
        <v>2</v>
      </c>
      <c r="I174" s="711">
        <v>0</v>
      </c>
      <c r="J174" s="711">
        <v>1</v>
      </c>
      <c r="K174" s="698">
        <f t="shared" si="99"/>
        <v>2</v>
      </c>
      <c r="L174" s="777">
        <v>44921</v>
      </c>
      <c r="M174" s="727">
        <v>44917</v>
      </c>
      <c r="N174" s="744"/>
      <c r="O174" s="744" t="s">
        <v>3592</v>
      </c>
      <c r="P174" s="744"/>
      <c r="Q174" s="845"/>
      <c r="R174" s="845"/>
      <c r="S174" s="845"/>
      <c r="T174" s="744"/>
      <c r="U174" s="859" t="s">
        <v>3593</v>
      </c>
      <c r="V174" s="711" t="s">
        <v>3594</v>
      </c>
      <c r="W174" s="872">
        <v>1609.0328</v>
      </c>
      <c r="X174" s="757">
        <f t="shared" si="100"/>
        <v>3218.0656</v>
      </c>
      <c r="Y174" s="778"/>
      <c r="Z174" s="712" t="s">
        <v>63</v>
      </c>
      <c r="AA174" s="712"/>
      <c r="AB174" s="778"/>
      <c r="AC174" s="778"/>
      <c r="AD174" s="711"/>
      <c r="AE174" s="711"/>
      <c r="AF174" s="711"/>
      <c r="AG174" s="800"/>
      <c r="AH174" s="800"/>
      <c r="AI174" s="800"/>
      <c r="AJ174" s="800"/>
      <c r="AK174" s="800"/>
      <c r="AL174" s="779"/>
      <c r="AM174" s="779"/>
      <c r="AN174" s="779"/>
      <c r="AO174" s="698"/>
      <c r="AP174" s="698"/>
      <c r="AQ174" s="711"/>
      <c r="AR174" s="698"/>
      <c r="AS174" s="698"/>
      <c r="AT174" s="698"/>
      <c r="AU174" s="698"/>
      <c r="AV174" s="698"/>
      <c r="AW174" s="698"/>
      <c r="AX174" s="698"/>
      <c r="AY174" s="698"/>
      <c r="AZ174" s="698"/>
      <c r="BA174" s="698"/>
      <c r="BB174" s="698"/>
      <c r="BC174" s="698"/>
      <c r="BD174" s="698"/>
      <c r="BE174" s="698"/>
      <c r="BF174" s="698"/>
      <c r="BG174" s="698"/>
      <c r="BH174" s="698"/>
      <c r="BI174" s="698"/>
      <c r="BJ174" s="698"/>
      <c r="BK174" s="698"/>
      <c r="BL174" s="698"/>
      <c r="BM174" s="698"/>
      <c r="BN174" s="698"/>
      <c r="BO174" s="698"/>
      <c r="BP174" s="698"/>
      <c r="BQ174" s="698"/>
      <c r="BR174" s="698"/>
      <c r="BS174" s="698"/>
      <c r="BT174" s="698"/>
      <c r="BU174" s="698"/>
      <c r="BV174" s="698"/>
      <c r="BW174" s="698"/>
      <c r="BX174" s="698"/>
      <c r="BY174" s="698"/>
      <c r="BZ174" s="698"/>
      <c r="CA174" s="698"/>
      <c r="CB174" s="698"/>
      <c r="CC174" s="698"/>
      <c r="CD174" s="698"/>
      <c r="CE174" s="698"/>
      <c r="CF174" s="698"/>
      <c r="CG174" s="698"/>
      <c r="CH174" s="698"/>
      <c r="CI174" s="698"/>
      <c r="CJ174" s="698"/>
      <c r="CK174" s="698"/>
      <c r="CL174" s="698"/>
      <c r="CM174" s="698"/>
      <c r="CN174" s="698"/>
      <c r="CO174" s="698"/>
      <c r="CP174" s="698"/>
      <c r="CQ174" s="698"/>
      <c r="CR174" s="698"/>
      <c r="CS174" s="698"/>
      <c r="CT174" s="698"/>
      <c r="CU174" s="698"/>
      <c r="CV174" s="698"/>
      <c r="CW174" s="698"/>
      <c r="CX174" s="698"/>
      <c r="CY174" s="698"/>
      <c r="CZ174" s="698"/>
      <c r="DA174" s="698"/>
      <c r="DB174" s="698"/>
      <c r="DC174" s="698"/>
      <c r="DD174" s="698"/>
      <c r="DE174" s="698"/>
      <c r="DF174" s="698"/>
      <c r="DG174" s="698"/>
      <c r="DH174" s="698"/>
      <c r="DI174" s="698"/>
      <c r="DJ174" s="698"/>
      <c r="DK174" s="698"/>
      <c r="DL174" s="698"/>
      <c r="DM174" s="698"/>
      <c r="DN174" s="698"/>
      <c r="DO174" s="698"/>
      <c r="DP174" s="698"/>
      <c r="DQ174" s="698"/>
      <c r="DR174" s="698"/>
      <c r="DS174" s="698"/>
      <c r="DT174" s="698"/>
      <c r="DU174" s="698"/>
      <c r="DV174" s="698"/>
      <c r="DW174" s="698"/>
      <c r="DX174" s="698"/>
      <c r="DY174" s="698"/>
      <c r="DZ174" s="698"/>
      <c r="EA174" s="698"/>
      <c r="EB174" s="698"/>
      <c r="EC174" s="698"/>
      <c r="ED174" s="698"/>
      <c r="EE174" s="698"/>
      <c r="EF174" s="698"/>
      <c r="EG174" s="698"/>
      <c r="EH174" s="698"/>
      <c r="EI174" s="698"/>
      <c r="EJ174" s="698"/>
      <c r="EK174" s="698"/>
      <c r="EL174" s="698"/>
      <c r="EM174" s="698"/>
      <c r="EN174" s="698"/>
      <c r="EO174" s="698"/>
      <c r="EP174" s="698"/>
      <c r="EQ174" s="698"/>
      <c r="ER174" s="698"/>
      <c r="ES174" s="698"/>
      <c r="ET174" s="698"/>
      <c r="EU174" s="698"/>
      <c r="EV174" s="698"/>
      <c r="EW174" s="698"/>
      <c r="EX174" s="698"/>
      <c r="EY174" s="698"/>
      <c r="EZ174" s="698"/>
      <c r="FA174" s="698"/>
      <c r="FB174" s="698"/>
      <c r="FC174" s="698"/>
      <c r="FD174" s="698"/>
      <c r="FE174" s="698"/>
      <c r="FF174" s="698"/>
      <c r="FG174" s="698"/>
      <c r="FH174" s="698"/>
      <c r="FI174" s="698"/>
      <c r="FJ174" s="698"/>
      <c r="FK174" s="799"/>
      <c r="FL174" s="799"/>
      <c r="FM174" s="799"/>
      <c r="FN174" s="799"/>
      <c r="FO174" s="799"/>
      <c r="FP174" s="799"/>
      <c r="FQ174" s="799"/>
      <c r="FR174" s="799"/>
      <c r="FS174" s="799"/>
      <c r="FT174" s="799"/>
      <c r="FU174" s="799"/>
      <c r="FV174" s="799"/>
      <c r="FW174" s="799"/>
      <c r="FX174" s="799"/>
      <c r="FY174" s="799"/>
      <c r="FZ174" s="799"/>
      <c r="GA174" s="799"/>
      <c r="GB174" s="799"/>
      <c r="GC174" s="799"/>
      <c r="GD174" s="799"/>
      <c r="GE174" s="799"/>
      <c r="GF174" s="799"/>
      <c r="GG174" s="799"/>
      <c r="GH174" s="799"/>
      <c r="GI174" s="799"/>
      <c r="GJ174" s="799"/>
      <c r="GK174" s="799"/>
      <c r="GL174" s="799"/>
      <c r="GM174" s="799"/>
      <c r="GN174" s="799"/>
      <c r="GO174" s="799"/>
      <c r="GP174" s="799"/>
      <c r="GQ174" s="799"/>
      <c r="GR174" s="799"/>
      <c r="GS174" s="799"/>
      <c r="GT174" s="799"/>
      <c r="GU174" s="799"/>
      <c r="GV174" s="799"/>
      <c r="GW174" s="799"/>
      <c r="GX174" s="799"/>
      <c r="GY174" s="799"/>
      <c r="GZ174" s="799"/>
      <c r="HA174" s="799"/>
      <c r="HB174" s="799"/>
      <c r="HC174" s="799"/>
      <c r="HD174" s="799"/>
      <c r="HE174" s="799"/>
      <c r="HF174" s="799"/>
      <c r="HG174" s="799"/>
      <c r="HH174" s="799"/>
      <c r="HI174" s="799"/>
      <c r="HJ174" s="799"/>
      <c r="HK174" s="799"/>
      <c r="HL174" s="799"/>
      <c r="HM174" s="799"/>
      <c r="HN174" s="799"/>
      <c r="HO174" s="699"/>
      <c r="HP174" s="699"/>
      <c r="HQ174" s="699"/>
      <c r="HR174" s="699"/>
      <c r="HS174" s="699"/>
      <c r="HT174" s="699"/>
      <c r="HU174" s="699"/>
      <c r="HV174" s="699"/>
      <c r="HW174" s="699"/>
      <c r="HX174" s="699"/>
      <c r="HY174" s="699"/>
      <c r="HZ174" s="699"/>
      <c r="IA174" s="699"/>
      <c r="IB174" s="699"/>
      <c r="IC174" s="699"/>
      <c r="ID174" s="699"/>
      <c r="IE174" s="699"/>
      <c r="IF174" s="699"/>
      <c r="IG174" s="699"/>
      <c r="IH174" s="699"/>
      <c r="II174" s="699"/>
      <c r="IJ174" s="699"/>
      <c r="IK174" s="699"/>
      <c r="IL174" s="699"/>
      <c r="IM174" s="699"/>
      <c r="IN174" s="699"/>
      <c r="IO174" s="699"/>
      <c r="IP174" s="699"/>
      <c r="IQ174" s="699"/>
      <c r="IR174" s="699"/>
      <c r="IS174" s="699"/>
      <c r="IT174" s="699"/>
    </row>
    <row r="175" s="694" customFormat="1" ht="36" customHeight="1" spans="1:254">
      <c r="A175" s="805">
        <v>44875</v>
      </c>
      <c r="B175" s="712" t="s">
        <v>90</v>
      </c>
      <c r="C175" s="721" t="s">
        <v>91</v>
      </c>
      <c r="D175" s="711">
        <v>4500090513</v>
      </c>
      <c r="E175" s="712">
        <v>1328827685</v>
      </c>
      <c r="F175" s="711" t="s">
        <v>1447</v>
      </c>
      <c r="G175" s="712" t="s">
        <v>3595</v>
      </c>
      <c r="H175" s="711">
        <v>1280</v>
      </c>
      <c r="I175" s="711">
        <v>0</v>
      </c>
      <c r="J175" s="711">
        <v>4</v>
      </c>
      <c r="K175" s="698">
        <f t="shared" si="99"/>
        <v>320</v>
      </c>
      <c r="L175" s="777">
        <v>44921</v>
      </c>
      <c r="M175" s="727">
        <v>44917</v>
      </c>
      <c r="N175" s="744"/>
      <c r="O175" s="744" t="s">
        <v>3592</v>
      </c>
      <c r="P175" s="744"/>
      <c r="Q175" s="873" t="s">
        <v>3596</v>
      </c>
      <c r="R175" s="845"/>
      <c r="S175" s="845" t="s">
        <v>3597</v>
      </c>
      <c r="T175" s="744" t="s">
        <v>3598</v>
      </c>
      <c r="U175" s="856"/>
      <c r="V175" s="711" t="s">
        <v>3594</v>
      </c>
      <c r="W175" s="872">
        <v>0</v>
      </c>
      <c r="X175" s="757">
        <f t="shared" si="100"/>
        <v>0</v>
      </c>
      <c r="Y175" s="778"/>
      <c r="Z175" s="712" t="s">
        <v>63</v>
      </c>
      <c r="AA175" s="712"/>
      <c r="AB175" s="778"/>
      <c r="AC175" s="778"/>
      <c r="AD175" s="711">
        <f t="shared" si="101"/>
        <v>1280</v>
      </c>
      <c r="AE175" s="711">
        <f>H175</f>
        <v>1280</v>
      </c>
      <c r="AF175" s="711"/>
      <c r="AG175" s="800"/>
      <c r="AH175" s="800"/>
      <c r="AI175" s="800"/>
      <c r="AJ175" s="800"/>
      <c r="AK175" s="800"/>
      <c r="AL175" s="779"/>
      <c r="AM175" s="779"/>
      <c r="AN175" s="779"/>
      <c r="AO175" s="698"/>
      <c r="AP175" s="698"/>
      <c r="AQ175" s="711">
        <f>H175</f>
        <v>1280</v>
      </c>
      <c r="AR175" s="698">
        <f>H175</f>
        <v>1280</v>
      </c>
      <c r="AS175" s="698"/>
      <c r="AT175" s="698"/>
      <c r="AU175" s="698"/>
      <c r="AV175" s="698"/>
      <c r="AW175" s="698"/>
      <c r="AX175" s="698"/>
      <c r="AY175" s="698"/>
      <c r="AZ175" s="698"/>
      <c r="BA175" s="698"/>
      <c r="BB175" s="698"/>
      <c r="BC175" s="698"/>
      <c r="BD175" s="698"/>
      <c r="BE175" s="698"/>
      <c r="BF175" s="698"/>
      <c r="BG175" s="698"/>
      <c r="BH175" s="698"/>
      <c r="BI175" s="698"/>
      <c r="BJ175" s="698"/>
      <c r="BK175" s="698"/>
      <c r="BL175" s="698"/>
      <c r="BM175" s="698"/>
      <c r="BN175" s="698"/>
      <c r="BO175" s="698"/>
      <c r="BP175" s="698"/>
      <c r="BQ175" s="698"/>
      <c r="BR175" s="698"/>
      <c r="BS175" s="698"/>
      <c r="BT175" s="698"/>
      <c r="BU175" s="698"/>
      <c r="BV175" s="698"/>
      <c r="BW175" s="698"/>
      <c r="BX175" s="698"/>
      <c r="BY175" s="698"/>
      <c r="BZ175" s="698"/>
      <c r="CA175" s="698"/>
      <c r="CB175" s="698"/>
      <c r="CC175" s="698"/>
      <c r="CD175" s="698"/>
      <c r="CE175" s="698"/>
      <c r="CF175" s="698"/>
      <c r="CG175" s="698"/>
      <c r="CH175" s="698"/>
      <c r="CI175" s="698"/>
      <c r="CJ175" s="698"/>
      <c r="CK175" s="698"/>
      <c r="CL175" s="698"/>
      <c r="CM175" s="698"/>
      <c r="CN175" s="698"/>
      <c r="CO175" s="698"/>
      <c r="CP175" s="698"/>
      <c r="CQ175" s="698"/>
      <c r="CR175" s="698"/>
      <c r="CS175" s="698"/>
      <c r="CT175" s="698"/>
      <c r="CU175" s="698"/>
      <c r="CV175" s="698"/>
      <c r="CW175" s="698"/>
      <c r="CX175" s="698"/>
      <c r="CY175" s="698"/>
      <c r="CZ175" s="698"/>
      <c r="DA175" s="698"/>
      <c r="DB175" s="698"/>
      <c r="DC175" s="698"/>
      <c r="DD175" s="698"/>
      <c r="DE175" s="698"/>
      <c r="DF175" s="698"/>
      <c r="DG175" s="698"/>
      <c r="DH175" s="698"/>
      <c r="DI175" s="698"/>
      <c r="DJ175" s="698"/>
      <c r="DK175" s="698"/>
      <c r="DL175" s="698"/>
      <c r="DM175" s="698"/>
      <c r="DN175" s="698"/>
      <c r="DO175" s="698"/>
      <c r="DP175" s="698"/>
      <c r="DQ175" s="698"/>
      <c r="DR175" s="698"/>
      <c r="DS175" s="698"/>
      <c r="DT175" s="698"/>
      <c r="DU175" s="698"/>
      <c r="DV175" s="698"/>
      <c r="DW175" s="698"/>
      <c r="DX175" s="698"/>
      <c r="DY175" s="698"/>
      <c r="DZ175" s="698"/>
      <c r="EA175" s="698"/>
      <c r="EB175" s="698"/>
      <c r="EC175" s="698"/>
      <c r="ED175" s="698"/>
      <c r="EE175" s="698"/>
      <c r="EF175" s="698"/>
      <c r="EG175" s="698"/>
      <c r="EH175" s="698"/>
      <c r="EI175" s="698"/>
      <c r="EJ175" s="698"/>
      <c r="EK175" s="698"/>
      <c r="EL175" s="698"/>
      <c r="EM175" s="698"/>
      <c r="EN175" s="698"/>
      <c r="EO175" s="698"/>
      <c r="EP175" s="698"/>
      <c r="EQ175" s="698"/>
      <c r="ER175" s="698"/>
      <c r="ES175" s="698"/>
      <c r="ET175" s="698"/>
      <c r="EU175" s="698"/>
      <c r="EV175" s="698"/>
      <c r="EW175" s="698"/>
      <c r="EX175" s="698"/>
      <c r="EY175" s="698"/>
      <c r="EZ175" s="698"/>
      <c r="FA175" s="698"/>
      <c r="FB175" s="698"/>
      <c r="FC175" s="698"/>
      <c r="FD175" s="698"/>
      <c r="FE175" s="698"/>
      <c r="FF175" s="698"/>
      <c r="FG175" s="698"/>
      <c r="FH175" s="698"/>
      <c r="FI175" s="698"/>
      <c r="FJ175" s="698"/>
      <c r="FK175" s="799"/>
      <c r="FL175" s="799"/>
      <c r="FM175" s="799"/>
      <c r="FN175" s="799"/>
      <c r="FO175" s="799"/>
      <c r="FP175" s="799"/>
      <c r="FQ175" s="799"/>
      <c r="FR175" s="799"/>
      <c r="FS175" s="799"/>
      <c r="FT175" s="799"/>
      <c r="FU175" s="799"/>
      <c r="FV175" s="799"/>
      <c r="FW175" s="799"/>
      <c r="FX175" s="799"/>
      <c r="FY175" s="799"/>
      <c r="FZ175" s="799"/>
      <c r="GA175" s="799"/>
      <c r="GB175" s="799"/>
      <c r="GC175" s="799"/>
      <c r="GD175" s="799"/>
      <c r="GE175" s="799"/>
      <c r="GF175" s="799"/>
      <c r="GG175" s="799"/>
      <c r="GH175" s="799"/>
      <c r="GI175" s="799"/>
      <c r="GJ175" s="799"/>
      <c r="GK175" s="799"/>
      <c r="GL175" s="799"/>
      <c r="GM175" s="799"/>
      <c r="GN175" s="799"/>
      <c r="GO175" s="799"/>
      <c r="GP175" s="799"/>
      <c r="GQ175" s="799"/>
      <c r="GR175" s="799"/>
      <c r="GS175" s="799"/>
      <c r="GT175" s="799"/>
      <c r="GU175" s="799"/>
      <c r="GV175" s="799"/>
      <c r="GW175" s="799"/>
      <c r="GX175" s="799"/>
      <c r="GY175" s="799"/>
      <c r="GZ175" s="799"/>
      <c r="HA175" s="799"/>
      <c r="HB175" s="799"/>
      <c r="HC175" s="799"/>
      <c r="HD175" s="799"/>
      <c r="HE175" s="799"/>
      <c r="HF175" s="799"/>
      <c r="HG175" s="799"/>
      <c r="HH175" s="799"/>
      <c r="HI175" s="799"/>
      <c r="HJ175" s="799"/>
      <c r="HK175" s="799"/>
      <c r="HL175" s="799"/>
      <c r="HM175" s="799"/>
      <c r="HN175" s="799"/>
      <c r="HO175" s="699"/>
      <c r="HP175" s="699"/>
      <c r="HQ175" s="699"/>
      <c r="HR175" s="699"/>
      <c r="HS175" s="699"/>
      <c r="HT175" s="699"/>
      <c r="HU175" s="699"/>
      <c r="HV175" s="699"/>
      <c r="HW175" s="699"/>
      <c r="HX175" s="699"/>
      <c r="HY175" s="699"/>
      <c r="HZ175" s="699"/>
      <c r="IA175" s="699"/>
      <c r="IB175" s="699"/>
      <c r="IC175" s="699"/>
      <c r="ID175" s="699"/>
      <c r="IE175" s="699"/>
      <c r="IF175" s="699"/>
      <c r="IG175" s="699"/>
      <c r="IH175" s="699"/>
      <c r="II175" s="699"/>
      <c r="IJ175" s="699"/>
      <c r="IK175" s="699"/>
      <c r="IL175" s="699"/>
      <c r="IM175" s="699"/>
      <c r="IN175" s="699"/>
      <c r="IO175" s="699"/>
      <c r="IP175" s="699"/>
      <c r="IQ175" s="699"/>
      <c r="IR175" s="699"/>
      <c r="IS175" s="699"/>
      <c r="IT175" s="699"/>
    </row>
    <row r="176" s="694" customFormat="1" ht="36" customHeight="1" spans="1:254">
      <c r="A176" s="805">
        <v>44875</v>
      </c>
      <c r="B176" s="712" t="s">
        <v>90</v>
      </c>
      <c r="C176" s="721" t="s">
        <v>91</v>
      </c>
      <c r="D176" s="711">
        <v>4500090513</v>
      </c>
      <c r="E176" s="712">
        <v>1328827688</v>
      </c>
      <c r="F176" s="711" t="s">
        <v>3599</v>
      </c>
      <c r="G176" s="712" t="s">
        <v>3600</v>
      </c>
      <c r="H176" s="711">
        <v>2</v>
      </c>
      <c r="I176" s="711">
        <v>0</v>
      </c>
      <c r="J176" s="711">
        <v>1</v>
      </c>
      <c r="K176" s="698">
        <f t="shared" si="99"/>
        <v>2</v>
      </c>
      <c r="L176" s="777">
        <v>44921</v>
      </c>
      <c r="M176" s="727">
        <v>44917</v>
      </c>
      <c r="N176" s="744"/>
      <c r="O176" s="744" t="s">
        <v>3592</v>
      </c>
      <c r="P176" s="744"/>
      <c r="Q176" s="845"/>
      <c r="R176" s="845"/>
      <c r="S176" s="845"/>
      <c r="T176" s="744"/>
      <c r="U176" s="859" t="s">
        <v>3601</v>
      </c>
      <c r="V176" s="711" t="s">
        <v>3594</v>
      </c>
      <c r="W176" s="872">
        <v>1609.0328</v>
      </c>
      <c r="X176" s="757">
        <f t="shared" si="100"/>
        <v>3218.0656</v>
      </c>
      <c r="Y176" s="778"/>
      <c r="Z176" s="712" t="s">
        <v>63</v>
      </c>
      <c r="AA176" s="712"/>
      <c r="AB176" s="778"/>
      <c r="AC176" s="778"/>
      <c r="AD176" s="711"/>
      <c r="AE176" s="711"/>
      <c r="AF176" s="711"/>
      <c r="AG176" s="800"/>
      <c r="AH176" s="800"/>
      <c r="AI176" s="800"/>
      <c r="AJ176" s="800"/>
      <c r="AK176" s="800"/>
      <c r="AL176" s="779"/>
      <c r="AM176" s="779"/>
      <c r="AN176" s="779"/>
      <c r="AO176" s="698"/>
      <c r="AP176" s="698"/>
      <c r="AQ176" s="711"/>
      <c r="AR176" s="698"/>
      <c r="AS176" s="698"/>
      <c r="AT176" s="698"/>
      <c r="AU176" s="698"/>
      <c r="AV176" s="698"/>
      <c r="AW176" s="698"/>
      <c r="AX176" s="698"/>
      <c r="AY176" s="698"/>
      <c r="AZ176" s="698"/>
      <c r="BA176" s="698"/>
      <c r="BB176" s="698"/>
      <c r="BC176" s="698"/>
      <c r="BD176" s="698"/>
      <c r="BE176" s="698"/>
      <c r="BF176" s="698"/>
      <c r="BG176" s="698"/>
      <c r="BH176" s="698"/>
      <c r="BI176" s="698"/>
      <c r="BJ176" s="698"/>
      <c r="BK176" s="698"/>
      <c r="BL176" s="698"/>
      <c r="BM176" s="698"/>
      <c r="BN176" s="698"/>
      <c r="BO176" s="698"/>
      <c r="BP176" s="698"/>
      <c r="BQ176" s="698"/>
      <c r="BR176" s="698"/>
      <c r="BS176" s="698"/>
      <c r="BT176" s="698"/>
      <c r="BU176" s="698"/>
      <c r="BV176" s="698"/>
      <c r="BW176" s="698"/>
      <c r="BX176" s="698"/>
      <c r="BY176" s="698"/>
      <c r="BZ176" s="698"/>
      <c r="CA176" s="698"/>
      <c r="CB176" s="698"/>
      <c r="CC176" s="698"/>
      <c r="CD176" s="698"/>
      <c r="CE176" s="698"/>
      <c r="CF176" s="698"/>
      <c r="CG176" s="698"/>
      <c r="CH176" s="698"/>
      <c r="CI176" s="698"/>
      <c r="CJ176" s="698"/>
      <c r="CK176" s="698"/>
      <c r="CL176" s="698"/>
      <c r="CM176" s="698"/>
      <c r="CN176" s="698"/>
      <c r="CO176" s="698"/>
      <c r="CP176" s="698"/>
      <c r="CQ176" s="698"/>
      <c r="CR176" s="698"/>
      <c r="CS176" s="698"/>
      <c r="CT176" s="698"/>
      <c r="CU176" s="698"/>
      <c r="CV176" s="698"/>
      <c r="CW176" s="698"/>
      <c r="CX176" s="698"/>
      <c r="CY176" s="698"/>
      <c r="CZ176" s="698"/>
      <c r="DA176" s="698"/>
      <c r="DB176" s="698"/>
      <c r="DC176" s="698"/>
      <c r="DD176" s="698"/>
      <c r="DE176" s="698"/>
      <c r="DF176" s="698"/>
      <c r="DG176" s="698"/>
      <c r="DH176" s="698"/>
      <c r="DI176" s="698"/>
      <c r="DJ176" s="698"/>
      <c r="DK176" s="698"/>
      <c r="DL176" s="698"/>
      <c r="DM176" s="698"/>
      <c r="DN176" s="698"/>
      <c r="DO176" s="698"/>
      <c r="DP176" s="698"/>
      <c r="DQ176" s="698"/>
      <c r="DR176" s="698"/>
      <c r="DS176" s="698"/>
      <c r="DT176" s="698"/>
      <c r="DU176" s="698"/>
      <c r="DV176" s="698"/>
      <c r="DW176" s="698"/>
      <c r="DX176" s="698"/>
      <c r="DY176" s="698"/>
      <c r="DZ176" s="698"/>
      <c r="EA176" s="698"/>
      <c r="EB176" s="698"/>
      <c r="EC176" s="698"/>
      <c r="ED176" s="698"/>
      <c r="EE176" s="698"/>
      <c r="EF176" s="698"/>
      <c r="EG176" s="698"/>
      <c r="EH176" s="698"/>
      <c r="EI176" s="698"/>
      <c r="EJ176" s="698"/>
      <c r="EK176" s="698"/>
      <c r="EL176" s="698"/>
      <c r="EM176" s="698"/>
      <c r="EN176" s="698"/>
      <c r="EO176" s="698"/>
      <c r="EP176" s="698"/>
      <c r="EQ176" s="698"/>
      <c r="ER176" s="698"/>
      <c r="ES176" s="698"/>
      <c r="ET176" s="698"/>
      <c r="EU176" s="698"/>
      <c r="EV176" s="698"/>
      <c r="EW176" s="698"/>
      <c r="EX176" s="698"/>
      <c r="EY176" s="698"/>
      <c r="EZ176" s="698"/>
      <c r="FA176" s="698"/>
      <c r="FB176" s="698"/>
      <c r="FC176" s="698"/>
      <c r="FD176" s="698"/>
      <c r="FE176" s="698"/>
      <c r="FF176" s="698"/>
      <c r="FG176" s="698"/>
      <c r="FH176" s="698"/>
      <c r="FI176" s="698"/>
      <c r="FJ176" s="698"/>
      <c r="FK176" s="799"/>
      <c r="FL176" s="799"/>
      <c r="FM176" s="799"/>
      <c r="FN176" s="799"/>
      <c r="FO176" s="799"/>
      <c r="FP176" s="799"/>
      <c r="FQ176" s="799"/>
      <c r="FR176" s="799"/>
      <c r="FS176" s="799"/>
      <c r="FT176" s="799"/>
      <c r="FU176" s="799"/>
      <c r="FV176" s="799"/>
      <c r="FW176" s="799"/>
      <c r="FX176" s="799"/>
      <c r="FY176" s="799"/>
      <c r="FZ176" s="799"/>
      <c r="GA176" s="799"/>
      <c r="GB176" s="799"/>
      <c r="GC176" s="799"/>
      <c r="GD176" s="799"/>
      <c r="GE176" s="799"/>
      <c r="GF176" s="799"/>
      <c r="GG176" s="799"/>
      <c r="GH176" s="799"/>
      <c r="GI176" s="799"/>
      <c r="GJ176" s="799"/>
      <c r="GK176" s="799"/>
      <c r="GL176" s="799"/>
      <c r="GM176" s="799"/>
      <c r="GN176" s="799"/>
      <c r="GO176" s="799"/>
      <c r="GP176" s="799"/>
      <c r="GQ176" s="799"/>
      <c r="GR176" s="799"/>
      <c r="GS176" s="799"/>
      <c r="GT176" s="799"/>
      <c r="GU176" s="799"/>
      <c r="GV176" s="799"/>
      <c r="GW176" s="799"/>
      <c r="GX176" s="799"/>
      <c r="GY176" s="799"/>
      <c r="GZ176" s="799"/>
      <c r="HA176" s="799"/>
      <c r="HB176" s="799"/>
      <c r="HC176" s="799"/>
      <c r="HD176" s="799"/>
      <c r="HE176" s="799"/>
      <c r="HF176" s="799"/>
      <c r="HG176" s="799"/>
      <c r="HH176" s="799"/>
      <c r="HI176" s="799"/>
      <c r="HJ176" s="799"/>
      <c r="HK176" s="799"/>
      <c r="HL176" s="799"/>
      <c r="HM176" s="799"/>
      <c r="HN176" s="799"/>
      <c r="HO176" s="699"/>
      <c r="HP176" s="699"/>
      <c r="HQ176" s="699"/>
      <c r="HR176" s="699"/>
      <c r="HS176" s="699"/>
      <c r="HT176" s="699"/>
      <c r="HU176" s="699"/>
      <c r="HV176" s="699"/>
      <c r="HW176" s="699"/>
      <c r="HX176" s="699"/>
      <c r="HY176" s="699"/>
      <c r="HZ176" s="699"/>
      <c r="IA176" s="699"/>
      <c r="IB176" s="699"/>
      <c r="IC176" s="699"/>
      <c r="ID176" s="699"/>
      <c r="IE176" s="699"/>
      <c r="IF176" s="699"/>
      <c r="IG176" s="699"/>
      <c r="IH176" s="699"/>
      <c r="II176" s="699"/>
      <c r="IJ176" s="699"/>
      <c r="IK176" s="699"/>
      <c r="IL176" s="699"/>
      <c r="IM176" s="699"/>
      <c r="IN176" s="699"/>
      <c r="IO176" s="699"/>
      <c r="IP176" s="699"/>
      <c r="IQ176" s="699"/>
      <c r="IR176" s="699"/>
      <c r="IS176" s="699"/>
      <c r="IT176" s="699"/>
    </row>
    <row r="177" s="694" customFormat="1" ht="36" customHeight="1" spans="1:254">
      <c r="A177" s="805">
        <v>44875</v>
      </c>
      <c r="B177" s="712" t="s">
        <v>90</v>
      </c>
      <c r="C177" s="721" t="s">
        <v>91</v>
      </c>
      <c r="D177" s="711">
        <v>4500090513</v>
      </c>
      <c r="E177" s="712">
        <v>1328827688</v>
      </c>
      <c r="F177" s="711" t="s">
        <v>1446</v>
      </c>
      <c r="G177" s="712" t="s">
        <v>3602</v>
      </c>
      <c r="H177" s="711">
        <v>1280</v>
      </c>
      <c r="I177" s="711">
        <v>0</v>
      </c>
      <c r="J177" s="711">
        <v>4</v>
      </c>
      <c r="K177" s="698">
        <f t="shared" si="99"/>
        <v>320</v>
      </c>
      <c r="L177" s="777">
        <v>44921</v>
      </c>
      <c r="M177" s="727">
        <v>44917</v>
      </c>
      <c r="N177" s="744"/>
      <c r="O177" s="744" t="s">
        <v>3592</v>
      </c>
      <c r="P177" s="744"/>
      <c r="Q177" s="873" t="s">
        <v>3596</v>
      </c>
      <c r="R177" s="845"/>
      <c r="S177" s="845" t="s">
        <v>3597</v>
      </c>
      <c r="T177" s="744" t="s">
        <v>3598</v>
      </c>
      <c r="U177" s="856"/>
      <c r="V177" s="711" t="s">
        <v>3594</v>
      </c>
      <c r="W177" s="872">
        <v>0</v>
      </c>
      <c r="X177" s="757">
        <f t="shared" si="100"/>
        <v>0</v>
      </c>
      <c r="Y177" s="778"/>
      <c r="Z177" s="712" t="s">
        <v>63</v>
      </c>
      <c r="AA177" s="712"/>
      <c r="AB177" s="778"/>
      <c r="AC177" s="778"/>
      <c r="AD177" s="711">
        <f t="shared" ref="AD177:AD181" si="102">H177</f>
        <v>1280</v>
      </c>
      <c r="AE177" s="711"/>
      <c r="AF177" s="711">
        <f>H177</f>
        <v>1280</v>
      </c>
      <c r="AG177" s="800"/>
      <c r="AH177" s="800"/>
      <c r="AI177" s="800"/>
      <c r="AJ177" s="800"/>
      <c r="AK177" s="800"/>
      <c r="AL177" s="779"/>
      <c r="AM177" s="779"/>
      <c r="AN177" s="779"/>
      <c r="AO177" s="698">
        <f>H177</f>
        <v>1280</v>
      </c>
      <c r="AP177" s="698">
        <f>H177</f>
        <v>1280</v>
      </c>
      <c r="AQ177" s="711"/>
      <c r="AR177" s="698"/>
      <c r="AS177" s="698"/>
      <c r="AT177" s="698"/>
      <c r="AU177" s="698"/>
      <c r="AV177" s="698"/>
      <c r="AW177" s="698"/>
      <c r="AX177" s="698"/>
      <c r="AY177" s="698"/>
      <c r="AZ177" s="698"/>
      <c r="BA177" s="698"/>
      <c r="BB177" s="698"/>
      <c r="BC177" s="698"/>
      <c r="BD177" s="698"/>
      <c r="BE177" s="698"/>
      <c r="BF177" s="698"/>
      <c r="BG177" s="698"/>
      <c r="BH177" s="698"/>
      <c r="BI177" s="698"/>
      <c r="BJ177" s="698"/>
      <c r="BK177" s="698"/>
      <c r="BL177" s="698"/>
      <c r="BM177" s="698"/>
      <c r="BN177" s="698"/>
      <c r="BO177" s="698"/>
      <c r="BP177" s="698"/>
      <c r="BQ177" s="698"/>
      <c r="BR177" s="698"/>
      <c r="BS177" s="698"/>
      <c r="BT177" s="698"/>
      <c r="BU177" s="698"/>
      <c r="BV177" s="698"/>
      <c r="BW177" s="698"/>
      <c r="BX177" s="698"/>
      <c r="BY177" s="698"/>
      <c r="BZ177" s="698"/>
      <c r="CA177" s="698"/>
      <c r="CB177" s="698"/>
      <c r="CC177" s="698"/>
      <c r="CD177" s="698"/>
      <c r="CE177" s="698"/>
      <c r="CF177" s="698"/>
      <c r="CG177" s="698"/>
      <c r="CH177" s="698"/>
      <c r="CI177" s="698"/>
      <c r="CJ177" s="698"/>
      <c r="CK177" s="698"/>
      <c r="CL177" s="698"/>
      <c r="CM177" s="698"/>
      <c r="CN177" s="698"/>
      <c r="CO177" s="698"/>
      <c r="CP177" s="698"/>
      <c r="CQ177" s="698"/>
      <c r="CR177" s="698"/>
      <c r="CS177" s="698"/>
      <c r="CT177" s="698"/>
      <c r="CU177" s="698"/>
      <c r="CV177" s="698"/>
      <c r="CW177" s="698"/>
      <c r="CX177" s="698"/>
      <c r="CY177" s="698"/>
      <c r="CZ177" s="698"/>
      <c r="DA177" s="698"/>
      <c r="DB177" s="698"/>
      <c r="DC177" s="698"/>
      <c r="DD177" s="698"/>
      <c r="DE177" s="698"/>
      <c r="DF177" s="698"/>
      <c r="DG177" s="698"/>
      <c r="DH177" s="698"/>
      <c r="DI177" s="698"/>
      <c r="DJ177" s="698"/>
      <c r="DK177" s="698"/>
      <c r="DL177" s="698"/>
      <c r="DM177" s="698"/>
      <c r="DN177" s="698"/>
      <c r="DO177" s="698"/>
      <c r="DP177" s="698"/>
      <c r="DQ177" s="698"/>
      <c r="DR177" s="698"/>
      <c r="DS177" s="698"/>
      <c r="DT177" s="698"/>
      <c r="DU177" s="698"/>
      <c r="DV177" s="698"/>
      <c r="DW177" s="698"/>
      <c r="DX177" s="698"/>
      <c r="DY177" s="698"/>
      <c r="DZ177" s="698"/>
      <c r="EA177" s="698"/>
      <c r="EB177" s="698"/>
      <c r="EC177" s="698"/>
      <c r="ED177" s="698"/>
      <c r="EE177" s="698"/>
      <c r="EF177" s="698"/>
      <c r="EG177" s="698"/>
      <c r="EH177" s="698"/>
      <c r="EI177" s="698"/>
      <c r="EJ177" s="698"/>
      <c r="EK177" s="698"/>
      <c r="EL177" s="698"/>
      <c r="EM177" s="698"/>
      <c r="EN177" s="698"/>
      <c r="EO177" s="698"/>
      <c r="EP177" s="698"/>
      <c r="EQ177" s="698"/>
      <c r="ER177" s="698"/>
      <c r="ES177" s="698"/>
      <c r="ET177" s="698"/>
      <c r="EU177" s="698"/>
      <c r="EV177" s="698"/>
      <c r="EW177" s="698"/>
      <c r="EX177" s="698"/>
      <c r="EY177" s="698"/>
      <c r="EZ177" s="698"/>
      <c r="FA177" s="698"/>
      <c r="FB177" s="698"/>
      <c r="FC177" s="698"/>
      <c r="FD177" s="698"/>
      <c r="FE177" s="698"/>
      <c r="FF177" s="698"/>
      <c r="FG177" s="698"/>
      <c r="FH177" s="698"/>
      <c r="FI177" s="698"/>
      <c r="FJ177" s="698"/>
      <c r="FK177" s="799"/>
      <c r="FL177" s="799"/>
      <c r="FM177" s="799"/>
      <c r="FN177" s="799"/>
      <c r="FO177" s="799"/>
      <c r="FP177" s="799"/>
      <c r="FQ177" s="799"/>
      <c r="FR177" s="799"/>
      <c r="FS177" s="799"/>
      <c r="FT177" s="799"/>
      <c r="FU177" s="799"/>
      <c r="FV177" s="799"/>
      <c r="FW177" s="799"/>
      <c r="FX177" s="799"/>
      <c r="FY177" s="799"/>
      <c r="FZ177" s="799"/>
      <c r="GA177" s="799"/>
      <c r="GB177" s="799"/>
      <c r="GC177" s="799"/>
      <c r="GD177" s="799"/>
      <c r="GE177" s="799"/>
      <c r="GF177" s="799"/>
      <c r="GG177" s="799"/>
      <c r="GH177" s="799"/>
      <c r="GI177" s="799"/>
      <c r="GJ177" s="799"/>
      <c r="GK177" s="799"/>
      <c r="GL177" s="799"/>
      <c r="GM177" s="799"/>
      <c r="GN177" s="799"/>
      <c r="GO177" s="799"/>
      <c r="GP177" s="799"/>
      <c r="GQ177" s="799"/>
      <c r="GR177" s="799"/>
      <c r="GS177" s="799"/>
      <c r="GT177" s="799"/>
      <c r="GU177" s="799"/>
      <c r="GV177" s="799"/>
      <c r="GW177" s="799"/>
      <c r="GX177" s="799"/>
      <c r="GY177" s="799"/>
      <c r="GZ177" s="799"/>
      <c r="HA177" s="799"/>
      <c r="HB177" s="799"/>
      <c r="HC177" s="799"/>
      <c r="HD177" s="799"/>
      <c r="HE177" s="799"/>
      <c r="HF177" s="799"/>
      <c r="HG177" s="799"/>
      <c r="HH177" s="799"/>
      <c r="HI177" s="799"/>
      <c r="HJ177" s="799"/>
      <c r="HK177" s="799"/>
      <c r="HL177" s="799"/>
      <c r="HM177" s="799"/>
      <c r="HN177" s="799"/>
      <c r="HO177" s="699"/>
      <c r="HP177" s="699"/>
      <c r="HQ177" s="699"/>
      <c r="HR177" s="699"/>
      <c r="HS177" s="699"/>
      <c r="HT177" s="699"/>
      <c r="HU177" s="699"/>
      <c r="HV177" s="699"/>
      <c r="HW177" s="699"/>
      <c r="HX177" s="699"/>
      <c r="HY177" s="699"/>
      <c r="HZ177" s="699"/>
      <c r="IA177" s="699"/>
      <c r="IB177" s="699"/>
      <c r="IC177" s="699"/>
      <c r="ID177" s="699"/>
      <c r="IE177" s="699"/>
      <c r="IF177" s="699"/>
      <c r="IG177" s="699"/>
      <c r="IH177" s="699"/>
      <c r="II177" s="699"/>
      <c r="IJ177" s="699"/>
      <c r="IK177" s="699"/>
      <c r="IL177" s="699"/>
      <c r="IM177" s="699"/>
      <c r="IN177" s="699"/>
      <c r="IO177" s="699"/>
      <c r="IP177" s="699"/>
      <c r="IQ177" s="699"/>
      <c r="IR177" s="699"/>
      <c r="IS177" s="699"/>
      <c r="IT177" s="699"/>
    </row>
    <row r="178" s="694" customFormat="1" ht="36" customHeight="1" spans="1:254">
      <c r="A178" s="805">
        <v>44875</v>
      </c>
      <c r="B178" s="712" t="s">
        <v>90</v>
      </c>
      <c r="C178" s="721" t="s">
        <v>91</v>
      </c>
      <c r="D178" s="711">
        <v>4500090516</v>
      </c>
      <c r="E178" s="712">
        <v>1328827691</v>
      </c>
      <c r="F178" s="711" t="s">
        <v>3590</v>
      </c>
      <c r="G178" s="712" t="s">
        <v>3591</v>
      </c>
      <c r="H178" s="711">
        <v>1</v>
      </c>
      <c r="I178" s="711">
        <v>0</v>
      </c>
      <c r="J178" s="711">
        <v>1</v>
      </c>
      <c r="K178" s="698">
        <f t="shared" si="99"/>
        <v>1</v>
      </c>
      <c r="L178" s="777">
        <v>44921</v>
      </c>
      <c r="M178" s="727">
        <v>44917</v>
      </c>
      <c r="N178" s="744"/>
      <c r="O178" s="744" t="s">
        <v>3592</v>
      </c>
      <c r="P178" s="744"/>
      <c r="Q178" s="845"/>
      <c r="R178" s="845"/>
      <c r="S178" s="845"/>
      <c r="T178" s="744"/>
      <c r="U178" s="859" t="s">
        <v>3593</v>
      </c>
      <c r="V178" s="711" t="s">
        <v>3594</v>
      </c>
      <c r="W178" s="872">
        <v>1609.0328</v>
      </c>
      <c r="X178" s="757">
        <f t="shared" si="100"/>
        <v>1609.0328</v>
      </c>
      <c r="Y178" s="778"/>
      <c r="Z178" s="712" t="s">
        <v>63</v>
      </c>
      <c r="AA178" s="712"/>
      <c r="AB178" s="778"/>
      <c r="AC178" s="778"/>
      <c r="AD178" s="711"/>
      <c r="AE178" s="711"/>
      <c r="AF178" s="711"/>
      <c r="AG178" s="800"/>
      <c r="AH178" s="800"/>
      <c r="AI178" s="800"/>
      <c r="AJ178" s="800"/>
      <c r="AK178" s="800"/>
      <c r="AL178" s="779"/>
      <c r="AM178" s="779"/>
      <c r="AN178" s="779"/>
      <c r="AO178" s="698"/>
      <c r="AP178" s="698"/>
      <c r="AQ178" s="711"/>
      <c r="AR178" s="698"/>
      <c r="AS178" s="698"/>
      <c r="AT178" s="698"/>
      <c r="AU178" s="698"/>
      <c r="AV178" s="698"/>
      <c r="AW178" s="698"/>
      <c r="AX178" s="698"/>
      <c r="AY178" s="698"/>
      <c r="AZ178" s="698"/>
      <c r="BA178" s="698"/>
      <c r="BB178" s="698"/>
      <c r="BC178" s="698"/>
      <c r="BD178" s="698"/>
      <c r="BE178" s="698"/>
      <c r="BF178" s="698"/>
      <c r="BG178" s="698"/>
      <c r="BH178" s="698"/>
      <c r="BI178" s="698"/>
      <c r="BJ178" s="698"/>
      <c r="BK178" s="698"/>
      <c r="BL178" s="698"/>
      <c r="BM178" s="698"/>
      <c r="BN178" s="698"/>
      <c r="BO178" s="698"/>
      <c r="BP178" s="698"/>
      <c r="BQ178" s="698"/>
      <c r="BR178" s="698"/>
      <c r="BS178" s="698"/>
      <c r="BT178" s="698"/>
      <c r="BU178" s="698"/>
      <c r="BV178" s="698"/>
      <c r="BW178" s="698"/>
      <c r="BX178" s="698"/>
      <c r="BY178" s="698"/>
      <c r="BZ178" s="698"/>
      <c r="CA178" s="698"/>
      <c r="CB178" s="698"/>
      <c r="CC178" s="698"/>
      <c r="CD178" s="698"/>
      <c r="CE178" s="698"/>
      <c r="CF178" s="698"/>
      <c r="CG178" s="698"/>
      <c r="CH178" s="698"/>
      <c r="CI178" s="698"/>
      <c r="CJ178" s="698"/>
      <c r="CK178" s="698"/>
      <c r="CL178" s="698"/>
      <c r="CM178" s="698"/>
      <c r="CN178" s="698"/>
      <c r="CO178" s="698"/>
      <c r="CP178" s="698"/>
      <c r="CQ178" s="698"/>
      <c r="CR178" s="698"/>
      <c r="CS178" s="698"/>
      <c r="CT178" s="698"/>
      <c r="CU178" s="698"/>
      <c r="CV178" s="698"/>
      <c r="CW178" s="698"/>
      <c r="CX178" s="698"/>
      <c r="CY178" s="698"/>
      <c r="CZ178" s="698"/>
      <c r="DA178" s="698"/>
      <c r="DB178" s="698"/>
      <c r="DC178" s="698"/>
      <c r="DD178" s="698"/>
      <c r="DE178" s="698"/>
      <c r="DF178" s="698"/>
      <c r="DG178" s="698"/>
      <c r="DH178" s="698"/>
      <c r="DI178" s="698"/>
      <c r="DJ178" s="698"/>
      <c r="DK178" s="698"/>
      <c r="DL178" s="698"/>
      <c r="DM178" s="698"/>
      <c r="DN178" s="698"/>
      <c r="DO178" s="698"/>
      <c r="DP178" s="698"/>
      <c r="DQ178" s="698"/>
      <c r="DR178" s="698"/>
      <c r="DS178" s="698"/>
      <c r="DT178" s="698"/>
      <c r="DU178" s="698"/>
      <c r="DV178" s="698"/>
      <c r="DW178" s="698"/>
      <c r="DX178" s="698"/>
      <c r="DY178" s="698"/>
      <c r="DZ178" s="698"/>
      <c r="EA178" s="698"/>
      <c r="EB178" s="698"/>
      <c r="EC178" s="698"/>
      <c r="ED178" s="698"/>
      <c r="EE178" s="698"/>
      <c r="EF178" s="698"/>
      <c r="EG178" s="698"/>
      <c r="EH178" s="698"/>
      <c r="EI178" s="698"/>
      <c r="EJ178" s="698"/>
      <c r="EK178" s="698"/>
      <c r="EL178" s="698"/>
      <c r="EM178" s="698"/>
      <c r="EN178" s="698"/>
      <c r="EO178" s="698"/>
      <c r="EP178" s="698"/>
      <c r="EQ178" s="698"/>
      <c r="ER178" s="698"/>
      <c r="ES178" s="698"/>
      <c r="ET178" s="698"/>
      <c r="EU178" s="698"/>
      <c r="EV178" s="698"/>
      <c r="EW178" s="698"/>
      <c r="EX178" s="698"/>
      <c r="EY178" s="698"/>
      <c r="EZ178" s="698"/>
      <c r="FA178" s="698"/>
      <c r="FB178" s="698"/>
      <c r="FC178" s="698"/>
      <c r="FD178" s="698"/>
      <c r="FE178" s="698"/>
      <c r="FF178" s="698"/>
      <c r="FG178" s="698"/>
      <c r="FH178" s="698"/>
      <c r="FI178" s="698"/>
      <c r="FJ178" s="698"/>
      <c r="FK178" s="799"/>
      <c r="FL178" s="799"/>
      <c r="FM178" s="799"/>
      <c r="FN178" s="799"/>
      <c r="FO178" s="799"/>
      <c r="FP178" s="799"/>
      <c r="FQ178" s="799"/>
      <c r="FR178" s="799"/>
      <c r="FS178" s="799"/>
      <c r="FT178" s="799"/>
      <c r="FU178" s="799"/>
      <c r="FV178" s="799"/>
      <c r="FW178" s="799"/>
      <c r="FX178" s="799"/>
      <c r="FY178" s="799"/>
      <c r="FZ178" s="799"/>
      <c r="GA178" s="799"/>
      <c r="GB178" s="799"/>
      <c r="GC178" s="799"/>
      <c r="GD178" s="799"/>
      <c r="GE178" s="799"/>
      <c r="GF178" s="799"/>
      <c r="GG178" s="799"/>
      <c r="GH178" s="799"/>
      <c r="GI178" s="799"/>
      <c r="GJ178" s="799"/>
      <c r="GK178" s="799"/>
      <c r="GL178" s="799"/>
      <c r="GM178" s="799"/>
      <c r="GN178" s="799"/>
      <c r="GO178" s="799"/>
      <c r="GP178" s="799"/>
      <c r="GQ178" s="799"/>
      <c r="GR178" s="799"/>
      <c r="GS178" s="799"/>
      <c r="GT178" s="799"/>
      <c r="GU178" s="799"/>
      <c r="GV178" s="799"/>
      <c r="GW178" s="799"/>
      <c r="GX178" s="799"/>
      <c r="GY178" s="799"/>
      <c r="GZ178" s="799"/>
      <c r="HA178" s="799"/>
      <c r="HB178" s="799"/>
      <c r="HC178" s="799"/>
      <c r="HD178" s="799"/>
      <c r="HE178" s="799"/>
      <c r="HF178" s="799"/>
      <c r="HG178" s="799"/>
      <c r="HH178" s="799"/>
      <c r="HI178" s="799"/>
      <c r="HJ178" s="799"/>
      <c r="HK178" s="799"/>
      <c r="HL178" s="799"/>
      <c r="HM178" s="799"/>
      <c r="HN178" s="799"/>
      <c r="HO178" s="699"/>
      <c r="HP178" s="699"/>
      <c r="HQ178" s="699"/>
      <c r="HR178" s="699"/>
      <c r="HS178" s="699"/>
      <c r="HT178" s="699"/>
      <c r="HU178" s="699"/>
      <c r="HV178" s="699"/>
      <c r="HW178" s="699"/>
      <c r="HX178" s="699"/>
      <c r="HY178" s="699"/>
      <c r="HZ178" s="699"/>
      <c r="IA178" s="699"/>
      <c r="IB178" s="699"/>
      <c r="IC178" s="699"/>
      <c r="ID178" s="699"/>
      <c r="IE178" s="699"/>
      <c r="IF178" s="699"/>
      <c r="IG178" s="699"/>
      <c r="IH178" s="699"/>
      <c r="II178" s="699"/>
      <c r="IJ178" s="699"/>
      <c r="IK178" s="699"/>
      <c r="IL178" s="699"/>
      <c r="IM178" s="699"/>
      <c r="IN178" s="699"/>
      <c r="IO178" s="699"/>
      <c r="IP178" s="699"/>
      <c r="IQ178" s="699"/>
      <c r="IR178" s="699"/>
      <c r="IS178" s="699"/>
      <c r="IT178" s="699"/>
    </row>
    <row r="179" s="694" customFormat="1" ht="36" customHeight="1" spans="1:254">
      <c r="A179" s="805">
        <v>44875</v>
      </c>
      <c r="B179" s="712" t="s">
        <v>90</v>
      </c>
      <c r="C179" s="721" t="s">
        <v>91</v>
      </c>
      <c r="D179" s="711">
        <v>4500090516</v>
      </c>
      <c r="E179" s="712">
        <v>1328827691</v>
      </c>
      <c r="F179" s="711" t="s">
        <v>1447</v>
      </c>
      <c r="G179" s="712" t="s">
        <v>3595</v>
      </c>
      <c r="H179" s="711">
        <v>640</v>
      </c>
      <c r="I179" s="711">
        <v>0</v>
      </c>
      <c r="J179" s="711">
        <v>4</v>
      </c>
      <c r="K179" s="698">
        <f t="shared" si="99"/>
        <v>160</v>
      </c>
      <c r="L179" s="777">
        <v>44921</v>
      </c>
      <c r="M179" s="727">
        <v>44917</v>
      </c>
      <c r="N179" s="744"/>
      <c r="O179" s="744" t="s">
        <v>3592</v>
      </c>
      <c r="P179" s="744"/>
      <c r="Q179" s="873" t="s">
        <v>3596</v>
      </c>
      <c r="R179" s="845"/>
      <c r="S179" s="845" t="s">
        <v>3597</v>
      </c>
      <c r="T179" s="744" t="s">
        <v>3598</v>
      </c>
      <c r="U179" s="856"/>
      <c r="V179" s="711" t="s">
        <v>3594</v>
      </c>
      <c r="W179" s="872">
        <v>0</v>
      </c>
      <c r="X179" s="757">
        <f t="shared" si="100"/>
        <v>0</v>
      </c>
      <c r="Y179" s="778"/>
      <c r="Z179" s="712" t="s">
        <v>63</v>
      </c>
      <c r="AA179" s="712"/>
      <c r="AB179" s="778"/>
      <c r="AC179" s="778"/>
      <c r="AD179" s="711">
        <f t="shared" si="102"/>
        <v>640</v>
      </c>
      <c r="AE179" s="711">
        <f>H179</f>
        <v>640</v>
      </c>
      <c r="AF179" s="711"/>
      <c r="AG179" s="800"/>
      <c r="AH179" s="800"/>
      <c r="AI179" s="800"/>
      <c r="AJ179" s="800"/>
      <c r="AK179" s="800"/>
      <c r="AL179" s="779"/>
      <c r="AM179" s="779"/>
      <c r="AN179" s="779"/>
      <c r="AO179" s="698"/>
      <c r="AP179" s="698"/>
      <c r="AQ179" s="711">
        <f>H179</f>
        <v>640</v>
      </c>
      <c r="AR179" s="698">
        <f>H179</f>
        <v>640</v>
      </c>
      <c r="AS179" s="698"/>
      <c r="AT179" s="698"/>
      <c r="AU179" s="698"/>
      <c r="AV179" s="698"/>
      <c r="AW179" s="698"/>
      <c r="AX179" s="698"/>
      <c r="AY179" s="698"/>
      <c r="AZ179" s="698"/>
      <c r="BA179" s="698"/>
      <c r="BB179" s="698"/>
      <c r="BC179" s="698"/>
      <c r="BD179" s="698"/>
      <c r="BE179" s="698"/>
      <c r="BF179" s="698"/>
      <c r="BG179" s="698"/>
      <c r="BH179" s="698"/>
      <c r="BI179" s="698"/>
      <c r="BJ179" s="698"/>
      <c r="BK179" s="698"/>
      <c r="BL179" s="698"/>
      <c r="BM179" s="698"/>
      <c r="BN179" s="698"/>
      <c r="BO179" s="698"/>
      <c r="BP179" s="698"/>
      <c r="BQ179" s="698"/>
      <c r="BR179" s="698"/>
      <c r="BS179" s="698"/>
      <c r="BT179" s="698"/>
      <c r="BU179" s="698"/>
      <c r="BV179" s="698"/>
      <c r="BW179" s="698"/>
      <c r="BX179" s="698"/>
      <c r="BY179" s="698"/>
      <c r="BZ179" s="698"/>
      <c r="CA179" s="698"/>
      <c r="CB179" s="698"/>
      <c r="CC179" s="698"/>
      <c r="CD179" s="698"/>
      <c r="CE179" s="698"/>
      <c r="CF179" s="698"/>
      <c r="CG179" s="698"/>
      <c r="CH179" s="698"/>
      <c r="CI179" s="698"/>
      <c r="CJ179" s="698"/>
      <c r="CK179" s="698"/>
      <c r="CL179" s="698"/>
      <c r="CM179" s="698"/>
      <c r="CN179" s="698"/>
      <c r="CO179" s="698"/>
      <c r="CP179" s="698"/>
      <c r="CQ179" s="698"/>
      <c r="CR179" s="698"/>
      <c r="CS179" s="698"/>
      <c r="CT179" s="698"/>
      <c r="CU179" s="698"/>
      <c r="CV179" s="698"/>
      <c r="CW179" s="698"/>
      <c r="CX179" s="698"/>
      <c r="CY179" s="698"/>
      <c r="CZ179" s="698"/>
      <c r="DA179" s="698"/>
      <c r="DB179" s="698"/>
      <c r="DC179" s="698"/>
      <c r="DD179" s="698"/>
      <c r="DE179" s="698"/>
      <c r="DF179" s="698"/>
      <c r="DG179" s="698"/>
      <c r="DH179" s="698"/>
      <c r="DI179" s="698"/>
      <c r="DJ179" s="698"/>
      <c r="DK179" s="698"/>
      <c r="DL179" s="698"/>
      <c r="DM179" s="698"/>
      <c r="DN179" s="698"/>
      <c r="DO179" s="698"/>
      <c r="DP179" s="698"/>
      <c r="DQ179" s="698"/>
      <c r="DR179" s="698"/>
      <c r="DS179" s="698"/>
      <c r="DT179" s="698"/>
      <c r="DU179" s="698"/>
      <c r="DV179" s="698"/>
      <c r="DW179" s="698"/>
      <c r="DX179" s="698"/>
      <c r="DY179" s="698"/>
      <c r="DZ179" s="698"/>
      <c r="EA179" s="698"/>
      <c r="EB179" s="698"/>
      <c r="EC179" s="698"/>
      <c r="ED179" s="698"/>
      <c r="EE179" s="698"/>
      <c r="EF179" s="698"/>
      <c r="EG179" s="698"/>
      <c r="EH179" s="698"/>
      <c r="EI179" s="698"/>
      <c r="EJ179" s="698"/>
      <c r="EK179" s="698"/>
      <c r="EL179" s="698"/>
      <c r="EM179" s="698"/>
      <c r="EN179" s="698"/>
      <c r="EO179" s="698"/>
      <c r="EP179" s="698"/>
      <c r="EQ179" s="698"/>
      <c r="ER179" s="698"/>
      <c r="ES179" s="698"/>
      <c r="ET179" s="698"/>
      <c r="EU179" s="698"/>
      <c r="EV179" s="698"/>
      <c r="EW179" s="698"/>
      <c r="EX179" s="698"/>
      <c r="EY179" s="698"/>
      <c r="EZ179" s="698"/>
      <c r="FA179" s="698"/>
      <c r="FB179" s="698"/>
      <c r="FC179" s="698"/>
      <c r="FD179" s="698"/>
      <c r="FE179" s="698"/>
      <c r="FF179" s="698"/>
      <c r="FG179" s="698"/>
      <c r="FH179" s="698"/>
      <c r="FI179" s="698"/>
      <c r="FJ179" s="698"/>
      <c r="FK179" s="799"/>
      <c r="FL179" s="799"/>
      <c r="FM179" s="799"/>
      <c r="FN179" s="799"/>
      <c r="FO179" s="799"/>
      <c r="FP179" s="799"/>
      <c r="FQ179" s="799"/>
      <c r="FR179" s="799"/>
      <c r="FS179" s="799"/>
      <c r="FT179" s="799"/>
      <c r="FU179" s="799"/>
      <c r="FV179" s="799"/>
      <c r="FW179" s="799"/>
      <c r="FX179" s="799"/>
      <c r="FY179" s="799"/>
      <c r="FZ179" s="799"/>
      <c r="GA179" s="799"/>
      <c r="GB179" s="799"/>
      <c r="GC179" s="799"/>
      <c r="GD179" s="799"/>
      <c r="GE179" s="799"/>
      <c r="GF179" s="799"/>
      <c r="GG179" s="799"/>
      <c r="GH179" s="799"/>
      <c r="GI179" s="799"/>
      <c r="GJ179" s="799"/>
      <c r="GK179" s="799"/>
      <c r="GL179" s="799"/>
      <c r="GM179" s="799"/>
      <c r="GN179" s="799"/>
      <c r="GO179" s="799"/>
      <c r="GP179" s="799"/>
      <c r="GQ179" s="799"/>
      <c r="GR179" s="799"/>
      <c r="GS179" s="799"/>
      <c r="GT179" s="799"/>
      <c r="GU179" s="799"/>
      <c r="GV179" s="799"/>
      <c r="GW179" s="799"/>
      <c r="GX179" s="799"/>
      <c r="GY179" s="799"/>
      <c r="GZ179" s="799"/>
      <c r="HA179" s="799"/>
      <c r="HB179" s="799"/>
      <c r="HC179" s="799"/>
      <c r="HD179" s="799"/>
      <c r="HE179" s="799"/>
      <c r="HF179" s="799"/>
      <c r="HG179" s="799"/>
      <c r="HH179" s="799"/>
      <c r="HI179" s="799"/>
      <c r="HJ179" s="799"/>
      <c r="HK179" s="799"/>
      <c r="HL179" s="799"/>
      <c r="HM179" s="799"/>
      <c r="HN179" s="799"/>
      <c r="HO179" s="699"/>
      <c r="HP179" s="699"/>
      <c r="HQ179" s="699"/>
      <c r="HR179" s="699"/>
      <c r="HS179" s="699"/>
      <c r="HT179" s="699"/>
      <c r="HU179" s="699"/>
      <c r="HV179" s="699"/>
      <c r="HW179" s="699"/>
      <c r="HX179" s="699"/>
      <c r="HY179" s="699"/>
      <c r="HZ179" s="699"/>
      <c r="IA179" s="699"/>
      <c r="IB179" s="699"/>
      <c r="IC179" s="699"/>
      <c r="ID179" s="699"/>
      <c r="IE179" s="699"/>
      <c r="IF179" s="699"/>
      <c r="IG179" s="699"/>
      <c r="IH179" s="699"/>
      <c r="II179" s="699"/>
      <c r="IJ179" s="699"/>
      <c r="IK179" s="699"/>
      <c r="IL179" s="699"/>
      <c r="IM179" s="699"/>
      <c r="IN179" s="699"/>
      <c r="IO179" s="699"/>
      <c r="IP179" s="699"/>
      <c r="IQ179" s="699"/>
      <c r="IR179" s="699"/>
      <c r="IS179" s="699"/>
      <c r="IT179" s="699"/>
    </row>
    <row r="180" s="694" customFormat="1" ht="36" customHeight="1" spans="1:254">
      <c r="A180" s="805">
        <v>44875</v>
      </c>
      <c r="B180" s="712" t="s">
        <v>90</v>
      </c>
      <c r="C180" s="721" t="s">
        <v>91</v>
      </c>
      <c r="D180" s="711">
        <v>4500090516</v>
      </c>
      <c r="E180" s="712" t="s">
        <v>3603</v>
      </c>
      <c r="F180" s="711" t="s">
        <v>3599</v>
      </c>
      <c r="G180" s="712" t="s">
        <v>3600</v>
      </c>
      <c r="H180" s="711">
        <v>3</v>
      </c>
      <c r="I180" s="711">
        <v>0</v>
      </c>
      <c r="J180" s="711">
        <v>1</v>
      </c>
      <c r="K180" s="698">
        <f t="shared" si="99"/>
        <v>3</v>
      </c>
      <c r="L180" s="777">
        <v>44921</v>
      </c>
      <c r="M180" s="727">
        <v>44917</v>
      </c>
      <c r="N180" s="744"/>
      <c r="O180" s="744" t="s">
        <v>3592</v>
      </c>
      <c r="P180" s="744"/>
      <c r="Q180" s="845"/>
      <c r="R180" s="845"/>
      <c r="S180" s="845"/>
      <c r="T180" s="744"/>
      <c r="U180" s="859" t="s">
        <v>3601</v>
      </c>
      <c r="V180" s="711" t="s">
        <v>3594</v>
      </c>
      <c r="W180" s="872">
        <v>1609.0328</v>
      </c>
      <c r="X180" s="757">
        <f t="shared" si="100"/>
        <v>4827.0984</v>
      </c>
      <c r="Y180" s="778"/>
      <c r="Z180" s="712" t="s">
        <v>63</v>
      </c>
      <c r="AA180" s="712"/>
      <c r="AB180" s="778"/>
      <c r="AC180" s="778"/>
      <c r="AD180" s="711"/>
      <c r="AE180" s="711"/>
      <c r="AF180" s="711"/>
      <c r="AG180" s="800"/>
      <c r="AH180" s="800"/>
      <c r="AI180" s="800"/>
      <c r="AJ180" s="800"/>
      <c r="AK180" s="800"/>
      <c r="AL180" s="779"/>
      <c r="AM180" s="779"/>
      <c r="AN180" s="779"/>
      <c r="AO180" s="698"/>
      <c r="AP180" s="698"/>
      <c r="AQ180" s="711"/>
      <c r="AR180" s="698"/>
      <c r="AS180" s="698"/>
      <c r="AT180" s="698"/>
      <c r="AU180" s="698"/>
      <c r="AV180" s="698"/>
      <c r="AW180" s="698"/>
      <c r="AX180" s="698"/>
      <c r="AY180" s="698"/>
      <c r="AZ180" s="698"/>
      <c r="BA180" s="698"/>
      <c r="BB180" s="698"/>
      <c r="BC180" s="698"/>
      <c r="BD180" s="698"/>
      <c r="BE180" s="698"/>
      <c r="BF180" s="698"/>
      <c r="BG180" s="698"/>
      <c r="BH180" s="698"/>
      <c r="BI180" s="698"/>
      <c r="BJ180" s="698"/>
      <c r="BK180" s="698"/>
      <c r="BL180" s="698"/>
      <c r="BM180" s="698"/>
      <c r="BN180" s="698"/>
      <c r="BO180" s="698"/>
      <c r="BP180" s="698"/>
      <c r="BQ180" s="698"/>
      <c r="BR180" s="698"/>
      <c r="BS180" s="698"/>
      <c r="BT180" s="698"/>
      <c r="BU180" s="698"/>
      <c r="BV180" s="698"/>
      <c r="BW180" s="698"/>
      <c r="BX180" s="698"/>
      <c r="BY180" s="698"/>
      <c r="BZ180" s="698"/>
      <c r="CA180" s="698"/>
      <c r="CB180" s="698"/>
      <c r="CC180" s="698"/>
      <c r="CD180" s="698"/>
      <c r="CE180" s="698"/>
      <c r="CF180" s="698"/>
      <c r="CG180" s="698"/>
      <c r="CH180" s="698"/>
      <c r="CI180" s="698"/>
      <c r="CJ180" s="698"/>
      <c r="CK180" s="698"/>
      <c r="CL180" s="698"/>
      <c r="CM180" s="698"/>
      <c r="CN180" s="698"/>
      <c r="CO180" s="698"/>
      <c r="CP180" s="698"/>
      <c r="CQ180" s="698"/>
      <c r="CR180" s="698"/>
      <c r="CS180" s="698"/>
      <c r="CT180" s="698"/>
      <c r="CU180" s="698"/>
      <c r="CV180" s="698"/>
      <c r="CW180" s="698"/>
      <c r="CX180" s="698"/>
      <c r="CY180" s="698"/>
      <c r="CZ180" s="698"/>
      <c r="DA180" s="698"/>
      <c r="DB180" s="698"/>
      <c r="DC180" s="698"/>
      <c r="DD180" s="698"/>
      <c r="DE180" s="698"/>
      <c r="DF180" s="698"/>
      <c r="DG180" s="698"/>
      <c r="DH180" s="698"/>
      <c r="DI180" s="698"/>
      <c r="DJ180" s="698"/>
      <c r="DK180" s="698"/>
      <c r="DL180" s="698"/>
      <c r="DM180" s="698"/>
      <c r="DN180" s="698"/>
      <c r="DO180" s="698"/>
      <c r="DP180" s="698"/>
      <c r="DQ180" s="698"/>
      <c r="DR180" s="698"/>
      <c r="DS180" s="698"/>
      <c r="DT180" s="698"/>
      <c r="DU180" s="698"/>
      <c r="DV180" s="698"/>
      <c r="DW180" s="698"/>
      <c r="DX180" s="698"/>
      <c r="DY180" s="698"/>
      <c r="DZ180" s="698"/>
      <c r="EA180" s="698"/>
      <c r="EB180" s="698"/>
      <c r="EC180" s="698"/>
      <c r="ED180" s="698"/>
      <c r="EE180" s="698"/>
      <c r="EF180" s="698"/>
      <c r="EG180" s="698"/>
      <c r="EH180" s="698"/>
      <c r="EI180" s="698"/>
      <c r="EJ180" s="698"/>
      <c r="EK180" s="698"/>
      <c r="EL180" s="698"/>
      <c r="EM180" s="698"/>
      <c r="EN180" s="698"/>
      <c r="EO180" s="698"/>
      <c r="EP180" s="698"/>
      <c r="EQ180" s="698"/>
      <c r="ER180" s="698"/>
      <c r="ES180" s="698"/>
      <c r="ET180" s="698"/>
      <c r="EU180" s="698"/>
      <c r="EV180" s="698"/>
      <c r="EW180" s="698"/>
      <c r="EX180" s="698"/>
      <c r="EY180" s="698"/>
      <c r="EZ180" s="698"/>
      <c r="FA180" s="698"/>
      <c r="FB180" s="698"/>
      <c r="FC180" s="698"/>
      <c r="FD180" s="698"/>
      <c r="FE180" s="698"/>
      <c r="FF180" s="698"/>
      <c r="FG180" s="698"/>
      <c r="FH180" s="698"/>
      <c r="FI180" s="698"/>
      <c r="FJ180" s="698"/>
      <c r="FK180" s="799"/>
      <c r="FL180" s="799"/>
      <c r="FM180" s="799"/>
      <c r="FN180" s="799"/>
      <c r="FO180" s="799"/>
      <c r="FP180" s="799"/>
      <c r="FQ180" s="799"/>
      <c r="FR180" s="799"/>
      <c r="FS180" s="799"/>
      <c r="FT180" s="799"/>
      <c r="FU180" s="799"/>
      <c r="FV180" s="799"/>
      <c r="FW180" s="799"/>
      <c r="FX180" s="799"/>
      <c r="FY180" s="799"/>
      <c r="FZ180" s="799"/>
      <c r="GA180" s="799"/>
      <c r="GB180" s="799"/>
      <c r="GC180" s="799"/>
      <c r="GD180" s="799"/>
      <c r="GE180" s="799"/>
      <c r="GF180" s="799"/>
      <c r="GG180" s="799"/>
      <c r="GH180" s="799"/>
      <c r="GI180" s="799"/>
      <c r="GJ180" s="799"/>
      <c r="GK180" s="799"/>
      <c r="GL180" s="799"/>
      <c r="GM180" s="799"/>
      <c r="GN180" s="799"/>
      <c r="GO180" s="799"/>
      <c r="GP180" s="799"/>
      <c r="GQ180" s="799"/>
      <c r="GR180" s="799"/>
      <c r="GS180" s="799"/>
      <c r="GT180" s="799"/>
      <c r="GU180" s="799"/>
      <c r="GV180" s="799"/>
      <c r="GW180" s="799"/>
      <c r="GX180" s="799"/>
      <c r="GY180" s="799"/>
      <c r="GZ180" s="799"/>
      <c r="HA180" s="799"/>
      <c r="HB180" s="799"/>
      <c r="HC180" s="799"/>
      <c r="HD180" s="799"/>
      <c r="HE180" s="799"/>
      <c r="HF180" s="799"/>
      <c r="HG180" s="799"/>
      <c r="HH180" s="799"/>
      <c r="HI180" s="799"/>
      <c r="HJ180" s="799"/>
      <c r="HK180" s="799"/>
      <c r="HL180" s="799"/>
      <c r="HM180" s="799"/>
      <c r="HN180" s="799"/>
      <c r="HO180" s="699"/>
      <c r="HP180" s="699"/>
      <c r="HQ180" s="699"/>
      <c r="HR180" s="699"/>
      <c r="HS180" s="699"/>
      <c r="HT180" s="699"/>
      <c r="HU180" s="699"/>
      <c r="HV180" s="699"/>
      <c r="HW180" s="699"/>
      <c r="HX180" s="699"/>
      <c r="HY180" s="699"/>
      <c r="HZ180" s="699"/>
      <c r="IA180" s="699"/>
      <c r="IB180" s="699"/>
      <c r="IC180" s="699"/>
      <c r="ID180" s="699"/>
      <c r="IE180" s="699"/>
      <c r="IF180" s="699"/>
      <c r="IG180" s="699"/>
      <c r="IH180" s="699"/>
      <c r="II180" s="699"/>
      <c r="IJ180" s="699"/>
      <c r="IK180" s="699"/>
      <c r="IL180" s="699"/>
      <c r="IM180" s="699"/>
      <c r="IN180" s="699"/>
      <c r="IO180" s="699"/>
      <c r="IP180" s="699"/>
      <c r="IQ180" s="699"/>
      <c r="IR180" s="699"/>
      <c r="IS180" s="699"/>
      <c r="IT180" s="699"/>
    </row>
    <row r="181" s="694" customFormat="1" ht="36" customHeight="1" spans="1:254">
      <c r="A181" s="805">
        <v>44875</v>
      </c>
      <c r="B181" s="712" t="s">
        <v>90</v>
      </c>
      <c r="C181" s="721" t="s">
        <v>91</v>
      </c>
      <c r="D181" s="711">
        <v>4500090516</v>
      </c>
      <c r="E181" s="712" t="s">
        <v>3603</v>
      </c>
      <c r="F181" s="711" t="s">
        <v>1446</v>
      </c>
      <c r="G181" s="712" t="s">
        <v>3602</v>
      </c>
      <c r="H181" s="711">
        <v>1920</v>
      </c>
      <c r="I181" s="711">
        <v>0</v>
      </c>
      <c r="J181" s="711">
        <v>4</v>
      </c>
      <c r="K181" s="698">
        <f t="shared" si="99"/>
        <v>480</v>
      </c>
      <c r="L181" s="777">
        <v>44921</v>
      </c>
      <c r="M181" s="727">
        <v>44917</v>
      </c>
      <c r="N181" s="744"/>
      <c r="O181" s="744" t="s">
        <v>3592</v>
      </c>
      <c r="P181" s="744"/>
      <c r="Q181" s="873" t="s">
        <v>3596</v>
      </c>
      <c r="R181" s="845"/>
      <c r="S181" s="845" t="s">
        <v>3597</v>
      </c>
      <c r="T181" s="744" t="s">
        <v>3598</v>
      </c>
      <c r="U181" s="856"/>
      <c r="V181" s="711" t="s">
        <v>3594</v>
      </c>
      <c r="W181" s="872">
        <v>0</v>
      </c>
      <c r="X181" s="757">
        <f t="shared" si="100"/>
        <v>0</v>
      </c>
      <c r="Y181" s="778"/>
      <c r="Z181" s="712" t="s">
        <v>63</v>
      </c>
      <c r="AA181" s="712"/>
      <c r="AB181" s="778"/>
      <c r="AC181" s="778"/>
      <c r="AD181" s="711">
        <f t="shared" si="102"/>
        <v>1920</v>
      </c>
      <c r="AE181" s="711"/>
      <c r="AF181" s="711">
        <f>H181</f>
        <v>1920</v>
      </c>
      <c r="AG181" s="800"/>
      <c r="AH181" s="800"/>
      <c r="AI181" s="800"/>
      <c r="AJ181" s="800"/>
      <c r="AK181" s="800"/>
      <c r="AL181" s="779"/>
      <c r="AM181" s="779"/>
      <c r="AN181" s="779"/>
      <c r="AO181" s="698">
        <f>H181</f>
        <v>1920</v>
      </c>
      <c r="AP181" s="698">
        <f>H181</f>
        <v>1920</v>
      </c>
      <c r="AQ181" s="711"/>
      <c r="AR181" s="698"/>
      <c r="AS181" s="698"/>
      <c r="AT181" s="698"/>
      <c r="AU181" s="698"/>
      <c r="AV181" s="698"/>
      <c r="AW181" s="698"/>
      <c r="AX181" s="698"/>
      <c r="AY181" s="698"/>
      <c r="AZ181" s="698"/>
      <c r="BA181" s="698"/>
      <c r="BB181" s="698"/>
      <c r="BC181" s="698"/>
      <c r="BD181" s="698"/>
      <c r="BE181" s="698"/>
      <c r="BF181" s="698"/>
      <c r="BG181" s="698"/>
      <c r="BH181" s="698"/>
      <c r="BI181" s="698"/>
      <c r="BJ181" s="698"/>
      <c r="BK181" s="698"/>
      <c r="BL181" s="698"/>
      <c r="BM181" s="698"/>
      <c r="BN181" s="698"/>
      <c r="BO181" s="698"/>
      <c r="BP181" s="698"/>
      <c r="BQ181" s="698"/>
      <c r="BR181" s="698"/>
      <c r="BS181" s="698"/>
      <c r="BT181" s="698"/>
      <c r="BU181" s="698"/>
      <c r="BV181" s="698"/>
      <c r="BW181" s="698"/>
      <c r="BX181" s="698"/>
      <c r="BY181" s="698"/>
      <c r="BZ181" s="698"/>
      <c r="CA181" s="698"/>
      <c r="CB181" s="698"/>
      <c r="CC181" s="698"/>
      <c r="CD181" s="698"/>
      <c r="CE181" s="698"/>
      <c r="CF181" s="698"/>
      <c r="CG181" s="698"/>
      <c r="CH181" s="698"/>
      <c r="CI181" s="698"/>
      <c r="CJ181" s="698"/>
      <c r="CK181" s="698"/>
      <c r="CL181" s="698"/>
      <c r="CM181" s="698"/>
      <c r="CN181" s="698"/>
      <c r="CO181" s="698"/>
      <c r="CP181" s="698"/>
      <c r="CQ181" s="698"/>
      <c r="CR181" s="698"/>
      <c r="CS181" s="698"/>
      <c r="CT181" s="698"/>
      <c r="CU181" s="698"/>
      <c r="CV181" s="698"/>
      <c r="CW181" s="698"/>
      <c r="CX181" s="698"/>
      <c r="CY181" s="698"/>
      <c r="CZ181" s="698"/>
      <c r="DA181" s="698"/>
      <c r="DB181" s="698"/>
      <c r="DC181" s="698"/>
      <c r="DD181" s="698"/>
      <c r="DE181" s="698"/>
      <c r="DF181" s="698"/>
      <c r="DG181" s="698"/>
      <c r="DH181" s="698"/>
      <c r="DI181" s="698"/>
      <c r="DJ181" s="698"/>
      <c r="DK181" s="698"/>
      <c r="DL181" s="698"/>
      <c r="DM181" s="698"/>
      <c r="DN181" s="698"/>
      <c r="DO181" s="698"/>
      <c r="DP181" s="698"/>
      <c r="DQ181" s="698"/>
      <c r="DR181" s="698"/>
      <c r="DS181" s="698"/>
      <c r="DT181" s="698"/>
      <c r="DU181" s="698"/>
      <c r="DV181" s="698"/>
      <c r="DW181" s="698"/>
      <c r="DX181" s="698"/>
      <c r="DY181" s="698"/>
      <c r="DZ181" s="698"/>
      <c r="EA181" s="698"/>
      <c r="EB181" s="698"/>
      <c r="EC181" s="698"/>
      <c r="ED181" s="698"/>
      <c r="EE181" s="698"/>
      <c r="EF181" s="698"/>
      <c r="EG181" s="698"/>
      <c r="EH181" s="698"/>
      <c r="EI181" s="698"/>
      <c r="EJ181" s="698"/>
      <c r="EK181" s="698"/>
      <c r="EL181" s="698"/>
      <c r="EM181" s="698"/>
      <c r="EN181" s="698"/>
      <c r="EO181" s="698"/>
      <c r="EP181" s="698"/>
      <c r="EQ181" s="698"/>
      <c r="ER181" s="698"/>
      <c r="ES181" s="698"/>
      <c r="ET181" s="698"/>
      <c r="EU181" s="698"/>
      <c r="EV181" s="698"/>
      <c r="EW181" s="698"/>
      <c r="EX181" s="698"/>
      <c r="EY181" s="698"/>
      <c r="EZ181" s="698"/>
      <c r="FA181" s="698"/>
      <c r="FB181" s="698"/>
      <c r="FC181" s="698"/>
      <c r="FD181" s="698"/>
      <c r="FE181" s="698"/>
      <c r="FF181" s="698"/>
      <c r="FG181" s="698"/>
      <c r="FH181" s="698"/>
      <c r="FI181" s="698"/>
      <c r="FJ181" s="698"/>
      <c r="FK181" s="799"/>
      <c r="FL181" s="799"/>
      <c r="FM181" s="799"/>
      <c r="FN181" s="799"/>
      <c r="FO181" s="799"/>
      <c r="FP181" s="799"/>
      <c r="FQ181" s="799"/>
      <c r="FR181" s="799"/>
      <c r="FS181" s="799"/>
      <c r="FT181" s="799"/>
      <c r="FU181" s="799"/>
      <c r="FV181" s="799"/>
      <c r="FW181" s="799"/>
      <c r="FX181" s="799"/>
      <c r="FY181" s="799"/>
      <c r="FZ181" s="799"/>
      <c r="GA181" s="799"/>
      <c r="GB181" s="799"/>
      <c r="GC181" s="799"/>
      <c r="GD181" s="799"/>
      <c r="GE181" s="799"/>
      <c r="GF181" s="799"/>
      <c r="GG181" s="799"/>
      <c r="GH181" s="799"/>
      <c r="GI181" s="799"/>
      <c r="GJ181" s="799"/>
      <c r="GK181" s="799"/>
      <c r="GL181" s="799"/>
      <c r="GM181" s="799"/>
      <c r="GN181" s="799"/>
      <c r="GO181" s="799"/>
      <c r="GP181" s="799"/>
      <c r="GQ181" s="799"/>
      <c r="GR181" s="799"/>
      <c r="GS181" s="799"/>
      <c r="GT181" s="799"/>
      <c r="GU181" s="799"/>
      <c r="GV181" s="799"/>
      <c r="GW181" s="799"/>
      <c r="GX181" s="799"/>
      <c r="GY181" s="799"/>
      <c r="GZ181" s="799"/>
      <c r="HA181" s="799"/>
      <c r="HB181" s="799"/>
      <c r="HC181" s="799"/>
      <c r="HD181" s="799"/>
      <c r="HE181" s="799"/>
      <c r="HF181" s="799"/>
      <c r="HG181" s="799"/>
      <c r="HH181" s="799"/>
      <c r="HI181" s="799"/>
      <c r="HJ181" s="799"/>
      <c r="HK181" s="799"/>
      <c r="HL181" s="799"/>
      <c r="HM181" s="799"/>
      <c r="HN181" s="799"/>
      <c r="HO181" s="699"/>
      <c r="HP181" s="699"/>
      <c r="HQ181" s="699"/>
      <c r="HR181" s="699"/>
      <c r="HS181" s="699"/>
      <c r="HT181" s="699"/>
      <c r="HU181" s="699"/>
      <c r="HV181" s="699"/>
      <c r="HW181" s="699"/>
      <c r="HX181" s="699"/>
      <c r="HY181" s="699"/>
      <c r="HZ181" s="699"/>
      <c r="IA181" s="699"/>
      <c r="IB181" s="699"/>
      <c r="IC181" s="699"/>
      <c r="ID181" s="699"/>
      <c r="IE181" s="699"/>
      <c r="IF181" s="699"/>
      <c r="IG181" s="699"/>
      <c r="IH181" s="699"/>
      <c r="II181" s="699"/>
      <c r="IJ181" s="699"/>
      <c r="IK181" s="699"/>
      <c r="IL181" s="699"/>
      <c r="IM181" s="699"/>
      <c r="IN181" s="699"/>
      <c r="IO181" s="699"/>
      <c r="IP181" s="699"/>
      <c r="IQ181" s="699"/>
      <c r="IR181" s="699"/>
      <c r="IS181" s="699"/>
      <c r="IT181" s="699"/>
    </row>
    <row r="182" s="694" customFormat="1" ht="36" customHeight="1" spans="1:254">
      <c r="A182" s="805">
        <v>44875</v>
      </c>
      <c r="B182" s="712" t="s">
        <v>90</v>
      </c>
      <c r="C182" s="721" t="s">
        <v>91</v>
      </c>
      <c r="D182" s="711">
        <v>4500090517</v>
      </c>
      <c r="E182" s="712">
        <v>1328827681</v>
      </c>
      <c r="F182" s="711" t="s">
        <v>3590</v>
      </c>
      <c r="G182" s="712" t="s">
        <v>3591</v>
      </c>
      <c r="H182" s="711">
        <v>2</v>
      </c>
      <c r="I182" s="711">
        <v>0</v>
      </c>
      <c r="J182" s="711">
        <v>1</v>
      </c>
      <c r="K182" s="698">
        <f t="shared" si="99"/>
        <v>2</v>
      </c>
      <c r="L182" s="777">
        <v>44921</v>
      </c>
      <c r="M182" s="727">
        <v>44917</v>
      </c>
      <c r="N182" s="744"/>
      <c r="O182" s="744" t="s">
        <v>3592</v>
      </c>
      <c r="P182" s="744"/>
      <c r="Q182" s="845"/>
      <c r="R182" s="845"/>
      <c r="S182" s="845"/>
      <c r="T182" s="744"/>
      <c r="U182" s="859" t="s">
        <v>3593</v>
      </c>
      <c r="V182" s="711" t="s">
        <v>3594</v>
      </c>
      <c r="W182" s="872">
        <v>1609.0328</v>
      </c>
      <c r="X182" s="757">
        <f t="shared" si="100"/>
        <v>3218.0656</v>
      </c>
      <c r="Y182" s="778"/>
      <c r="Z182" s="712" t="s">
        <v>63</v>
      </c>
      <c r="AA182" s="712"/>
      <c r="AB182" s="778"/>
      <c r="AC182" s="778"/>
      <c r="AD182" s="711"/>
      <c r="AE182" s="711"/>
      <c r="AF182" s="711"/>
      <c r="AG182" s="800"/>
      <c r="AH182" s="800"/>
      <c r="AI182" s="800"/>
      <c r="AJ182" s="800"/>
      <c r="AK182" s="800"/>
      <c r="AL182" s="779"/>
      <c r="AM182" s="779"/>
      <c r="AN182" s="779"/>
      <c r="AO182" s="698"/>
      <c r="AP182" s="698"/>
      <c r="AQ182" s="711"/>
      <c r="AR182" s="698"/>
      <c r="AS182" s="698"/>
      <c r="AT182" s="698"/>
      <c r="AU182" s="698"/>
      <c r="AV182" s="698"/>
      <c r="AW182" s="698"/>
      <c r="AX182" s="698"/>
      <c r="AY182" s="698"/>
      <c r="AZ182" s="698"/>
      <c r="BA182" s="698"/>
      <c r="BB182" s="698"/>
      <c r="BC182" s="698"/>
      <c r="BD182" s="698"/>
      <c r="BE182" s="698"/>
      <c r="BF182" s="698"/>
      <c r="BG182" s="698"/>
      <c r="BH182" s="698"/>
      <c r="BI182" s="698"/>
      <c r="BJ182" s="698"/>
      <c r="BK182" s="698"/>
      <c r="BL182" s="698"/>
      <c r="BM182" s="698"/>
      <c r="BN182" s="698"/>
      <c r="BO182" s="698"/>
      <c r="BP182" s="698"/>
      <c r="BQ182" s="698"/>
      <c r="BR182" s="698"/>
      <c r="BS182" s="698"/>
      <c r="BT182" s="698"/>
      <c r="BU182" s="698"/>
      <c r="BV182" s="698"/>
      <c r="BW182" s="698"/>
      <c r="BX182" s="698"/>
      <c r="BY182" s="698"/>
      <c r="BZ182" s="698"/>
      <c r="CA182" s="698"/>
      <c r="CB182" s="698"/>
      <c r="CC182" s="698"/>
      <c r="CD182" s="698"/>
      <c r="CE182" s="698"/>
      <c r="CF182" s="698"/>
      <c r="CG182" s="698"/>
      <c r="CH182" s="698"/>
      <c r="CI182" s="698"/>
      <c r="CJ182" s="698"/>
      <c r="CK182" s="698"/>
      <c r="CL182" s="698"/>
      <c r="CM182" s="698"/>
      <c r="CN182" s="698"/>
      <c r="CO182" s="698"/>
      <c r="CP182" s="698"/>
      <c r="CQ182" s="698"/>
      <c r="CR182" s="698"/>
      <c r="CS182" s="698"/>
      <c r="CT182" s="698"/>
      <c r="CU182" s="698"/>
      <c r="CV182" s="698"/>
      <c r="CW182" s="698"/>
      <c r="CX182" s="698"/>
      <c r="CY182" s="698"/>
      <c r="CZ182" s="698"/>
      <c r="DA182" s="698"/>
      <c r="DB182" s="698"/>
      <c r="DC182" s="698"/>
      <c r="DD182" s="698"/>
      <c r="DE182" s="698"/>
      <c r="DF182" s="698"/>
      <c r="DG182" s="698"/>
      <c r="DH182" s="698"/>
      <c r="DI182" s="698"/>
      <c r="DJ182" s="698"/>
      <c r="DK182" s="698"/>
      <c r="DL182" s="698"/>
      <c r="DM182" s="698"/>
      <c r="DN182" s="698"/>
      <c r="DO182" s="698"/>
      <c r="DP182" s="698"/>
      <c r="DQ182" s="698"/>
      <c r="DR182" s="698"/>
      <c r="DS182" s="698"/>
      <c r="DT182" s="698"/>
      <c r="DU182" s="698"/>
      <c r="DV182" s="698"/>
      <c r="DW182" s="698"/>
      <c r="DX182" s="698"/>
      <c r="DY182" s="698"/>
      <c r="DZ182" s="698"/>
      <c r="EA182" s="698"/>
      <c r="EB182" s="698"/>
      <c r="EC182" s="698"/>
      <c r="ED182" s="698"/>
      <c r="EE182" s="698"/>
      <c r="EF182" s="698"/>
      <c r="EG182" s="698"/>
      <c r="EH182" s="698"/>
      <c r="EI182" s="698"/>
      <c r="EJ182" s="698"/>
      <c r="EK182" s="698"/>
      <c r="EL182" s="698"/>
      <c r="EM182" s="698"/>
      <c r="EN182" s="698"/>
      <c r="EO182" s="698"/>
      <c r="EP182" s="698"/>
      <c r="EQ182" s="698"/>
      <c r="ER182" s="698"/>
      <c r="ES182" s="698"/>
      <c r="ET182" s="698"/>
      <c r="EU182" s="698"/>
      <c r="EV182" s="698"/>
      <c r="EW182" s="698"/>
      <c r="EX182" s="698"/>
      <c r="EY182" s="698"/>
      <c r="EZ182" s="698"/>
      <c r="FA182" s="698"/>
      <c r="FB182" s="698"/>
      <c r="FC182" s="698"/>
      <c r="FD182" s="698"/>
      <c r="FE182" s="698"/>
      <c r="FF182" s="698"/>
      <c r="FG182" s="698"/>
      <c r="FH182" s="698"/>
      <c r="FI182" s="698"/>
      <c r="FJ182" s="698"/>
      <c r="FK182" s="799"/>
      <c r="FL182" s="799"/>
      <c r="FM182" s="799"/>
      <c r="FN182" s="799"/>
      <c r="FO182" s="799"/>
      <c r="FP182" s="799"/>
      <c r="FQ182" s="799"/>
      <c r="FR182" s="799"/>
      <c r="FS182" s="799"/>
      <c r="FT182" s="799"/>
      <c r="FU182" s="799"/>
      <c r="FV182" s="799"/>
      <c r="FW182" s="799"/>
      <c r="FX182" s="799"/>
      <c r="FY182" s="799"/>
      <c r="FZ182" s="799"/>
      <c r="GA182" s="799"/>
      <c r="GB182" s="799"/>
      <c r="GC182" s="799"/>
      <c r="GD182" s="799"/>
      <c r="GE182" s="799"/>
      <c r="GF182" s="799"/>
      <c r="GG182" s="799"/>
      <c r="GH182" s="799"/>
      <c r="GI182" s="799"/>
      <c r="GJ182" s="799"/>
      <c r="GK182" s="799"/>
      <c r="GL182" s="799"/>
      <c r="GM182" s="799"/>
      <c r="GN182" s="799"/>
      <c r="GO182" s="799"/>
      <c r="GP182" s="799"/>
      <c r="GQ182" s="799"/>
      <c r="GR182" s="799"/>
      <c r="GS182" s="799"/>
      <c r="GT182" s="799"/>
      <c r="GU182" s="799"/>
      <c r="GV182" s="799"/>
      <c r="GW182" s="799"/>
      <c r="GX182" s="799"/>
      <c r="GY182" s="799"/>
      <c r="GZ182" s="799"/>
      <c r="HA182" s="799"/>
      <c r="HB182" s="799"/>
      <c r="HC182" s="799"/>
      <c r="HD182" s="799"/>
      <c r="HE182" s="799"/>
      <c r="HF182" s="799"/>
      <c r="HG182" s="799"/>
      <c r="HH182" s="799"/>
      <c r="HI182" s="799"/>
      <c r="HJ182" s="799"/>
      <c r="HK182" s="799"/>
      <c r="HL182" s="799"/>
      <c r="HM182" s="799"/>
      <c r="HN182" s="799"/>
      <c r="HO182" s="699"/>
      <c r="HP182" s="699"/>
      <c r="HQ182" s="699"/>
      <c r="HR182" s="699"/>
      <c r="HS182" s="699"/>
      <c r="HT182" s="699"/>
      <c r="HU182" s="699"/>
      <c r="HV182" s="699"/>
      <c r="HW182" s="699"/>
      <c r="HX182" s="699"/>
      <c r="HY182" s="699"/>
      <c r="HZ182" s="699"/>
      <c r="IA182" s="699"/>
      <c r="IB182" s="699"/>
      <c r="IC182" s="699"/>
      <c r="ID182" s="699"/>
      <c r="IE182" s="699"/>
      <c r="IF182" s="699"/>
      <c r="IG182" s="699"/>
      <c r="IH182" s="699"/>
      <c r="II182" s="699"/>
      <c r="IJ182" s="699"/>
      <c r="IK182" s="699"/>
      <c r="IL182" s="699"/>
      <c r="IM182" s="699"/>
      <c r="IN182" s="699"/>
      <c r="IO182" s="699"/>
      <c r="IP182" s="699"/>
      <c r="IQ182" s="699"/>
      <c r="IR182" s="699"/>
      <c r="IS182" s="699"/>
      <c r="IT182" s="699"/>
    </row>
    <row r="183" s="694" customFormat="1" ht="36" customHeight="1" spans="1:254">
      <c r="A183" s="805">
        <v>44875</v>
      </c>
      <c r="B183" s="712" t="s">
        <v>90</v>
      </c>
      <c r="C183" s="721" t="s">
        <v>91</v>
      </c>
      <c r="D183" s="711">
        <v>4500090517</v>
      </c>
      <c r="E183" s="712">
        <v>1328827681</v>
      </c>
      <c r="F183" s="711" t="s">
        <v>1447</v>
      </c>
      <c r="G183" s="712" t="s">
        <v>3595</v>
      </c>
      <c r="H183" s="711">
        <v>1280</v>
      </c>
      <c r="I183" s="711">
        <v>0</v>
      </c>
      <c r="J183" s="711">
        <v>4</v>
      </c>
      <c r="K183" s="698">
        <f t="shared" si="99"/>
        <v>320</v>
      </c>
      <c r="L183" s="777">
        <v>44921</v>
      </c>
      <c r="M183" s="727">
        <v>44917</v>
      </c>
      <c r="N183" s="744"/>
      <c r="O183" s="744" t="s">
        <v>3592</v>
      </c>
      <c r="P183" s="744"/>
      <c r="Q183" s="873" t="s">
        <v>3596</v>
      </c>
      <c r="R183" s="845"/>
      <c r="S183" s="845" t="s">
        <v>3597</v>
      </c>
      <c r="T183" s="744" t="s">
        <v>3598</v>
      </c>
      <c r="U183" s="856"/>
      <c r="V183" s="711" t="s">
        <v>3594</v>
      </c>
      <c r="W183" s="872">
        <v>0</v>
      </c>
      <c r="X183" s="757">
        <f t="shared" si="100"/>
        <v>0</v>
      </c>
      <c r="Y183" s="778"/>
      <c r="Z183" s="712" t="s">
        <v>63</v>
      </c>
      <c r="AA183" s="712"/>
      <c r="AB183" s="778"/>
      <c r="AC183" s="778"/>
      <c r="AD183" s="711">
        <f t="shared" ref="AD183:AD187" si="103">H183</f>
        <v>1280</v>
      </c>
      <c r="AE183" s="711">
        <f>H183</f>
        <v>1280</v>
      </c>
      <c r="AF183" s="711"/>
      <c r="AG183" s="800"/>
      <c r="AH183" s="800"/>
      <c r="AI183" s="800"/>
      <c r="AJ183" s="800"/>
      <c r="AK183" s="800"/>
      <c r="AL183" s="779"/>
      <c r="AM183" s="779"/>
      <c r="AN183" s="779"/>
      <c r="AO183" s="698"/>
      <c r="AP183" s="698"/>
      <c r="AQ183" s="711">
        <f>H183</f>
        <v>1280</v>
      </c>
      <c r="AR183" s="698">
        <f>H183</f>
        <v>1280</v>
      </c>
      <c r="AS183" s="698"/>
      <c r="AT183" s="698"/>
      <c r="AU183" s="698"/>
      <c r="AV183" s="698"/>
      <c r="AW183" s="698"/>
      <c r="AX183" s="698"/>
      <c r="AY183" s="698"/>
      <c r="AZ183" s="698"/>
      <c r="BA183" s="698"/>
      <c r="BB183" s="698"/>
      <c r="BC183" s="698"/>
      <c r="BD183" s="698"/>
      <c r="BE183" s="698"/>
      <c r="BF183" s="698"/>
      <c r="BG183" s="698"/>
      <c r="BH183" s="698"/>
      <c r="BI183" s="698"/>
      <c r="BJ183" s="698"/>
      <c r="BK183" s="698"/>
      <c r="BL183" s="698"/>
      <c r="BM183" s="698"/>
      <c r="BN183" s="698"/>
      <c r="BO183" s="698"/>
      <c r="BP183" s="698"/>
      <c r="BQ183" s="698"/>
      <c r="BR183" s="698"/>
      <c r="BS183" s="698"/>
      <c r="BT183" s="698"/>
      <c r="BU183" s="698"/>
      <c r="BV183" s="698"/>
      <c r="BW183" s="698"/>
      <c r="BX183" s="698"/>
      <c r="BY183" s="698"/>
      <c r="BZ183" s="698"/>
      <c r="CA183" s="698"/>
      <c r="CB183" s="698"/>
      <c r="CC183" s="698"/>
      <c r="CD183" s="698"/>
      <c r="CE183" s="698"/>
      <c r="CF183" s="698"/>
      <c r="CG183" s="698"/>
      <c r="CH183" s="698"/>
      <c r="CI183" s="698"/>
      <c r="CJ183" s="698"/>
      <c r="CK183" s="698"/>
      <c r="CL183" s="698"/>
      <c r="CM183" s="698"/>
      <c r="CN183" s="698"/>
      <c r="CO183" s="698"/>
      <c r="CP183" s="698"/>
      <c r="CQ183" s="698"/>
      <c r="CR183" s="698"/>
      <c r="CS183" s="698"/>
      <c r="CT183" s="698"/>
      <c r="CU183" s="698"/>
      <c r="CV183" s="698"/>
      <c r="CW183" s="698"/>
      <c r="CX183" s="698"/>
      <c r="CY183" s="698"/>
      <c r="CZ183" s="698"/>
      <c r="DA183" s="698"/>
      <c r="DB183" s="698"/>
      <c r="DC183" s="698"/>
      <c r="DD183" s="698"/>
      <c r="DE183" s="698"/>
      <c r="DF183" s="698"/>
      <c r="DG183" s="698"/>
      <c r="DH183" s="698"/>
      <c r="DI183" s="698"/>
      <c r="DJ183" s="698"/>
      <c r="DK183" s="698"/>
      <c r="DL183" s="698"/>
      <c r="DM183" s="698"/>
      <c r="DN183" s="698"/>
      <c r="DO183" s="698"/>
      <c r="DP183" s="698"/>
      <c r="DQ183" s="698"/>
      <c r="DR183" s="698"/>
      <c r="DS183" s="698"/>
      <c r="DT183" s="698"/>
      <c r="DU183" s="698"/>
      <c r="DV183" s="698"/>
      <c r="DW183" s="698"/>
      <c r="DX183" s="698"/>
      <c r="DY183" s="698"/>
      <c r="DZ183" s="698"/>
      <c r="EA183" s="698"/>
      <c r="EB183" s="698"/>
      <c r="EC183" s="698"/>
      <c r="ED183" s="698"/>
      <c r="EE183" s="698"/>
      <c r="EF183" s="698"/>
      <c r="EG183" s="698"/>
      <c r="EH183" s="698"/>
      <c r="EI183" s="698"/>
      <c r="EJ183" s="698"/>
      <c r="EK183" s="698"/>
      <c r="EL183" s="698"/>
      <c r="EM183" s="698"/>
      <c r="EN183" s="698"/>
      <c r="EO183" s="698"/>
      <c r="EP183" s="698"/>
      <c r="EQ183" s="698"/>
      <c r="ER183" s="698"/>
      <c r="ES183" s="698"/>
      <c r="ET183" s="698"/>
      <c r="EU183" s="698"/>
      <c r="EV183" s="698"/>
      <c r="EW183" s="698"/>
      <c r="EX183" s="698"/>
      <c r="EY183" s="698"/>
      <c r="EZ183" s="698"/>
      <c r="FA183" s="698"/>
      <c r="FB183" s="698"/>
      <c r="FC183" s="698"/>
      <c r="FD183" s="698"/>
      <c r="FE183" s="698"/>
      <c r="FF183" s="698"/>
      <c r="FG183" s="698"/>
      <c r="FH183" s="698"/>
      <c r="FI183" s="698"/>
      <c r="FJ183" s="698"/>
      <c r="FK183" s="799"/>
      <c r="FL183" s="799"/>
      <c r="FM183" s="799"/>
      <c r="FN183" s="799"/>
      <c r="FO183" s="799"/>
      <c r="FP183" s="799"/>
      <c r="FQ183" s="799"/>
      <c r="FR183" s="799"/>
      <c r="FS183" s="799"/>
      <c r="FT183" s="799"/>
      <c r="FU183" s="799"/>
      <c r="FV183" s="799"/>
      <c r="FW183" s="799"/>
      <c r="FX183" s="799"/>
      <c r="FY183" s="799"/>
      <c r="FZ183" s="799"/>
      <c r="GA183" s="799"/>
      <c r="GB183" s="799"/>
      <c r="GC183" s="799"/>
      <c r="GD183" s="799"/>
      <c r="GE183" s="799"/>
      <c r="GF183" s="799"/>
      <c r="GG183" s="799"/>
      <c r="GH183" s="799"/>
      <c r="GI183" s="799"/>
      <c r="GJ183" s="799"/>
      <c r="GK183" s="799"/>
      <c r="GL183" s="799"/>
      <c r="GM183" s="799"/>
      <c r="GN183" s="799"/>
      <c r="GO183" s="799"/>
      <c r="GP183" s="799"/>
      <c r="GQ183" s="799"/>
      <c r="GR183" s="799"/>
      <c r="GS183" s="799"/>
      <c r="GT183" s="799"/>
      <c r="GU183" s="799"/>
      <c r="GV183" s="799"/>
      <c r="GW183" s="799"/>
      <c r="GX183" s="799"/>
      <c r="GY183" s="799"/>
      <c r="GZ183" s="799"/>
      <c r="HA183" s="799"/>
      <c r="HB183" s="799"/>
      <c r="HC183" s="799"/>
      <c r="HD183" s="799"/>
      <c r="HE183" s="799"/>
      <c r="HF183" s="799"/>
      <c r="HG183" s="799"/>
      <c r="HH183" s="799"/>
      <c r="HI183" s="799"/>
      <c r="HJ183" s="799"/>
      <c r="HK183" s="799"/>
      <c r="HL183" s="799"/>
      <c r="HM183" s="799"/>
      <c r="HN183" s="799"/>
      <c r="HO183" s="699"/>
      <c r="HP183" s="699"/>
      <c r="HQ183" s="699"/>
      <c r="HR183" s="699"/>
      <c r="HS183" s="699"/>
      <c r="HT183" s="699"/>
      <c r="HU183" s="699"/>
      <c r="HV183" s="699"/>
      <c r="HW183" s="699"/>
      <c r="HX183" s="699"/>
      <c r="HY183" s="699"/>
      <c r="HZ183" s="699"/>
      <c r="IA183" s="699"/>
      <c r="IB183" s="699"/>
      <c r="IC183" s="699"/>
      <c r="ID183" s="699"/>
      <c r="IE183" s="699"/>
      <c r="IF183" s="699"/>
      <c r="IG183" s="699"/>
      <c r="IH183" s="699"/>
      <c r="II183" s="699"/>
      <c r="IJ183" s="699"/>
      <c r="IK183" s="699"/>
      <c r="IL183" s="699"/>
      <c r="IM183" s="699"/>
      <c r="IN183" s="699"/>
      <c r="IO183" s="699"/>
      <c r="IP183" s="699"/>
      <c r="IQ183" s="699"/>
      <c r="IR183" s="699"/>
      <c r="IS183" s="699"/>
      <c r="IT183" s="699"/>
    </row>
    <row r="184" s="694" customFormat="1" ht="36" customHeight="1" spans="1:254">
      <c r="A184" s="805">
        <v>44875</v>
      </c>
      <c r="B184" s="712" t="s">
        <v>90</v>
      </c>
      <c r="C184" s="721" t="s">
        <v>91</v>
      </c>
      <c r="D184" s="711">
        <v>4500090517</v>
      </c>
      <c r="E184" s="712">
        <v>1328827683</v>
      </c>
      <c r="F184" s="711" t="s">
        <v>3599</v>
      </c>
      <c r="G184" s="712" t="s">
        <v>3600</v>
      </c>
      <c r="H184" s="711">
        <v>1</v>
      </c>
      <c r="I184" s="711">
        <v>0</v>
      </c>
      <c r="J184" s="711">
        <v>1</v>
      </c>
      <c r="K184" s="698">
        <f t="shared" si="99"/>
        <v>1</v>
      </c>
      <c r="L184" s="777">
        <v>44921</v>
      </c>
      <c r="M184" s="727">
        <v>44917</v>
      </c>
      <c r="N184" s="744"/>
      <c r="O184" s="744" t="s">
        <v>3592</v>
      </c>
      <c r="P184" s="744"/>
      <c r="Q184" s="845"/>
      <c r="R184" s="845"/>
      <c r="S184" s="845"/>
      <c r="T184" s="744"/>
      <c r="U184" s="859" t="s">
        <v>3601</v>
      </c>
      <c r="V184" s="711" t="s">
        <v>3594</v>
      </c>
      <c r="W184" s="872">
        <v>1628.5247</v>
      </c>
      <c r="X184" s="757">
        <f t="shared" si="100"/>
        <v>1628.5247</v>
      </c>
      <c r="Y184" s="778"/>
      <c r="Z184" s="712" t="s">
        <v>63</v>
      </c>
      <c r="AA184" s="712"/>
      <c r="AB184" s="778"/>
      <c r="AC184" s="778"/>
      <c r="AD184" s="711"/>
      <c r="AE184" s="711"/>
      <c r="AF184" s="711"/>
      <c r="AG184" s="800"/>
      <c r="AH184" s="800"/>
      <c r="AI184" s="800"/>
      <c r="AJ184" s="800"/>
      <c r="AK184" s="800"/>
      <c r="AL184" s="779"/>
      <c r="AM184" s="779"/>
      <c r="AN184" s="779"/>
      <c r="AO184" s="698"/>
      <c r="AP184" s="698"/>
      <c r="AQ184" s="711"/>
      <c r="AR184" s="698"/>
      <c r="AS184" s="698"/>
      <c r="AT184" s="698"/>
      <c r="AU184" s="698"/>
      <c r="AV184" s="698"/>
      <c r="AW184" s="698"/>
      <c r="AX184" s="698"/>
      <c r="AY184" s="698"/>
      <c r="AZ184" s="698"/>
      <c r="BA184" s="698"/>
      <c r="BB184" s="698"/>
      <c r="BC184" s="698"/>
      <c r="BD184" s="698"/>
      <c r="BE184" s="698"/>
      <c r="BF184" s="698"/>
      <c r="BG184" s="698"/>
      <c r="BH184" s="698"/>
      <c r="BI184" s="698"/>
      <c r="BJ184" s="698"/>
      <c r="BK184" s="698"/>
      <c r="BL184" s="698"/>
      <c r="BM184" s="698"/>
      <c r="BN184" s="698"/>
      <c r="BO184" s="698"/>
      <c r="BP184" s="698"/>
      <c r="BQ184" s="698"/>
      <c r="BR184" s="698"/>
      <c r="BS184" s="698"/>
      <c r="BT184" s="698"/>
      <c r="BU184" s="698"/>
      <c r="BV184" s="698"/>
      <c r="BW184" s="698"/>
      <c r="BX184" s="698"/>
      <c r="BY184" s="698"/>
      <c r="BZ184" s="698"/>
      <c r="CA184" s="698"/>
      <c r="CB184" s="698"/>
      <c r="CC184" s="698"/>
      <c r="CD184" s="698"/>
      <c r="CE184" s="698"/>
      <c r="CF184" s="698"/>
      <c r="CG184" s="698"/>
      <c r="CH184" s="698"/>
      <c r="CI184" s="698"/>
      <c r="CJ184" s="698"/>
      <c r="CK184" s="698"/>
      <c r="CL184" s="698"/>
      <c r="CM184" s="698"/>
      <c r="CN184" s="698"/>
      <c r="CO184" s="698"/>
      <c r="CP184" s="698"/>
      <c r="CQ184" s="698"/>
      <c r="CR184" s="698"/>
      <c r="CS184" s="698"/>
      <c r="CT184" s="698"/>
      <c r="CU184" s="698"/>
      <c r="CV184" s="698"/>
      <c r="CW184" s="698"/>
      <c r="CX184" s="698"/>
      <c r="CY184" s="698"/>
      <c r="CZ184" s="698"/>
      <c r="DA184" s="698"/>
      <c r="DB184" s="698"/>
      <c r="DC184" s="698"/>
      <c r="DD184" s="698"/>
      <c r="DE184" s="698"/>
      <c r="DF184" s="698"/>
      <c r="DG184" s="698"/>
      <c r="DH184" s="698"/>
      <c r="DI184" s="698"/>
      <c r="DJ184" s="698"/>
      <c r="DK184" s="698"/>
      <c r="DL184" s="698"/>
      <c r="DM184" s="698"/>
      <c r="DN184" s="698"/>
      <c r="DO184" s="698"/>
      <c r="DP184" s="698"/>
      <c r="DQ184" s="698"/>
      <c r="DR184" s="698"/>
      <c r="DS184" s="698"/>
      <c r="DT184" s="698"/>
      <c r="DU184" s="698"/>
      <c r="DV184" s="698"/>
      <c r="DW184" s="698"/>
      <c r="DX184" s="698"/>
      <c r="DY184" s="698"/>
      <c r="DZ184" s="698"/>
      <c r="EA184" s="698"/>
      <c r="EB184" s="698"/>
      <c r="EC184" s="698"/>
      <c r="ED184" s="698"/>
      <c r="EE184" s="698"/>
      <c r="EF184" s="698"/>
      <c r="EG184" s="698"/>
      <c r="EH184" s="698"/>
      <c r="EI184" s="698"/>
      <c r="EJ184" s="698"/>
      <c r="EK184" s="698"/>
      <c r="EL184" s="698"/>
      <c r="EM184" s="698"/>
      <c r="EN184" s="698"/>
      <c r="EO184" s="698"/>
      <c r="EP184" s="698"/>
      <c r="EQ184" s="698"/>
      <c r="ER184" s="698"/>
      <c r="ES184" s="698"/>
      <c r="ET184" s="698"/>
      <c r="EU184" s="698"/>
      <c r="EV184" s="698"/>
      <c r="EW184" s="698"/>
      <c r="EX184" s="698"/>
      <c r="EY184" s="698"/>
      <c r="EZ184" s="698"/>
      <c r="FA184" s="698"/>
      <c r="FB184" s="698"/>
      <c r="FC184" s="698"/>
      <c r="FD184" s="698"/>
      <c r="FE184" s="698"/>
      <c r="FF184" s="698"/>
      <c r="FG184" s="698"/>
      <c r="FH184" s="698"/>
      <c r="FI184" s="698"/>
      <c r="FJ184" s="698"/>
      <c r="FK184" s="799"/>
      <c r="FL184" s="799"/>
      <c r="FM184" s="799"/>
      <c r="FN184" s="799"/>
      <c r="FO184" s="799"/>
      <c r="FP184" s="799"/>
      <c r="FQ184" s="799"/>
      <c r="FR184" s="799"/>
      <c r="FS184" s="799"/>
      <c r="FT184" s="799"/>
      <c r="FU184" s="799"/>
      <c r="FV184" s="799"/>
      <c r="FW184" s="799"/>
      <c r="FX184" s="799"/>
      <c r="FY184" s="799"/>
      <c r="FZ184" s="799"/>
      <c r="GA184" s="799"/>
      <c r="GB184" s="799"/>
      <c r="GC184" s="799"/>
      <c r="GD184" s="799"/>
      <c r="GE184" s="799"/>
      <c r="GF184" s="799"/>
      <c r="GG184" s="799"/>
      <c r="GH184" s="799"/>
      <c r="GI184" s="799"/>
      <c r="GJ184" s="799"/>
      <c r="GK184" s="799"/>
      <c r="GL184" s="799"/>
      <c r="GM184" s="799"/>
      <c r="GN184" s="799"/>
      <c r="GO184" s="799"/>
      <c r="GP184" s="799"/>
      <c r="GQ184" s="799"/>
      <c r="GR184" s="799"/>
      <c r="GS184" s="799"/>
      <c r="GT184" s="799"/>
      <c r="GU184" s="799"/>
      <c r="GV184" s="799"/>
      <c r="GW184" s="799"/>
      <c r="GX184" s="799"/>
      <c r="GY184" s="799"/>
      <c r="GZ184" s="799"/>
      <c r="HA184" s="799"/>
      <c r="HB184" s="799"/>
      <c r="HC184" s="799"/>
      <c r="HD184" s="799"/>
      <c r="HE184" s="799"/>
      <c r="HF184" s="799"/>
      <c r="HG184" s="799"/>
      <c r="HH184" s="799"/>
      <c r="HI184" s="799"/>
      <c r="HJ184" s="799"/>
      <c r="HK184" s="799"/>
      <c r="HL184" s="799"/>
      <c r="HM184" s="799"/>
      <c r="HN184" s="799"/>
      <c r="HO184" s="699"/>
      <c r="HP184" s="699"/>
      <c r="HQ184" s="699"/>
      <c r="HR184" s="699"/>
      <c r="HS184" s="699"/>
      <c r="HT184" s="699"/>
      <c r="HU184" s="699"/>
      <c r="HV184" s="699"/>
      <c r="HW184" s="699"/>
      <c r="HX184" s="699"/>
      <c r="HY184" s="699"/>
      <c r="HZ184" s="699"/>
      <c r="IA184" s="699"/>
      <c r="IB184" s="699"/>
      <c r="IC184" s="699"/>
      <c r="ID184" s="699"/>
      <c r="IE184" s="699"/>
      <c r="IF184" s="699"/>
      <c r="IG184" s="699"/>
      <c r="IH184" s="699"/>
      <c r="II184" s="699"/>
      <c r="IJ184" s="699"/>
      <c r="IK184" s="699"/>
      <c r="IL184" s="699"/>
      <c r="IM184" s="699"/>
      <c r="IN184" s="699"/>
      <c r="IO184" s="699"/>
      <c r="IP184" s="699"/>
      <c r="IQ184" s="699"/>
      <c r="IR184" s="699"/>
      <c r="IS184" s="699"/>
      <c r="IT184" s="699"/>
    </row>
    <row r="185" s="694" customFormat="1" ht="36" customHeight="1" spans="1:254">
      <c r="A185" s="808">
        <v>44875</v>
      </c>
      <c r="B185" s="721" t="s">
        <v>90</v>
      </c>
      <c r="C185" s="721" t="s">
        <v>91</v>
      </c>
      <c r="D185" s="720">
        <v>4500090517</v>
      </c>
      <c r="E185" s="721">
        <v>1328827683</v>
      </c>
      <c r="F185" s="720" t="s">
        <v>1446</v>
      </c>
      <c r="G185" s="721" t="s">
        <v>3602</v>
      </c>
      <c r="H185" s="720">
        <v>640</v>
      </c>
      <c r="I185" s="720">
        <v>0</v>
      </c>
      <c r="J185" s="720">
        <v>4</v>
      </c>
      <c r="K185" s="755">
        <f t="shared" si="99"/>
        <v>160</v>
      </c>
      <c r="L185" s="758">
        <v>44921</v>
      </c>
      <c r="M185" s="760">
        <v>44917</v>
      </c>
      <c r="N185" s="839"/>
      <c r="O185" s="744" t="s">
        <v>3592</v>
      </c>
      <c r="P185" s="839"/>
      <c r="Q185" s="873" t="s">
        <v>3596</v>
      </c>
      <c r="R185" s="845"/>
      <c r="S185" s="845" t="s">
        <v>3597</v>
      </c>
      <c r="T185" s="744" t="s">
        <v>3598</v>
      </c>
      <c r="U185" s="856"/>
      <c r="V185" s="711" t="s">
        <v>3594</v>
      </c>
      <c r="W185" s="872">
        <v>0</v>
      </c>
      <c r="X185" s="757">
        <f t="shared" si="100"/>
        <v>0</v>
      </c>
      <c r="Y185" s="778"/>
      <c r="Z185" s="712" t="s">
        <v>63</v>
      </c>
      <c r="AA185" s="712"/>
      <c r="AB185" s="778"/>
      <c r="AC185" s="778"/>
      <c r="AD185" s="711">
        <f t="shared" si="103"/>
        <v>640</v>
      </c>
      <c r="AE185" s="711"/>
      <c r="AF185" s="711">
        <f>H185</f>
        <v>640</v>
      </c>
      <c r="AG185" s="800"/>
      <c r="AH185" s="800"/>
      <c r="AI185" s="800"/>
      <c r="AJ185" s="800"/>
      <c r="AK185" s="800"/>
      <c r="AL185" s="779"/>
      <c r="AM185" s="779"/>
      <c r="AN185" s="779"/>
      <c r="AO185" s="698">
        <f>H185</f>
        <v>640</v>
      </c>
      <c r="AP185" s="698">
        <f>H185</f>
        <v>640</v>
      </c>
      <c r="AQ185" s="711"/>
      <c r="AR185" s="698"/>
      <c r="AS185" s="698"/>
      <c r="AT185" s="698"/>
      <c r="AU185" s="698"/>
      <c r="AV185" s="698"/>
      <c r="AW185" s="698"/>
      <c r="AX185" s="698"/>
      <c r="AY185" s="698"/>
      <c r="AZ185" s="698"/>
      <c r="BA185" s="698"/>
      <c r="BB185" s="698"/>
      <c r="BC185" s="698"/>
      <c r="BD185" s="698"/>
      <c r="BE185" s="698"/>
      <c r="BF185" s="698"/>
      <c r="BG185" s="698"/>
      <c r="BH185" s="698"/>
      <c r="BI185" s="698"/>
      <c r="BJ185" s="698"/>
      <c r="BK185" s="698"/>
      <c r="BL185" s="698"/>
      <c r="BM185" s="698"/>
      <c r="BN185" s="698"/>
      <c r="BO185" s="698"/>
      <c r="BP185" s="698"/>
      <c r="BQ185" s="698"/>
      <c r="BR185" s="698"/>
      <c r="BS185" s="698"/>
      <c r="BT185" s="698"/>
      <c r="BU185" s="698"/>
      <c r="BV185" s="698"/>
      <c r="BW185" s="698"/>
      <c r="BX185" s="698"/>
      <c r="BY185" s="698"/>
      <c r="BZ185" s="698"/>
      <c r="CA185" s="698"/>
      <c r="CB185" s="698"/>
      <c r="CC185" s="698"/>
      <c r="CD185" s="698"/>
      <c r="CE185" s="698"/>
      <c r="CF185" s="698"/>
      <c r="CG185" s="698"/>
      <c r="CH185" s="698"/>
      <c r="CI185" s="698"/>
      <c r="CJ185" s="698"/>
      <c r="CK185" s="698"/>
      <c r="CL185" s="698"/>
      <c r="CM185" s="698"/>
      <c r="CN185" s="698"/>
      <c r="CO185" s="698"/>
      <c r="CP185" s="698"/>
      <c r="CQ185" s="698"/>
      <c r="CR185" s="698"/>
      <c r="CS185" s="698"/>
      <c r="CT185" s="698"/>
      <c r="CU185" s="698"/>
      <c r="CV185" s="698"/>
      <c r="CW185" s="698"/>
      <c r="CX185" s="698"/>
      <c r="CY185" s="698"/>
      <c r="CZ185" s="698"/>
      <c r="DA185" s="698"/>
      <c r="DB185" s="698"/>
      <c r="DC185" s="698"/>
      <c r="DD185" s="698"/>
      <c r="DE185" s="698"/>
      <c r="DF185" s="698"/>
      <c r="DG185" s="698"/>
      <c r="DH185" s="698"/>
      <c r="DI185" s="698"/>
      <c r="DJ185" s="698"/>
      <c r="DK185" s="698"/>
      <c r="DL185" s="698"/>
      <c r="DM185" s="698"/>
      <c r="DN185" s="698"/>
      <c r="DO185" s="698"/>
      <c r="DP185" s="698"/>
      <c r="DQ185" s="698"/>
      <c r="DR185" s="698"/>
      <c r="DS185" s="698"/>
      <c r="DT185" s="698"/>
      <c r="DU185" s="698"/>
      <c r="DV185" s="698"/>
      <c r="DW185" s="698"/>
      <c r="DX185" s="698"/>
      <c r="DY185" s="698"/>
      <c r="DZ185" s="698"/>
      <c r="EA185" s="698"/>
      <c r="EB185" s="698"/>
      <c r="EC185" s="698"/>
      <c r="ED185" s="698"/>
      <c r="EE185" s="698"/>
      <c r="EF185" s="698"/>
      <c r="EG185" s="698"/>
      <c r="EH185" s="698"/>
      <c r="EI185" s="698"/>
      <c r="EJ185" s="698"/>
      <c r="EK185" s="698"/>
      <c r="EL185" s="698"/>
      <c r="EM185" s="698"/>
      <c r="EN185" s="698"/>
      <c r="EO185" s="698"/>
      <c r="EP185" s="698"/>
      <c r="EQ185" s="698"/>
      <c r="ER185" s="698"/>
      <c r="ES185" s="698"/>
      <c r="ET185" s="698"/>
      <c r="EU185" s="698"/>
      <c r="EV185" s="698"/>
      <c r="EW185" s="698"/>
      <c r="EX185" s="698"/>
      <c r="EY185" s="698"/>
      <c r="EZ185" s="698"/>
      <c r="FA185" s="698"/>
      <c r="FB185" s="698"/>
      <c r="FC185" s="698"/>
      <c r="FD185" s="698"/>
      <c r="FE185" s="698"/>
      <c r="FF185" s="698"/>
      <c r="FG185" s="698"/>
      <c r="FH185" s="698"/>
      <c r="FI185" s="698"/>
      <c r="FJ185" s="698"/>
      <c r="FK185" s="799"/>
      <c r="FL185" s="799"/>
      <c r="FM185" s="799"/>
      <c r="FN185" s="799"/>
      <c r="FO185" s="799"/>
      <c r="FP185" s="799"/>
      <c r="FQ185" s="799"/>
      <c r="FR185" s="799"/>
      <c r="FS185" s="799"/>
      <c r="FT185" s="799"/>
      <c r="FU185" s="799"/>
      <c r="FV185" s="799"/>
      <c r="FW185" s="799"/>
      <c r="FX185" s="799"/>
      <c r="FY185" s="799"/>
      <c r="FZ185" s="799"/>
      <c r="GA185" s="799"/>
      <c r="GB185" s="799"/>
      <c r="GC185" s="799"/>
      <c r="GD185" s="799"/>
      <c r="GE185" s="799"/>
      <c r="GF185" s="799"/>
      <c r="GG185" s="799"/>
      <c r="GH185" s="799"/>
      <c r="GI185" s="799"/>
      <c r="GJ185" s="799"/>
      <c r="GK185" s="799"/>
      <c r="GL185" s="799"/>
      <c r="GM185" s="799"/>
      <c r="GN185" s="799"/>
      <c r="GO185" s="799"/>
      <c r="GP185" s="799"/>
      <c r="GQ185" s="799"/>
      <c r="GR185" s="799"/>
      <c r="GS185" s="799"/>
      <c r="GT185" s="799"/>
      <c r="GU185" s="799"/>
      <c r="GV185" s="799"/>
      <c r="GW185" s="799"/>
      <c r="GX185" s="799"/>
      <c r="GY185" s="799"/>
      <c r="GZ185" s="799"/>
      <c r="HA185" s="799"/>
      <c r="HB185" s="799"/>
      <c r="HC185" s="799"/>
      <c r="HD185" s="799"/>
      <c r="HE185" s="799"/>
      <c r="HF185" s="799"/>
      <c r="HG185" s="799"/>
      <c r="HH185" s="799"/>
      <c r="HI185" s="799"/>
      <c r="HJ185" s="799"/>
      <c r="HK185" s="799"/>
      <c r="HL185" s="799"/>
      <c r="HM185" s="799"/>
      <c r="HN185" s="799"/>
      <c r="HO185" s="699"/>
      <c r="HP185" s="699"/>
      <c r="HQ185" s="699"/>
      <c r="HR185" s="699"/>
      <c r="HS185" s="699"/>
      <c r="HT185" s="699"/>
      <c r="HU185" s="699"/>
      <c r="HV185" s="699"/>
      <c r="HW185" s="699"/>
      <c r="HX185" s="699"/>
      <c r="HY185" s="699"/>
      <c r="HZ185" s="699"/>
      <c r="IA185" s="699"/>
      <c r="IB185" s="699"/>
      <c r="IC185" s="699"/>
      <c r="ID185" s="699"/>
      <c r="IE185" s="699"/>
      <c r="IF185" s="699"/>
      <c r="IG185" s="699"/>
      <c r="IH185" s="699"/>
      <c r="II185" s="699"/>
      <c r="IJ185" s="699"/>
      <c r="IK185" s="699"/>
      <c r="IL185" s="699"/>
      <c r="IM185" s="699"/>
      <c r="IN185" s="699"/>
      <c r="IO185" s="699"/>
      <c r="IP185" s="699"/>
      <c r="IQ185" s="699"/>
      <c r="IR185" s="699"/>
      <c r="IS185" s="699"/>
      <c r="IT185" s="699"/>
    </row>
    <row r="186" s="694" customFormat="1" ht="36" customHeight="1" spans="1:254">
      <c r="A186" s="805">
        <v>44875</v>
      </c>
      <c r="B186" s="712" t="s">
        <v>90</v>
      </c>
      <c r="C186" s="721" t="s">
        <v>91</v>
      </c>
      <c r="D186" s="711">
        <v>4500090515</v>
      </c>
      <c r="E186" s="712">
        <v>1328827687</v>
      </c>
      <c r="F186" s="711" t="s">
        <v>3590</v>
      </c>
      <c r="G186" s="712" t="s">
        <v>3591</v>
      </c>
      <c r="H186" s="711">
        <v>1</v>
      </c>
      <c r="I186" s="711">
        <v>0</v>
      </c>
      <c r="J186" s="711">
        <v>1</v>
      </c>
      <c r="K186" s="698">
        <f t="shared" si="99"/>
        <v>1</v>
      </c>
      <c r="L186" s="777">
        <v>44925</v>
      </c>
      <c r="M186" s="727">
        <v>44921</v>
      </c>
      <c r="N186" s="744"/>
      <c r="O186" s="744" t="s">
        <v>3592</v>
      </c>
      <c r="P186" s="744"/>
      <c r="Q186" s="845"/>
      <c r="R186" s="845"/>
      <c r="S186" s="845"/>
      <c r="T186" s="744"/>
      <c r="U186" s="859" t="s">
        <v>3593</v>
      </c>
      <c r="V186" s="711" t="s">
        <v>3594</v>
      </c>
      <c r="W186" s="872">
        <v>1609.0328</v>
      </c>
      <c r="X186" s="757">
        <f t="shared" si="100"/>
        <v>1609.0328</v>
      </c>
      <c r="Y186" s="778"/>
      <c r="Z186" s="712" t="s">
        <v>63</v>
      </c>
      <c r="AA186" s="712"/>
      <c r="AB186" s="778"/>
      <c r="AC186" s="778"/>
      <c r="AD186" s="711"/>
      <c r="AE186" s="711"/>
      <c r="AF186" s="711"/>
      <c r="AG186" s="800"/>
      <c r="AH186" s="800"/>
      <c r="AI186" s="800"/>
      <c r="AJ186" s="800"/>
      <c r="AK186" s="800"/>
      <c r="AL186" s="779"/>
      <c r="AM186" s="779"/>
      <c r="AN186" s="779"/>
      <c r="AO186" s="698"/>
      <c r="AP186" s="698"/>
      <c r="AQ186" s="711"/>
      <c r="AR186" s="698"/>
      <c r="AS186" s="698"/>
      <c r="AT186" s="698"/>
      <c r="AU186" s="698"/>
      <c r="AV186" s="698"/>
      <c r="AW186" s="698"/>
      <c r="AX186" s="698"/>
      <c r="AY186" s="698"/>
      <c r="AZ186" s="698"/>
      <c r="BA186" s="698"/>
      <c r="BB186" s="698"/>
      <c r="BC186" s="698"/>
      <c r="BD186" s="698"/>
      <c r="BE186" s="698"/>
      <c r="BF186" s="698"/>
      <c r="BG186" s="698"/>
      <c r="BH186" s="698"/>
      <c r="BI186" s="698"/>
      <c r="BJ186" s="698"/>
      <c r="BK186" s="698"/>
      <c r="BL186" s="698"/>
      <c r="BM186" s="698"/>
      <c r="BN186" s="698"/>
      <c r="BO186" s="698"/>
      <c r="BP186" s="698"/>
      <c r="BQ186" s="698"/>
      <c r="BR186" s="698"/>
      <c r="BS186" s="698"/>
      <c r="BT186" s="698"/>
      <c r="BU186" s="698"/>
      <c r="BV186" s="698"/>
      <c r="BW186" s="698"/>
      <c r="BX186" s="698"/>
      <c r="BY186" s="698"/>
      <c r="BZ186" s="698"/>
      <c r="CA186" s="698"/>
      <c r="CB186" s="698"/>
      <c r="CC186" s="698"/>
      <c r="CD186" s="698"/>
      <c r="CE186" s="698"/>
      <c r="CF186" s="698"/>
      <c r="CG186" s="698"/>
      <c r="CH186" s="698"/>
      <c r="CI186" s="698"/>
      <c r="CJ186" s="698"/>
      <c r="CK186" s="698"/>
      <c r="CL186" s="698"/>
      <c r="CM186" s="698"/>
      <c r="CN186" s="698"/>
      <c r="CO186" s="698"/>
      <c r="CP186" s="698"/>
      <c r="CQ186" s="698"/>
      <c r="CR186" s="698"/>
      <c r="CS186" s="698"/>
      <c r="CT186" s="698"/>
      <c r="CU186" s="698"/>
      <c r="CV186" s="698"/>
      <c r="CW186" s="698"/>
      <c r="CX186" s="698"/>
      <c r="CY186" s="698"/>
      <c r="CZ186" s="698"/>
      <c r="DA186" s="698"/>
      <c r="DB186" s="698"/>
      <c r="DC186" s="698"/>
      <c r="DD186" s="698"/>
      <c r="DE186" s="698"/>
      <c r="DF186" s="698"/>
      <c r="DG186" s="698"/>
      <c r="DH186" s="698"/>
      <c r="DI186" s="698"/>
      <c r="DJ186" s="698"/>
      <c r="DK186" s="698"/>
      <c r="DL186" s="698"/>
      <c r="DM186" s="698"/>
      <c r="DN186" s="698"/>
      <c r="DO186" s="698"/>
      <c r="DP186" s="698"/>
      <c r="DQ186" s="698"/>
      <c r="DR186" s="698"/>
      <c r="DS186" s="698"/>
      <c r="DT186" s="698"/>
      <c r="DU186" s="698"/>
      <c r="DV186" s="698"/>
      <c r="DW186" s="698"/>
      <c r="DX186" s="698"/>
      <c r="DY186" s="698"/>
      <c r="DZ186" s="698"/>
      <c r="EA186" s="698"/>
      <c r="EB186" s="698"/>
      <c r="EC186" s="698"/>
      <c r="ED186" s="698"/>
      <c r="EE186" s="698"/>
      <c r="EF186" s="698"/>
      <c r="EG186" s="698"/>
      <c r="EH186" s="698"/>
      <c r="EI186" s="698"/>
      <c r="EJ186" s="698"/>
      <c r="EK186" s="698"/>
      <c r="EL186" s="698"/>
      <c r="EM186" s="698"/>
      <c r="EN186" s="698"/>
      <c r="EO186" s="698"/>
      <c r="EP186" s="698"/>
      <c r="EQ186" s="698"/>
      <c r="ER186" s="698"/>
      <c r="ES186" s="698"/>
      <c r="ET186" s="698"/>
      <c r="EU186" s="698"/>
      <c r="EV186" s="698"/>
      <c r="EW186" s="698"/>
      <c r="EX186" s="698"/>
      <c r="EY186" s="698"/>
      <c r="EZ186" s="698"/>
      <c r="FA186" s="698"/>
      <c r="FB186" s="698"/>
      <c r="FC186" s="698"/>
      <c r="FD186" s="698"/>
      <c r="FE186" s="698"/>
      <c r="FF186" s="698"/>
      <c r="FG186" s="698"/>
      <c r="FH186" s="698"/>
      <c r="FI186" s="698"/>
      <c r="FJ186" s="698"/>
      <c r="FK186" s="799"/>
      <c r="FL186" s="799"/>
      <c r="FM186" s="799"/>
      <c r="FN186" s="799"/>
      <c r="FO186" s="799"/>
      <c r="FP186" s="799"/>
      <c r="FQ186" s="799"/>
      <c r="FR186" s="799"/>
      <c r="FS186" s="799"/>
      <c r="FT186" s="799"/>
      <c r="FU186" s="799"/>
      <c r="FV186" s="799"/>
      <c r="FW186" s="799"/>
      <c r="FX186" s="799"/>
      <c r="FY186" s="799"/>
      <c r="FZ186" s="799"/>
      <c r="GA186" s="799"/>
      <c r="GB186" s="799"/>
      <c r="GC186" s="799"/>
      <c r="GD186" s="799"/>
      <c r="GE186" s="799"/>
      <c r="GF186" s="799"/>
      <c r="GG186" s="799"/>
      <c r="GH186" s="799"/>
      <c r="GI186" s="799"/>
      <c r="GJ186" s="799"/>
      <c r="GK186" s="799"/>
      <c r="GL186" s="799"/>
      <c r="GM186" s="799"/>
      <c r="GN186" s="799"/>
      <c r="GO186" s="799"/>
      <c r="GP186" s="799"/>
      <c r="GQ186" s="799"/>
      <c r="GR186" s="799"/>
      <c r="GS186" s="799"/>
      <c r="GT186" s="799"/>
      <c r="GU186" s="799"/>
      <c r="GV186" s="799"/>
      <c r="GW186" s="799"/>
      <c r="GX186" s="799"/>
      <c r="GY186" s="799"/>
      <c r="GZ186" s="799"/>
      <c r="HA186" s="799"/>
      <c r="HB186" s="799"/>
      <c r="HC186" s="799"/>
      <c r="HD186" s="799"/>
      <c r="HE186" s="799"/>
      <c r="HF186" s="799"/>
      <c r="HG186" s="799"/>
      <c r="HH186" s="799"/>
      <c r="HI186" s="799"/>
      <c r="HJ186" s="799"/>
      <c r="HK186" s="799"/>
      <c r="HL186" s="799"/>
      <c r="HM186" s="799"/>
      <c r="HN186" s="799"/>
      <c r="HO186" s="699"/>
      <c r="HP186" s="699"/>
      <c r="HQ186" s="699"/>
      <c r="HR186" s="699"/>
      <c r="HS186" s="699"/>
      <c r="HT186" s="699"/>
      <c r="HU186" s="699"/>
      <c r="HV186" s="699"/>
      <c r="HW186" s="699"/>
      <c r="HX186" s="699"/>
      <c r="HY186" s="699"/>
      <c r="HZ186" s="699"/>
      <c r="IA186" s="699"/>
      <c r="IB186" s="699"/>
      <c r="IC186" s="699"/>
      <c r="ID186" s="699"/>
      <c r="IE186" s="699"/>
      <c r="IF186" s="699"/>
      <c r="IG186" s="699"/>
      <c r="IH186" s="699"/>
      <c r="II186" s="699"/>
      <c r="IJ186" s="699"/>
      <c r="IK186" s="699"/>
      <c r="IL186" s="699"/>
      <c r="IM186" s="699"/>
      <c r="IN186" s="699"/>
      <c r="IO186" s="699"/>
      <c r="IP186" s="699"/>
      <c r="IQ186" s="699"/>
      <c r="IR186" s="699"/>
      <c r="IS186" s="699"/>
      <c r="IT186" s="699"/>
    </row>
    <row r="187" s="694" customFormat="1" ht="36" customHeight="1" spans="1:254">
      <c r="A187" s="805">
        <v>44875</v>
      </c>
      <c r="B187" s="712" t="s">
        <v>90</v>
      </c>
      <c r="C187" s="721" t="s">
        <v>91</v>
      </c>
      <c r="D187" s="711">
        <v>4500090515</v>
      </c>
      <c r="E187" s="712">
        <v>1328827687</v>
      </c>
      <c r="F187" s="711" t="s">
        <v>1447</v>
      </c>
      <c r="G187" s="712" t="s">
        <v>3595</v>
      </c>
      <c r="H187" s="711">
        <v>640</v>
      </c>
      <c r="I187" s="711">
        <v>0</v>
      </c>
      <c r="J187" s="711">
        <v>4</v>
      </c>
      <c r="K187" s="698">
        <f t="shared" si="99"/>
        <v>160</v>
      </c>
      <c r="L187" s="777">
        <v>44925</v>
      </c>
      <c r="M187" s="727">
        <v>44921</v>
      </c>
      <c r="N187" s="744"/>
      <c r="O187" s="744" t="s">
        <v>3592</v>
      </c>
      <c r="P187" s="744"/>
      <c r="Q187" s="873" t="s">
        <v>3596</v>
      </c>
      <c r="R187" s="845"/>
      <c r="S187" s="845" t="s">
        <v>3604</v>
      </c>
      <c r="T187" s="744" t="s">
        <v>3598</v>
      </c>
      <c r="U187" s="856"/>
      <c r="V187" s="711" t="s">
        <v>3594</v>
      </c>
      <c r="W187" s="872">
        <v>0</v>
      </c>
      <c r="X187" s="757">
        <f t="shared" si="100"/>
        <v>0</v>
      </c>
      <c r="Y187" s="778"/>
      <c r="Z187" s="712" t="s">
        <v>63</v>
      </c>
      <c r="AA187" s="712"/>
      <c r="AB187" s="778"/>
      <c r="AC187" s="778"/>
      <c r="AD187" s="711">
        <f t="shared" si="103"/>
        <v>640</v>
      </c>
      <c r="AE187" s="711">
        <f>H187</f>
        <v>640</v>
      </c>
      <c r="AF187" s="711"/>
      <c r="AG187" s="800"/>
      <c r="AH187" s="800"/>
      <c r="AI187" s="800"/>
      <c r="AJ187" s="800"/>
      <c r="AK187" s="800"/>
      <c r="AL187" s="779"/>
      <c r="AM187" s="779"/>
      <c r="AN187" s="779"/>
      <c r="AO187" s="698"/>
      <c r="AP187" s="698"/>
      <c r="AQ187" s="711">
        <f>H187</f>
        <v>640</v>
      </c>
      <c r="AR187" s="698">
        <f>H187</f>
        <v>640</v>
      </c>
      <c r="AS187" s="698"/>
      <c r="AT187" s="698"/>
      <c r="AU187" s="698"/>
      <c r="AV187" s="698"/>
      <c r="AW187" s="698"/>
      <c r="AX187" s="698"/>
      <c r="AY187" s="698"/>
      <c r="AZ187" s="698"/>
      <c r="BA187" s="698"/>
      <c r="BB187" s="698"/>
      <c r="BC187" s="698"/>
      <c r="BD187" s="698"/>
      <c r="BE187" s="698"/>
      <c r="BF187" s="698"/>
      <c r="BG187" s="698"/>
      <c r="BH187" s="698"/>
      <c r="BI187" s="698"/>
      <c r="BJ187" s="698"/>
      <c r="BK187" s="698"/>
      <c r="BL187" s="698"/>
      <c r="BM187" s="698"/>
      <c r="BN187" s="698"/>
      <c r="BO187" s="698"/>
      <c r="BP187" s="698"/>
      <c r="BQ187" s="698"/>
      <c r="BR187" s="698"/>
      <c r="BS187" s="698"/>
      <c r="BT187" s="698"/>
      <c r="BU187" s="698"/>
      <c r="BV187" s="698"/>
      <c r="BW187" s="698"/>
      <c r="BX187" s="698"/>
      <c r="BY187" s="698"/>
      <c r="BZ187" s="698"/>
      <c r="CA187" s="698"/>
      <c r="CB187" s="698"/>
      <c r="CC187" s="698"/>
      <c r="CD187" s="698"/>
      <c r="CE187" s="698"/>
      <c r="CF187" s="698"/>
      <c r="CG187" s="698"/>
      <c r="CH187" s="698"/>
      <c r="CI187" s="698"/>
      <c r="CJ187" s="698"/>
      <c r="CK187" s="698"/>
      <c r="CL187" s="698"/>
      <c r="CM187" s="698"/>
      <c r="CN187" s="698"/>
      <c r="CO187" s="698"/>
      <c r="CP187" s="698"/>
      <c r="CQ187" s="698"/>
      <c r="CR187" s="698"/>
      <c r="CS187" s="698"/>
      <c r="CT187" s="698"/>
      <c r="CU187" s="698"/>
      <c r="CV187" s="698"/>
      <c r="CW187" s="698"/>
      <c r="CX187" s="698"/>
      <c r="CY187" s="698"/>
      <c r="CZ187" s="698"/>
      <c r="DA187" s="698"/>
      <c r="DB187" s="698"/>
      <c r="DC187" s="698"/>
      <c r="DD187" s="698"/>
      <c r="DE187" s="698"/>
      <c r="DF187" s="698"/>
      <c r="DG187" s="698"/>
      <c r="DH187" s="698"/>
      <c r="DI187" s="698"/>
      <c r="DJ187" s="698"/>
      <c r="DK187" s="698"/>
      <c r="DL187" s="698"/>
      <c r="DM187" s="698"/>
      <c r="DN187" s="698"/>
      <c r="DO187" s="698"/>
      <c r="DP187" s="698"/>
      <c r="DQ187" s="698"/>
      <c r="DR187" s="698"/>
      <c r="DS187" s="698"/>
      <c r="DT187" s="698"/>
      <c r="DU187" s="698"/>
      <c r="DV187" s="698"/>
      <c r="DW187" s="698"/>
      <c r="DX187" s="698"/>
      <c r="DY187" s="698"/>
      <c r="DZ187" s="698"/>
      <c r="EA187" s="698"/>
      <c r="EB187" s="698"/>
      <c r="EC187" s="698"/>
      <c r="ED187" s="698"/>
      <c r="EE187" s="698"/>
      <c r="EF187" s="698"/>
      <c r="EG187" s="698"/>
      <c r="EH187" s="698"/>
      <c r="EI187" s="698"/>
      <c r="EJ187" s="698"/>
      <c r="EK187" s="698"/>
      <c r="EL187" s="698"/>
      <c r="EM187" s="698"/>
      <c r="EN187" s="698"/>
      <c r="EO187" s="698"/>
      <c r="EP187" s="698"/>
      <c r="EQ187" s="698"/>
      <c r="ER187" s="698"/>
      <c r="ES187" s="698"/>
      <c r="ET187" s="698"/>
      <c r="EU187" s="698"/>
      <c r="EV187" s="698"/>
      <c r="EW187" s="698"/>
      <c r="EX187" s="698"/>
      <c r="EY187" s="698"/>
      <c r="EZ187" s="698"/>
      <c r="FA187" s="698"/>
      <c r="FB187" s="698"/>
      <c r="FC187" s="698"/>
      <c r="FD187" s="698"/>
      <c r="FE187" s="698"/>
      <c r="FF187" s="698"/>
      <c r="FG187" s="698"/>
      <c r="FH187" s="698"/>
      <c r="FI187" s="698"/>
      <c r="FJ187" s="698"/>
      <c r="FK187" s="799"/>
      <c r="FL187" s="799"/>
      <c r="FM187" s="799"/>
      <c r="FN187" s="799"/>
      <c r="FO187" s="799"/>
      <c r="FP187" s="799"/>
      <c r="FQ187" s="799"/>
      <c r="FR187" s="799"/>
      <c r="FS187" s="799"/>
      <c r="FT187" s="799"/>
      <c r="FU187" s="799"/>
      <c r="FV187" s="799"/>
      <c r="FW187" s="799"/>
      <c r="FX187" s="799"/>
      <c r="FY187" s="799"/>
      <c r="FZ187" s="799"/>
      <c r="GA187" s="799"/>
      <c r="GB187" s="799"/>
      <c r="GC187" s="799"/>
      <c r="GD187" s="799"/>
      <c r="GE187" s="799"/>
      <c r="GF187" s="799"/>
      <c r="GG187" s="799"/>
      <c r="GH187" s="799"/>
      <c r="GI187" s="799"/>
      <c r="GJ187" s="799"/>
      <c r="GK187" s="799"/>
      <c r="GL187" s="799"/>
      <c r="GM187" s="799"/>
      <c r="GN187" s="799"/>
      <c r="GO187" s="799"/>
      <c r="GP187" s="799"/>
      <c r="GQ187" s="799"/>
      <c r="GR187" s="799"/>
      <c r="GS187" s="799"/>
      <c r="GT187" s="799"/>
      <c r="GU187" s="799"/>
      <c r="GV187" s="799"/>
      <c r="GW187" s="799"/>
      <c r="GX187" s="799"/>
      <c r="GY187" s="799"/>
      <c r="GZ187" s="799"/>
      <c r="HA187" s="799"/>
      <c r="HB187" s="799"/>
      <c r="HC187" s="799"/>
      <c r="HD187" s="799"/>
      <c r="HE187" s="799"/>
      <c r="HF187" s="799"/>
      <c r="HG187" s="799"/>
      <c r="HH187" s="799"/>
      <c r="HI187" s="799"/>
      <c r="HJ187" s="799"/>
      <c r="HK187" s="799"/>
      <c r="HL187" s="799"/>
      <c r="HM187" s="799"/>
      <c r="HN187" s="799"/>
      <c r="HO187" s="699"/>
      <c r="HP187" s="699"/>
      <c r="HQ187" s="699"/>
      <c r="HR187" s="699"/>
      <c r="HS187" s="699"/>
      <c r="HT187" s="699"/>
      <c r="HU187" s="699"/>
      <c r="HV187" s="699"/>
      <c r="HW187" s="699"/>
      <c r="HX187" s="699"/>
      <c r="HY187" s="699"/>
      <c r="HZ187" s="699"/>
      <c r="IA187" s="699"/>
      <c r="IB187" s="699"/>
      <c r="IC187" s="699"/>
      <c r="ID187" s="699"/>
      <c r="IE187" s="699"/>
      <c r="IF187" s="699"/>
      <c r="IG187" s="699"/>
      <c r="IH187" s="699"/>
      <c r="II187" s="699"/>
      <c r="IJ187" s="699"/>
      <c r="IK187" s="699"/>
      <c r="IL187" s="699"/>
      <c r="IM187" s="699"/>
      <c r="IN187" s="699"/>
      <c r="IO187" s="699"/>
      <c r="IP187" s="699"/>
      <c r="IQ187" s="699"/>
      <c r="IR187" s="699"/>
      <c r="IS187" s="699"/>
      <c r="IT187" s="699"/>
    </row>
    <row r="188" s="694" customFormat="1" ht="36" customHeight="1" spans="1:254">
      <c r="A188" s="805">
        <v>44875</v>
      </c>
      <c r="B188" s="712" t="s">
        <v>90</v>
      </c>
      <c r="C188" s="721" t="s">
        <v>91</v>
      </c>
      <c r="D188" s="711">
        <v>4500090515</v>
      </c>
      <c r="E188" s="712">
        <v>1328827690</v>
      </c>
      <c r="F188" s="711" t="s">
        <v>3599</v>
      </c>
      <c r="G188" s="712" t="s">
        <v>3600</v>
      </c>
      <c r="H188" s="711">
        <v>1</v>
      </c>
      <c r="I188" s="711">
        <v>0</v>
      </c>
      <c r="J188" s="711">
        <v>1</v>
      </c>
      <c r="K188" s="698">
        <f t="shared" si="99"/>
        <v>1</v>
      </c>
      <c r="L188" s="777">
        <v>44925</v>
      </c>
      <c r="M188" s="727">
        <v>44921</v>
      </c>
      <c r="N188" s="744"/>
      <c r="O188" s="744" t="s">
        <v>3592</v>
      </c>
      <c r="P188" s="744"/>
      <c r="Q188" s="845"/>
      <c r="R188" s="845"/>
      <c r="S188" s="845"/>
      <c r="T188" s="744"/>
      <c r="U188" s="859" t="s">
        <v>3601</v>
      </c>
      <c r="V188" s="711" t="s">
        <v>3594</v>
      </c>
      <c r="W188" s="872">
        <v>1628.5247</v>
      </c>
      <c r="X188" s="757">
        <f t="shared" si="100"/>
        <v>1628.5247</v>
      </c>
      <c r="Y188" s="778"/>
      <c r="Z188" s="712" t="s">
        <v>63</v>
      </c>
      <c r="AA188" s="712"/>
      <c r="AB188" s="778"/>
      <c r="AC188" s="778"/>
      <c r="AD188" s="711"/>
      <c r="AE188" s="711"/>
      <c r="AF188" s="711"/>
      <c r="AG188" s="800"/>
      <c r="AH188" s="800"/>
      <c r="AI188" s="800"/>
      <c r="AJ188" s="800"/>
      <c r="AK188" s="800"/>
      <c r="AL188" s="779"/>
      <c r="AM188" s="779"/>
      <c r="AN188" s="779"/>
      <c r="AO188" s="698"/>
      <c r="AP188" s="698"/>
      <c r="AQ188" s="711"/>
      <c r="AR188" s="698"/>
      <c r="AS188" s="698"/>
      <c r="AT188" s="698"/>
      <c r="AU188" s="698"/>
      <c r="AV188" s="698"/>
      <c r="AW188" s="698"/>
      <c r="AX188" s="698"/>
      <c r="AY188" s="698"/>
      <c r="AZ188" s="698"/>
      <c r="BA188" s="698"/>
      <c r="BB188" s="698"/>
      <c r="BC188" s="698"/>
      <c r="BD188" s="698"/>
      <c r="BE188" s="698"/>
      <c r="BF188" s="698"/>
      <c r="BG188" s="698"/>
      <c r="BH188" s="698"/>
      <c r="BI188" s="698"/>
      <c r="BJ188" s="698"/>
      <c r="BK188" s="698"/>
      <c r="BL188" s="698"/>
      <c r="BM188" s="698"/>
      <c r="BN188" s="698"/>
      <c r="BO188" s="698"/>
      <c r="BP188" s="698"/>
      <c r="BQ188" s="698"/>
      <c r="BR188" s="698"/>
      <c r="BS188" s="698"/>
      <c r="BT188" s="698"/>
      <c r="BU188" s="698"/>
      <c r="BV188" s="698"/>
      <c r="BW188" s="698"/>
      <c r="BX188" s="698"/>
      <c r="BY188" s="698"/>
      <c r="BZ188" s="698"/>
      <c r="CA188" s="698"/>
      <c r="CB188" s="698"/>
      <c r="CC188" s="698"/>
      <c r="CD188" s="698"/>
      <c r="CE188" s="698"/>
      <c r="CF188" s="698"/>
      <c r="CG188" s="698"/>
      <c r="CH188" s="698"/>
      <c r="CI188" s="698"/>
      <c r="CJ188" s="698"/>
      <c r="CK188" s="698"/>
      <c r="CL188" s="698"/>
      <c r="CM188" s="698"/>
      <c r="CN188" s="698"/>
      <c r="CO188" s="698"/>
      <c r="CP188" s="698"/>
      <c r="CQ188" s="698"/>
      <c r="CR188" s="698"/>
      <c r="CS188" s="698"/>
      <c r="CT188" s="698"/>
      <c r="CU188" s="698"/>
      <c r="CV188" s="698"/>
      <c r="CW188" s="698"/>
      <c r="CX188" s="698"/>
      <c r="CY188" s="698"/>
      <c r="CZ188" s="698"/>
      <c r="DA188" s="698"/>
      <c r="DB188" s="698"/>
      <c r="DC188" s="698"/>
      <c r="DD188" s="698"/>
      <c r="DE188" s="698"/>
      <c r="DF188" s="698"/>
      <c r="DG188" s="698"/>
      <c r="DH188" s="698"/>
      <c r="DI188" s="698"/>
      <c r="DJ188" s="698"/>
      <c r="DK188" s="698"/>
      <c r="DL188" s="698"/>
      <c r="DM188" s="698"/>
      <c r="DN188" s="698"/>
      <c r="DO188" s="698"/>
      <c r="DP188" s="698"/>
      <c r="DQ188" s="698"/>
      <c r="DR188" s="698"/>
      <c r="DS188" s="698"/>
      <c r="DT188" s="698"/>
      <c r="DU188" s="698"/>
      <c r="DV188" s="698"/>
      <c r="DW188" s="698"/>
      <c r="DX188" s="698"/>
      <c r="DY188" s="698"/>
      <c r="DZ188" s="698"/>
      <c r="EA188" s="698"/>
      <c r="EB188" s="698"/>
      <c r="EC188" s="698"/>
      <c r="ED188" s="698"/>
      <c r="EE188" s="698"/>
      <c r="EF188" s="698"/>
      <c r="EG188" s="698"/>
      <c r="EH188" s="698"/>
      <c r="EI188" s="698"/>
      <c r="EJ188" s="698"/>
      <c r="EK188" s="698"/>
      <c r="EL188" s="698"/>
      <c r="EM188" s="698"/>
      <c r="EN188" s="698"/>
      <c r="EO188" s="698"/>
      <c r="EP188" s="698"/>
      <c r="EQ188" s="698"/>
      <c r="ER188" s="698"/>
      <c r="ES188" s="698"/>
      <c r="ET188" s="698"/>
      <c r="EU188" s="698"/>
      <c r="EV188" s="698"/>
      <c r="EW188" s="698"/>
      <c r="EX188" s="698"/>
      <c r="EY188" s="698"/>
      <c r="EZ188" s="698"/>
      <c r="FA188" s="698"/>
      <c r="FB188" s="698"/>
      <c r="FC188" s="698"/>
      <c r="FD188" s="698"/>
      <c r="FE188" s="698"/>
      <c r="FF188" s="698"/>
      <c r="FG188" s="698"/>
      <c r="FH188" s="698"/>
      <c r="FI188" s="698"/>
      <c r="FJ188" s="698"/>
      <c r="FK188" s="799"/>
      <c r="FL188" s="799"/>
      <c r="FM188" s="799"/>
      <c r="FN188" s="799"/>
      <c r="FO188" s="799"/>
      <c r="FP188" s="799"/>
      <c r="FQ188" s="799"/>
      <c r="FR188" s="799"/>
      <c r="FS188" s="799"/>
      <c r="FT188" s="799"/>
      <c r="FU188" s="799"/>
      <c r="FV188" s="799"/>
      <c r="FW188" s="799"/>
      <c r="FX188" s="799"/>
      <c r="FY188" s="799"/>
      <c r="FZ188" s="799"/>
      <c r="GA188" s="799"/>
      <c r="GB188" s="799"/>
      <c r="GC188" s="799"/>
      <c r="GD188" s="799"/>
      <c r="GE188" s="799"/>
      <c r="GF188" s="799"/>
      <c r="GG188" s="799"/>
      <c r="GH188" s="799"/>
      <c r="GI188" s="799"/>
      <c r="GJ188" s="799"/>
      <c r="GK188" s="799"/>
      <c r="GL188" s="799"/>
      <c r="GM188" s="799"/>
      <c r="GN188" s="799"/>
      <c r="GO188" s="799"/>
      <c r="GP188" s="799"/>
      <c r="GQ188" s="799"/>
      <c r="GR188" s="799"/>
      <c r="GS188" s="799"/>
      <c r="GT188" s="799"/>
      <c r="GU188" s="799"/>
      <c r="GV188" s="799"/>
      <c r="GW188" s="799"/>
      <c r="GX188" s="799"/>
      <c r="GY188" s="799"/>
      <c r="GZ188" s="799"/>
      <c r="HA188" s="799"/>
      <c r="HB188" s="799"/>
      <c r="HC188" s="799"/>
      <c r="HD188" s="799"/>
      <c r="HE188" s="799"/>
      <c r="HF188" s="799"/>
      <c r="HG188" s="799"/>
      <c r="HH188" s="799"/>
      <c r="HI188" s="799"/>
      <c r="HJ188" s="799"/>
      <c r="HK188" s="799"/>
      <c r="HL188" s="799"/>
      <c r="HM188" s="799"/>
      <c r="HN188" s="799"/>
      <c r="HO188" s="699"/>
      <c r="HP188" s="699"/>
      <c r="HQ188" s="699"/>
      <c r="HR188" s="699"/>
      <c r="HS188" s="699"/>
      <c r="HT188" s="699"/>
      <c r="HU188" s="699"/>
      <c r="HV188" s="699"/>
      <c r="HW188" s="699"/>
      <c r="HX188" s="699"/>
      <c r="HY188" s="699"/>
      <c r="HZ188" s="699"/>
      <c r="IA188" s="699"/>
      <c r="IB188" s="699"/>
      <c r="IC188" s="699"/>
      <c r="ID188" s="699"/>
      <c r="IE188" s="699"/>
      <c r="IF188" s="699"/>
      <c r="IG188" s="699"/>
      <c r="IH188" s="699"/>
      <c r="II188" s="699"/>
      <c r="IJ188" s="699"/>
      <c r="IK188" s="699"/>
      <c r="IL188" s="699"/>
      <c r="IM188" s="699"/>
      <c r="IN188" s="699"/>
      <c r="IO188" s="699"/>
      <c r="IP188" s="699"/>
      <c r="IQ188" s="699"/>
      <c r="IR188" s="699"/>
      <c r="IS188" s="699"/>
      <c r="IT188" s="699"/>
    </row>
    <row r="189" s="694" customFormat="1" ht="36" customHeight="1" spans="1:254">
      <c r="A189" s="805">
        <v>44875</v>
      </c>
      <c r="B189" s="712" t="s">
        <v>90</v>
      </c>
      <c r="C189" s="721" t="s">
        <v>91</v>
      </c>
      <c r="D189" s="711">
        <v>4500090515</v>
      </c>
      <c r="E189" s="712">
        <v>1328827690</v>
      </c>
      <c r="F189" s="711" t="s">
        <v>1446</v>
      </c>
      <c r="G189" s="712" t="s">
        <v>3602</v>
      </c>
      <c r="H189" s="711">
        <v>640</v>
      </c>
      <c r="I189" s="711">
        <v>0</v>
      </c>
      <c r="J189" s="711">
        <v>4</v>
      </c>
      <c r="K189" s="698">
        <f t="shared" si="99"/>
        <v>160</v>
      </c>
      <c r="L189" s="777">
        <v>44925</v>
      </c>
      <c r="M189" s="727">
        <v>44921</v>
      </c>
      <c r="N189" s="744"/>
      <c r="O189" s="744" t="s">
        <v>3592</v>
      </c>
      <c r="P189" s="744"/>
      <c r="Q189" s="873" t="s">
        <v>3596</v>
      </c>
      <c r="R189" s="845"/>
      <c r="S189" s="845" t="s">
        <v>3604</v>
      </c>
      <c r="T189" s="744" t="s">
        <v>3598</v>
      </c>
      <c r="U189" s="856"/>
      <c r="V189" s="711" t="s">
        <v>3594</v>
      </c>
      <c r="W189" s="872">
        <v>0</v>
      </c>
      <c r="X189" s="757">
        <f t="shared" si="100"/>
        <v>0</v>
      </c>
      <c r="Y189" s="778"/>
      <c r="Z189" s="712" t="s">
        <v>63</v>
      </c>
      <c r="AA189" s="712"/>
      <c r="AB189" s="778"/>
      <c r="AC189" s="778"/>
      <c r="AD189" s="711">
        <f t="shared" ref="AD189:AD193" si="104">H189</f>
        <v>640</v>
      </c>
      <c r="AE189" s="711"/>
      <c r="AF189" s="711">
        <f>H189</f>
        <v>640</v>
      </c>
      <c r="AG189" s="800"/>
      <c r="AH189" s="800"/>
      <c r="AI189" s="800"/>
      <c r="AJ189" s="800"/>
      <c r="AK189" s="800"/>
      <c r="AL189" s="779"/>
      <c r="AM189" s="779"/>
      <c r="AN189" s="779"/>
      <c r="AO189" s="698">
        <f>H189</f>
        <v>640</v>
      </c>
      <c r="AP189" s="698">
        <f>H189</f>
        <v>640</v>
      </c>
      <c r="AQ189" s="711"/>
      <c r="AR189" s="698"/>
      <c r="AS189" s="698"/>
      <c r="AT189" s="698"/>
      <c r="AU189" s="698"/>
      <c r="AV189" s="698"/>
      <c r="AW189" s="698"/>
      <c r="AX189" s="698"/>
      <c r="AY189" s="698"/>
      <c r="AZ189" s="698"/>
      <c r="BA189" s="698"/>
      <c r="BB189" s="698"/>
      <c r="BC189" s="698"/>
      <c r="BD189" s="698"/>
      <c r="BE189" s="698"/>
      <c r="BF189" s="698"/>
      <c r="BG189" s="698"/>
      <c r="BH189" s="698"/>
      <c r="BI189" s="698"/>
      <c r="BJ189" s="698"/>
      <c r="BK189" s="698"/>
      <c r="BL189" s="698"/>
      <c r="BM189" s="698"/>
      <c r="BN189" s="698"/>
      <c r="BO189" s="698"/>
      <c r="BP189" s="698"/>
      <c r="BQ189" s="698"/>
      <c r="BR189" s="698"/>
      <c r="BS189" s="698"/>
      <c r="BT189" s="698"/>
      <c r="BU189" s="698"/>
      <c r="BV189" s="698"/>
      <c r="BW189" s="698"/>
      <c r="BX189" s="698"/>
      <c r="BY189" s="698"/>
      <c r="BZ189" s="698"/>
      <c r="CA189" s="698"/>
      <c r="CB189" s="698"/>
      <c r="CC189" s="698"/>
      <c r="CD189" s="698"/>
      <c r="CE189" s="698"/>
      <c r="CF189" s="698"/>
      <c r="CG189" s="698"/>
      <c r="CH189" s="698"/>
      <c r="CI189" s="698"/>
      <c r="CJ189" s="698"/>
      <c r="CK189" s="698"/>
      <c r="CL189" s="698"/>
      <c r="CM189" s="698"/>
      <c r="CN189" s="698"/>
      <c r="CO189" s="698"/>
      <c r="CP189" s="698"/>
      <c r="CQ189" s="698"/>
      <c r="CR189" s="698"/>
      <c r="CS189" s="698"/>
      <c r="CT189" s="698"/>
      <c r="CU189" s="698"/>
      <c r="CV189" s="698"/>
      <c r="CW189" s="698"/>
      <c r="CX189" s="698"/>
      <c r="CY189" s="698"/>
      <c r="CZ189" s="698"/>
      <c r="DA189" s="698"/>
      <c r="DB189" s="698"/>
      <c r="DC189" s="698"/>
      <c r="DD189" s="698"/>
      <c r="DE189" s="698"/>
      <c r="DF189" s="698"/>
      <c r="DG189" s="698"/>
      <c r="DH189" s="698"/>
      <c r="DI189" s="698"/>
      <c r="DJ189" s="698"/>
      <c r="DK189" s="698"/>
      <c r="DL189" s="698"/>
      <c r="DM189" s="698"/>
      <c r="DN189" s="698"/>
      <c r="DO189" s="698"/>
      <c r="DP189" s="698"/>
      <c r="DQ189" s="698"/>
      <c r="DR189" s="698"/>
      <c r="DS189" s="698"/>
      <c r="DT189" s="698"/>
      <c r="DU189" s="698"/>
      <c r="DV189" s="698"/>
      <c r="DW189" s="698"/>
      <c r="DX189" s="698"/>
      <c r="DY189" s="698"/>
      <c r="DZ189" s="698"/>
      <c r="EA189" s="698"/>
      <c r="EB189" s="698"/>
      <c r="EC189" s="698"/>
      <c r="ED189" s="698"/>
      <c r="EE189" s="698"/>
      <c r="EF189" s="698"/>
      <c r="EG189" s="698"/>
      <c r="EH189" s="698"/>
      <c r="EI189" s="698"/>
      <c r="EJ189" s="698"/>
      <c r="EK189" s="698"/>
      <c r="EL189" s="698"/>
      <c r="EM189" s="698"/>
      <c r="EN189" s="698"/>
      <c r="EO189" s="698"/>
      <c r="EP189" s="698"/>
      <c r="EQ189" s="698"/>
      <c r="ER189" s="698"/>
      <c r="ES189" s="698"/>
      <c r="ET189" s="698"/>
      <c r="EU189" s="698"/>
      <c r="EV189" s="698"/>
      <c r="EW189" s="698"/>
      <c r="EX189" s="698"/>
      <c r="EY189" s="698"/>
      <c r="EZ189" s="698"/>
      <c r="FA189" s="698"/>
      <c r="FB189" s="698"/>
      <c r="FC189" s="698"/>
      <c r="FD189" s="698"/>
      <c r="FE189" s="698"/>
      <c r="FF189" s="698"/>
      <c r="FG189" s="698"/>
      <c r="FH189" s="698"/>
      <c r="FI189" s="698"/>
      <c r="FJ189" s="698"/>
      <c r="FK189" s="799"/>
      <c r="FL189" s="799"/>
      <c r="FM189" s="799"/>
      <c r="FN189" s="799"/>
      <c r="FO189" s="799"/>
      <c r="FP189" s="799"/>
      <c r="FQ189" s="799"/>
      <c r="FR189" s="799"/>
      <c r="FS189" s="799"/>
      <c r="FT189" s="799"/>
      <c r="FU189" s="799"/>
      <c r="FV189" s="799"/>
      <c r="FW189" s="799"/>
      <c r="FX189" s="799"/>
      <c r="FY189" s="799"/>
      <c r="FZ189" s="799"/>
      <c r="GA189" s="799"/>
      <c r="GB189" s="799"/>
      <c r="GC189" s="799"/>
      <c r="GD189" s="799"/>
      <c r="GE189" s="799"/>
      <c r="GF189" s="799"/>
      <c r="GG189" s="799"/>
      <c r="GH189" s="799"/>
      <c r="GI189" s="799"/>
      <c r="GJ189" s="799"/>
      <c r="GK189" s="799"/>
      <c r="GL189" s="799"/>
      <c r="GM189" s="799"/>
      <c r="GN189" s="799"/>
      <c r="GO189" s="799"/>
      <c r="GP189" s="799"/>
      <c r="GQ189" s="799"/>
      <c r="GR189" s="799"/>
      <c r="GS189" s="799"/>
      <c r="GT189" s="799"/>
      <c r="GU189" s="799"/>
      <c r="GV189" s="799"/>
      <c r="GW189" s="799"/>
      <c r="GX189" s="799"/>
      <c r="GY189" s="799"/>
      <c r="GZ189" s="799"/>
      <c r="HA189" s="799"/>
      <c r="HB189" s="799"/>
      <c r="HC189" s="799"/>
      <c r="HD189" s="799"/>
      <c r="HE189" s="799"/>
      <c r="HF189" s="799"/>
      <c r="HG189" s="799"/>
      <c r="HH189" s="799"/>
      <c r="HI189" s="799"/>
      <c r="HJ189" s="799"/>
      <c r="HK189" s="799"/>
      <c r="HL189" s="799"/>
      <c r="HM189" s="799"/>
      <c r="HN189" s="799"/>
      <c r="HO189" s="699"/>
      <c r="HP189" s="699"/>
      <c r="HQ189" s="699"/>
      <c r="HR189" s="699"/>
      <c r="HS189" s="699"/>
      <c r="HT189" s="699"/>
      <c r="HU189" s="699"/>
      <c r="HV189" s="699"/>
      <c r="HW189" s="699"/>
      <c r="HX189" s="699"/>
      <c r="HY189" s="699"/>
      <c r="HZ189" s="699"/>
      <c r="IA189" s="699"/>
      <c r="IB189" s="699"/>
      <c r="IC189" s="699"/>
      <c r="ID189" s="699"/>
      <c r="IE189" s="699"/>
      <c r="IF189" s="699"/>
      <c r="IG189" s="699"/>
      <c r="IH189" s="699"/>
      <c r="II189" s="699"/>
      <c r="IJ189" s="699"/>
      <c r="IK189" s="699"/>
      <c r="IL189" s="699"/>
      <c r="IM189" s="699"/>
      <c r="IN189" s="699"/>
      <c r="IO189" s="699"/>
      <c r="IP189" s="699"/>
      <c r="IQ189" s="699"/>
      <c r="IR189" s="699"/>
      <c r="IS189" s="699"/>
      <c r="IT189" s="699"/>
    </row>
    <row r="190" s="694" customFormat="1" ht="36" customHeight="1" spans="1:254">
      <c r="A190" s="805">
        <v>44875</v>
      </c>
      <c r="B190" s="712" t="s">
        <v>90</v>
      </c>
      <c r="C190" s="721" t="s">
        <v>91</v>
      </c>
      <c r="D190" s="711">
        <v>4500090518</v>
      </c>
      <c r="E190" s="712">
        <v>1328827692</v>
      </c>
      <c r="F190" s="711" t="s">
        <v>3590</v>
      </c>
      <c r="G190" s="712" t="s">
        <v>3591</v>
      </c>
      <c r="H190" s="711">
        <v>2</v>
      </c>
      <c r="I190" s="711">
        <v>0</v>
      </c>
      <c r="J190" s="711">
        <v>1</v>
      </c>
      <c r="K190" s="698">
        <f t="shared" si="99"/>
        <v>2</v>
      </c>
      <c r="L190" s="777">
        <v>44925</v>
      </c>
      <c r="M190" s="727">
        <v>44921</v>
      </c>
      <c r="N190" s="744"/>
      <c r="O190" s="744" t="s">
        <v>3592</v>
      </c>
      <c r="P190" s="744"/>
      <c r="Q190" s="845"/>
      <c r="R190" s="845"/>
      <c r="S190" s="845"/>
      <c r="T190" s="744"/>
      <c r="U190" s="859" t="s">
        <v>3593</v>
      </c>
      <c r="V190" s="711" t="s">
        <v>3594</v>
      </c>
      <c r="W190" s="872">
        <v>1609.0328</v>
      </c>
      <c r="X190" s="757">
        <f t="shared" si="100"/>
        <v>3218.0656</v>
      </c>
      <c r="Y190" s="778"/>
      <c r="Z190" s="712" t="s">
        <v>63</v>
      </c>
      <c r="AA190" s="712"/>
      <c r="AB190" s="778"/>
      <c r="AC190" s="778"/>
      <c r="AD190" s="711"/>
      <c r="AE190" s="711"/>
      <c r="AF190" s="711"/>
      <c r="AG190" s="800"/>
      <c r="AH190" s="800"/>
      <c r="AI190" s="800"/>
      <c r="AJ190" s="800"/>
      <c r="AK190" s="800"/>
      <c r="AL190" s="779"/>
      <c r="AM190" s="779"/>
      <c r="AN190" s="779"/>
      <c r="AO190" s="698"/>
      <c r="AP190" s="698"/>
      <c r="AQ190" s="711"/>
      <c r="AR190" s="698"/>
      <c r="AS190" s="698"/>
      <c r="AT190" s="698"/>
      <c r="AU190" s="698"/>
      <c r="AV190" s="698"/>
      <c r="AW190" s="698"/>
      <c r="AX190" s="698"/>
      <c r="AY190" s="698"/>
      <c r="AZ190" s="698"/>
      <c r="BA190" s="698"/>
      <c r="BB190" s="698"/>
      <c r="BC190" s="698"/>
      <c r="BD190" s="698"/>
      <c r="BE190" s="698"/>
      <c r="BF190" s="698"/>
      <c r="BG190" s="698"/>
      <c r="BH190" s="698"/>
      <c r="BI190" s="698"/>
      <c r="BJ190" s="698"/>
      <c r="BK190" s="698"/>
      <c r="BL190" s="698"/>
      <c r="BM190" s="698"/>
      <c r="BN190" s="698"/>
      <c r="BO190" s="698"/>
      <c r="BP190" s="698"/>
      <c r="BQ190" s="698"/>
      <c r="BR190" s="698"/>
      <c r="BS190" s="698"/>
      <c r="BT190" s="698"/>
      <c r="BU190" s="698"/>
      <c r="BV190" s="698"/>
      <c r="BW190" s="698"/>
      <c r="BX190" s="698"/>
      <c r="BY190" s="698"/>
      <c r="BZ190" s="698"/>
      <c r="CA190" s="698"/>
      <c r="CB190" s="698"/>
      <c r="CC190" s="698"/>
      <c r="CD190" s="698"/>
      <c r="CE190" s="698"/>
      <c r="CF190" s="698"/>
      <c r="CG190" s="698"/>
      <c r="CH190" s="698"/>
      <c r="CI190" s="698"/>
      <c r="CJ190" s="698"/>
      <c r="CK190" s="698"/>
      <c r="CL190" s="698"/>
      <c r="CM190" s="698"/>
      <c r="CN190" s="698"/>
      <c r="CO190" s="698"/>
      <c r="CP190" s="698"/>
      <c r="CQ190" s="698"/>
      <c r="CR190" s="698"/>
      <c r="CS190" s="698"/>
      <c r="CT190" s="698"/>
      <c r="CU190" s="698"/>
      <c r="CV190" s="698"/>
      <c r="CW190" s="698"/>
      <c r="CX190" s="698"/>
      <c r="CY190" s="698"/>
      <c r="CZ190" s="698"/>
      <c r="DA190" s="698"/>
      <c r="DB190" s="698"/>
      <c r="DC190" s="698"/>
      <c r="DD190" s="698"/>
      <c r="DE190" s="698"/>
      <c r="DF190" s="698"/>
      <c r="DG190" s="698"/>
      <c r="DH190" s="698"/>
      <c r="DI190" s="698"/>
      <c r="DJ190" s="698"/>
      <c r="DK190" s="698"/>
      <c r="DL190" s="698"/>
      <c r="DM190" s="698"/>
      <c r="DN190" s="698"/>
      <c r="DO190" s="698"/>
      <c r="DP190" s="698"/>
      <c r="DQ190" s="698"/>
      <c r="DR190" s="698"/>
      <c r="DS190" s="698"/>
      <c r="DT190" s="698"/>
      <c r="DU190" s="698"/>
      <c r="DV190" s="698"/>
      <c r="DW190" s="698"/>
      <c r="DX190" s="698"/>
      <c r="DY190" s="698"/>
      <c r="DZ190" s="698"/>
      <c r="EA190" s="698"/>
      <c r="EB190" s="698"/>
      <c r="EC190" s="698"/>
      <c r="ED190" s="698"/>
      <c r="EE190" s="698"/>
      <c r="EF190" s="698"/>
      <c r="EG190" s="698"/>
      <c r="EH190" s="698"/>
      <c r="EI190" s="698"/>
      <c r="EJ190" s="698"/>
      <c r="EK190" s="698"/>
      <c r="EL190" s="698"/>
      <c r="EM190" s="698"/>
      <c r="EN190" s="698"/>
      <c r="EO190" s="698"/>
      <c r="EP190" s="698"/>
      <c r="EQ190" s="698"/>
      <c r="ER190" s="698"/>
      <c r="ES190" s="698"/>
      <c r="ET190" s="698"/>
      <c r="EU190" s="698"/>
      <c r="EV190" s="698"/>
      <c r="EW190" s="698"/>
      <c r="EX190" s="698"/>
      <c r="EY190" s="698"/>
      <c r="EZ190" s="698"/>
      <c r="FA190" s="698"/>
      <c r="FB190" s="698"/>
      <c r="FC190" s="698"/>
      <c r="FD190" s="698"/>
      <c r="FE190" s="698"/>
      <c r="FF190" s="698"/>
      <c r="FG190" s="698"/>
      <c r="FH190" s="698"/>
      <c r="FI190" s="698"/>
      <c r="FJ190" s="698"/>
      <c r="FK190" s="799"/>
      <c r="FL190" s="799"/>
      <c r="FM190" s="799"/>
      <c r="FN190" s="799"/>
      <c r="FO190" s="799"/>
      <c r="FP190" s="799"/>
      <c r="FQ190" s="799"/>
      <c r="FR190" s="799"/>
      <c r="FS190" s="799"/>
      <c r="FT190" s="799"/>
      <c r="FU190" s="799"/>
      <c r="FV190" s="799"/>
      <c r="FW190" s="799"/>
      <c r="FX190" s="799"/>
      <c r="FY190" s="799"/>
      <c r="FZ190" s="799"/>
      <c r="GA190" s="799"/>
      <c r="GB190" s="799"/>
      <c r="GC190" s="799"/>
      <c r="GD190" s="799"/>
      <c r="GE190" s="799"/>
      <c r="GF190" s="799"/>
      <c r="GG190" s="799"/>
      <c r="GH190" s="799"/>
      <c r="GI190" s="799"/>
      <c r="GJ190" s="799"/>
      <c r="GK190" s="799"/>
      <c r="GL190" s="799"/>
      <c r="GM190" s="799"/>
      <c r="GN190" s="799"/>
      <c r="GO190" s="799"/>
      <c r="GP190" s="799"/>
      <c r="GQ190" s="799"/>
      <c r="GR190" s="799"/>
      <c r="GS190" s="799"/>
      <c r="GT190" s="799"/>
      <c r="GU190" s="799"/>
      <c r="GV190" s="799"/>
      <c r="GW190" s="799"/>
      <c r="GX190" s="799"/>
      <c r="GY190" s="799"/>
      <c r="GZ190" s="799"/>
      <c r="HA190" s="799"/>
      <c r="HB190" s="799"/>
      <c r="HC190" s="799"/>
      <c r="HD190" s="799"/>
      <c r="HE190" s="799"/>
      <c r="HF190" s="799"/>
      <c r="HG190" s="799"/>
      <c r="HH190" s="799"/>
      <c r="HI190" s="799"/>
      <c r="HJ190" s="799"/>
      <c r="HK190" s="799"/>
      <c r="HL190" s="799"/>
      <c r="HM190" s="799"/>
      <c r="HN190" s="799"/>
      <c r="HO190" s="699"/>
      <c r="HP190" s="699"/>
      <c r="HQ190" s="699"/>
      <c r="HR190" s="699"/>
      <c r="HS190" s="699"/>
      <c r="HT190" s="699"/>
      <c r="HU190" s="699"/>
      <c r="HV190" s="699"/>
      <c r="HW190" s="699"/>
      <c r="HX190" s="699"/>
      <c r="HY190" s="699"/>
      <c r="HZ190" s="699"/>
      <c r="IA190" s="699"/>
      <c r="IB190" s="699"/>
      <c r="IC190" s="699"/>
      <c r="ID190" s="699"/>
      <c r="IE190" s="699"/>
      <c r="IF190" s="699"/>
      <c r="IG190" s="699"/>
      <c r="IH190" s="699"/>
      <c r="II190" s="699"/>
      <c r="IJ190" s="699"/>
      <c r="IK190" s="699"/>
      <c r="IL190" s="699"/>
      <c r="IM190" s="699"/>
      <c r="IN190" s="699"/>
      <c r="IO190" s="699"/>
      <c r="IP190" s="699"/>
      <c r="IQ190" s="699"/>
      <c r="IR190" s="699"/>
      <c r="IS190" s="699"/>
      <c r="IT190" s="699"/>
    </row>
    <row r="191" s="694" customFormat="1" ht="36" customHeight="1" spans="1:254">
      <c r="A191" s="805">
        <v>44875</v>
      </c>
      <c r="B191" s="712" t="s">
        <v>90</v>
      </c>
      <c r="C191" s="721" t="s">
        <v>91</v>
      </c>
      <c r="D191" s="711">
        <v>4500090518</v>
      </c>
      <c r="E191" s="712">
        <v>1328827692</v>
      </c>
      <c r="F191" s="711" t="s">
        <v>1447</v>
      </c>
      <c r="G191" s="712" t="s">
        <v>3595</v>
      </c>
      <c r="H191" s="711">
        <v>1280</v>
      </c>
      <c r="I191" s="711">
        <v>0</v>
      </c>
      <c r="J191" s="711">
        <v>4</v>
      </c>
      <c r="K191" s="698">
        <f t="shared" si="99"/>
        <v>320</v>
      </c>
      <c r="L191" s="777">
        <v>44925</v>
      </c>
      <c r="M191" s="727">
        <v>44921</v>
      </c>
      <c r="N191" s="744"/>
      <c r="O191" s="744" t="s">
        <v>3592</v>
      </c>
      <c r="P191" s="744"/>
      <c r="Q191" s="873" t="s">
        <v>3596</v>
      </c>
      <c r="R191" s="845"/>
      <c r="S191" s="845" t="s">
        <v>3604</v>
      </c>
      <c r="T191" s="744" t="s">
        <v>3598</v>
      </c>
      <c r="U191" s="856"/>
      <c r="V191" s="711" t="s">
        <v>3594</v>
      </c>
      <c r="W191" s="872">
        <v>0</v>
      </c>
      <c r="X191" s="757">
        <f t="shared" si="100"/>
        <v>0</v>
      </c>
      <c r="Y191" s="778"/>
      <c r="Z191" s="712" t="s">
        <v>63</v>
      </c>
      <c r="AA191" s="712"/>
      <c r="AB191" s="778"/>
      <c r="AC191" s="778"/>
      <c r="AD191" s="711">
        <f t="shared" si="104"/>
        <v>1280</v>
      </c>
      <c r="AE191" s="711">
        <f>H191</f>
        <v>1280</v>
      </c>
      <c r="AF191" s="711"/>
      <c r="AG191" s="800"/>
      <c r="AH191" s="800"/>
      <c r="AI191" s="800"/>
      <c r="AJ191" s="800"/>
      <c r="AK191" s="800"/>
      <c r="AL191" s="779"/>
      <c r="AM191" s="779"/>
      <c r="AN191" s="779"/>
      <c r="AO191" s="698"/>
      <c r="AP191" s="698"/>
      <c r="AQ191" s="711">
        <f>H191</f>
        <v>1280</v>
      </c>
      <c r="AR191" s="698">
        <f>H191</f>
        <v>1280</v>
      </c>
      <c r="AS191" s="698"/>
      <c r="AT191" s="698"/>
      <c r="AU191" s="698"/>
      <c r="AV191" s="698"/>
      <c r="AW191" s="698"/>
      <c r="AX191" s="698"/>
      <c r="AY191" s="698"/>
      <c r="AZ191" s="698"/>
      <c r="BA191" s="698"/>
      <c r="BB191" s="698"/>
      <c r="BC191" s="698"/>
      <c r="BD191" s="698"/>
      <c r="BE191" s="698"/>
      <c r="BF191" s="698"/>
      <c r="BG191" s="698"/>
      <c r="BH191" s="698"/>
      <c r="BI191" s="698"/>
      <c r="BJ191" s="698"/>
      <c r="BK191" s="698"/>
      <c r="BL191" s="698"/>
      <c r="BM191" s="698"/>
      <c r="BN191" s="698"/>
      <c r="BO191" s="698"/>
      <c r="BP191" s="698"/>
      <c r="BQ191" s="698"/>
      <c r="BR191" s="698"/>
      <c r="BS191" s="698"/>
      <c r="BT191" s="698"/>
      <c r="BU191" s="698"/>
      <c r="BV191" s="698"/>
      <c r="BW191" s="698"/>
      <c r="BX191" s="698"/>
      <c r="BY191" s="698"/>
      <c r="BZ191" s="698"/>
      <c r="CA191" s="698"/>
      <c r="CB191" s="698"/>
      <c r="CC191" s="698"/>
      <c r="CD191" s="698"/>
      <c r="CE191" s="698"/>
      <c r="CF191" s="698"/>
      <c r="CG191" s="698"/>
      <c r="CH191" s="698"/>
      <c r="CI191" s="698"/>
      <c r="CJ191" s="698"/>
      <c r="CK191" s="698"/>
      <c r="CL191" s="698"/>
      <c r="CM191" s="698"/>
      <c r="CN191" s="698"/>
      <c r="CO191" s="698"/>
      <c r="CP191" s="698"/>
      <c r="CQ191" s="698"/>
      <c r="CR191" s="698"/>
      <c r="CS191" s="698"/>
      <c r="CT191" s="698"/>
      <c r="CU191" s="698"/>
      <c r="CV191" s="698"/>
      <c r="CW191" s="698"/>
      <c r="CX191" s="698"/>
      <c r="CY191" s="698"/>
      <c r="CZ191" s="698"/>
      <c r="DA191" s="698"/>
      <c r="DB191" s="698"/>
      <c r="DC191" s="698"/>
      <c r="DD191" s="698"/>
      <c r="DE191" s="698"/>
      <c r="DF191" s="698"/>
      <c r="DG191" s="698"/>
      <c r="DH191" s="698"/>
      <c r="DI191" s="698"/>
      <c r="DJ191" s="698"/>
      <c r="DK191" s="698"/>
      <c r="DL191" s="698"/>
      <c r="DM191" s="698"/>
      <c r="DN191" s="698"/>
      <c r="DO191" s="698"/>
      <c r="DP191" s="698"/>
      <c r="DQ191" s="698"/>
      <c r="DR191" s="698"/>
      <c r="DS191" s="698"/>
      <c r="DT191" s="698"/>
      <c r="DU191" s="698"/>
      <c r="DV191" s="698"/>
      <c r="DW191" s="698"/>
      <c r="DX191" s="698"/>
      <c r="DY191" s="698"/>
      <c r="DZ191" s="698"/>
      <c r="EA191" s="698"/>
      <c r="EB191" s="698"/>
      <c r="EC191" s="698"/>
      <c r="ED191" s="698"/>
      <c r="EE191" s="698"/>
      <c r="EF191" s="698"/>
      <c r="EG191" s="698"/>
      <c r="EH191" s="698"/>
      <c r="EI191" s="698"/>
      <c r="EJ191" s="698"/>
      <c r="EK191" s="698"/>
      <c r="EL191" s="698"/>
      <c r="EM191" s="698"/>
      <c r="EN191" s="698"/>
      <c r="EO191" s="698"/>
      <c r="EP191" s="698"/>
      <c r="EQ191" s="698"/>
      <c r="ER191" s="698"/>
      <c r="ES191" s="698"/>
      <c r="ET191" s="698"/>
      <c r="EU191" s="698"/>
      <c r="EV191" s="698"/>
      <c r="EW191" s="698"/>
      <c r="EX191" s="698"/>
      <c r="EY191" s="698"/>
      <c r="EZ191" s="698"/>
      <c r="FA191" s="698"/>
      <c r="FB191" s="698"/>
      <c r="FC191" s="698"/>
      <c r="FD191" s="698"/>
      <c r="FE191" s="698"/>
      <c r="FF191" s="698"/>
      <c r="FG191" s="698"/>
      <c r="FH191" s="698"/>
      <c r="FI191" s="698"/>
      <c r="FJ191" s="698"/>
      <c r="FK191" s="799"/>
      <c r="FL191" s="799"/>
      <c r="FM191" s="799"/>
      <c r="FN191" s="799"/>
      <c r="FO191" s="799"/>
      <c r="FP191" s="799"/>
      <c r="FQ191" s="799"/>
      <c r="FR191" s="799"/>
      <c r="FS191" s="799"/>
      <c r="FT191" s="799"/>
      <c r="FU191" s="799"/>
      <c r="FV191" s="799"/>
      <c r="FW191" s="799"/>
      <c r="FX191" s="799"/>
      <c r="FY191" s="799"/>
      <c r="FZ191" s="799"/>
      <c r="GA191" s="799"/>
      <c r="GB191" s="799"/>
      <c r="GC191" s="799"/>
      <c r="GD191" s="799"/>
      <c r="GE191" s="799"/>
      <c r="GF191" s="799"/>
      <c r="GG191" s="799"/>
      <c r="GH191" s="799"/>
      <c r="GI191" s="799"/>
      <c r="GJ191" s="799"/>
      <c r="GK191" s="799"/>
      <c r="GL191" s="799"/>
      <c r="GM191" s="799"/>
      <c r="GN191" s="799"/>
      <c r="GO191" s="799"/>
      <c r="GP191" s="799"/>
      <c r="GQ191" s="799"/>
      <c r="GR191" s="799"/>
      <c r="GS191" s="799"/>
      <c r="GT191" s="799"/>
      <c r="GU191" s="799"/>
      <c r="GV191" s="799"/>
      <c r="GW191" s="799"/>
      <c r="GX191" s="799"/>
      <c r="GY191" s="799"/>
      <c r="GZ191" s="799"/>
      <c r="HA191" s="799"/>
      <c r="HB191" s="799"/>
      <c r="HC191" s="799"/>
      <c r="HD191" s="799"/>
      <c r="HE191" s="799"/>
      <c r="HF191" s="799"/>
      <c r="HG191" s="799"/>
      <c r="HH191" s="799"/>
      <c r="HI191" s="799"/>
      <c r="HJ191" s="799"/>
      <c r="HK191" s="799"/>
      <c r="HL191" s="799"/>
      <c r="HM191" s="799"/>
      <c r="HN191" s="799"/>
      <c r="HO191" s="699"/>
      <c r="HP191" s="699"/>
      <c r="HQ191" s="699"/>
      <c r="HR191" s="699"/>
      <c r="HS191" s="699"/>
      <c r="HT191" s="699"/>
      <c r="HU191" s="699"/>
      <c r="HV191" s="699"/>
      <c r="HW191" s="699"/>
      <c r="HX191" s="699"/>
      <c r="HY191" s="699"/>
      <c r="HZ191" s="699"/>
      <c r="IA191" s="699"/>
      <c r="IB191" s="699"/>
      <c r="IC191" s="699"/>
      <c r="ID191" s="699"/>
      <c r="IE191" s="699"/>
      <c r="IF191" s="699"/>
      <c r="IG191" s="699"/>
      <c r="IH191" s="699"/>
      <c r="II191" s="699"/>
      <c r="IJ191" s="699"/>
      <c r="IK191" s="699"/>
      <c r="IL191" s="699"/>
      <c r="IM191" s="699"/>
      <c r="IN191" s="699"/>
      <c r="IO191" s="699"/>
      <c r="IP191" s="699"/>
      <c r="IQ191" s="699"/>
      <c r="IR191" s="699"/>
      <c r="IS191" s="699"/>
      <c r="IT191" s="699"/>
    </row>
    <row r="192" s="694" customFormat="1" ht="36" customHeight="1" spans="1:254">
      <c r="A192" s="805">
        <v>44875</v>
      </c>
      <c r="B192" s="712" t="s">
        <v>90</v>
      </c>
      <c r="C192" s="721" t="s">
        <v>91</v>
      </c>
      <c r="D192" s="711">
        <v>4500090518</v>
      </c>
      <c r="E192" s="712">
        <v>1328827694</v>
      </c>
      <c r="F192" s="711" t="s">
        <v>3599</v>
      </c>
      <c r="G192" s="712" t="s">
        <v>3600</v>
      </c>
      <c r="H192" s="711">
        <v>2</v>
      </c>
      <c r="I192" s="711">
        <v>0</v>
      </c>
      <c r="J192" s="711">
        <v>1</v>
      </c>
      <c r="K192" s="698">
        <f t="shared" si="99"/>
        <v>2</v>
      </c>
      <c r="L192" s="777">
        <v>44925</v>
      </c>
      <c r="M192" s="727">
        <v>44921</v>
      </c>
      <c r="N192" s="744"/>
      <c r="O192" s="744" t="s">
        <v>3592</v>
      </c>
      <c r="P192" s="744"/>
      <c r="Q192" s="845"/>
      <c r="R192" s="845"/>
      <c r="S192" s="845"/>
      <c r="T192" s="744"/>
      <c r="U192" s="859" t="s">
        <v>3601</v>
      </c>
      <c r="V192" s="711" t="s">
        <v>3594</v>
      </c>
      <c r="W192" s="872">
        <v>1609.0328</v>
      </c>
      <c r="X192" s="757">
        <f t="shared" si="100"/>
        <v>3218.0656</v>
      </c>
      <c r="Y192" s="778"/>
      <c r="Z192" s="712" t="s">
        <v>63</v>
      </c>
      <c r="AA192" s="712"/>
      <c r="AB192" s="778"/>
      <c r="AC192" s="778"/>
      <c r="AD192" s="711"/>
      <c r="AE192" s="711"/>
      <c r="AF192" s="711"/>
      <c r="AG192" s="800"/>
      <c r="AH192" s="800"/>
      <c r="AI192" s="800"/>
      <c r="AJ192" s="800"/>
      <c r="AK192" s="800"/>
      <c r="AL192" s="779"/>
      <c r="AM192" s="779"/>
      <c r="AN192" s="779"/>
      <c r="AO192" s="698"/>
      <c r="AP192" s="698"/>
      <c r="AQ192" s="711"/>
      <c r="AR192" s="698"/>
      <c r="AS192" s="698"/>
      <c r="AT192" s="698"/>
      <c r="AU192" s="698"/>
      <c r="AV192" s="698"/>
      <c r="AW192" s="698"/>
      <c r="AX192" s="698"/>
      <c r="AY192" s="698"/>
      <c r="AZ192" s="698"/>
      <c r="BA192" s="698"/>
      <c r="BB192" s="698"/>
      <c r="BC192" s="698"/>
      <c r="BD192" s="698"/>
      <c r="BE192" s="698"/>
      <c r="BF192" s="698"/>
      <c r="BG192" s="698"/>
      <c r="BH192" s="698"/>
      <c r="BI192" s="698"/>
      <c r="BJ192" s="698"/>
      <c r="BK192" s="698"/>
      <c r="BL192" s="698"/>
      <c r="BM192" s="698"/>
      <c r="BN192" s="698"/>
      <c r="BO192" s="698"/>
      <c r="BP192" s="698"/>
      <c r="BQ192" s="698"/>
      <c r="BR192" s="698"/>
      <c r="BS192" s="698"/>
      <c r="BT192" s="698"/>
      <c r="BU192" s="698"/>
      <c r="BV192" s="698"/>
      <c r="BW192" s="698"/>
      <c r="BX192" s="698"/>
      <c r="BY192" s="698"/>
      <c r="BZ192" s="698"/>
      <c r="CA192" s="698"/>
      <c r="CB192" s="698"/>
      <c r="CC192" s="698"/>
      <c r="CD192" s="698"/>
      <c r="CE192" s="698"/>
      <c r="CF192" s="698"/>
      <c r="CG192" s="698"/>
      <c r="CH192" s="698"/>
      <c r="CI192" s="698"/>
      <c r="CJ192" s="698"/>
      <c r="CK192" s="698"/>
      <c r="CL192" s="698"/>
      <c r="CM192" s="698"/>
      <c r="CN192" s="698"/>
      <c r="CO192" s="698"/>
      <c r="CP192" s="698"/>
      <c r="CQ192" s="698"/>
      <c r="CR192" s="698"/>
      <c r="CS192" s="698"/>
      <c r="CT192" s="698"/>
      <c r="CU192" s="698"/>
      <c r="CV192" s="698"/>
      <c r="CW192" s="698"/>
      <c r="CX192" s="698"/>
      <c r="CY192" s="698"/>
      <c r="CZ192" s="698"/>
      <c r="DA192" s="698"/>
      <c r="DB192" s="698"/>
      <c r="DC192" s="698"/>
      <c r="DD192" s="698"/>
      <c r="DE192" s="698"/>
      <c r="DF192" s="698"/>
      <c r="DG192" s="698"/>
      <c r="DH192" s="698"/>
      <c r="DI192" s="698"/>
      <c r="DJ192" s="698"/>
      <c r="DK192" s="698"/>
      <c r="DL192" s="698"/>
      <c r="DM192" s="698"/>
      <c r="DN192" s="698"/>
      <c r="DO192" s="698"/>
      <c r="DP192" s="698"/>
      <c r="DQ192" s="698"/>
      <c r="DR192" s="698"/>
      <c r="DS192" s="698"/>
      <c r="DT192" s="698"/>
      <c r="DU192" s="698"/>
      <c r="DV192" s="698"/>
      <c r="DW192" s="698"/>
      <c r="DX192" s="698"/>
      <c r="DY192" s="698"/>
      <c r="DZ192" s="698"/>
      <c r="EA192" s="698"/>
      <c r="EB192" s="698"/>
      <c r="EC192" s="698"/>
      <c r="ED192" s="698"/>
      <c r="EE192" s="698"/>
      <c r="EF192" s="698"/>
      <c r="EG192" s="698"/>
      <c r="EH192" s="698"/>
      <c r="EI192" s="698"/>
      <c r="EJ192" s="698"/>
      <c r="EK192" s="698"/>
      <c r="EL192" s="698"/>
      <c r="EM192" s="698"/>
      <c r="EN192" s="698"/>
      <c r="EO192" s="698"/>
      <c r="EP192" s="698"/>
      <c r="EQ192" s="698"/>
      <c r="ER192" s="698"/>
      <c r="ES192" s="698"/>
      <c r="ET192" s="698"/>
      <c r="EU192" s="698"/>
      <c r="EV192" s="698"/>
      <c r="EW192" s="698"/>
      <c r="EX192" s="698"/>
      <c r="EY192" s="698"/>
      <c r="EZ192" s="698"/>
      <c r="FA192" s="698"/>
      <c r="FB192" s="698"/>
      <c r="FC192" s="698"/>
      <c r="FD192" s="698"/>
      <c r="FE192" s="698"/>
      <c r="FF192" s="698"/>
      <c r="FG192" s="698"/>
      <c r="FH192" s="698"/>
      <c r="FI192" s="698"/>
      <c r="FJ192" s="698"/>
      <c r="FK192" s="799"/>
      <c r="FL192" s="799"/>
      <c r="FM192" s="799"/>
      <c r="FN192" s="799"/>
      <c r="FO192" s="799"/>
      <c r="FP192" s="799"/>
      <c r="FQ192" s="799"/>
      <c r="FR192" s="799"/>
      <c r="FS192" s="799"/>
      <c r="FT192" s="799"/>
      <c r="FU192" s="799"/>
      <c r="FV192" s="799"/>
      <c r="FW192" s="799"/>
      <c r="FX192" s="799"/>
      <c r="FY192" s="799"/>
      <c r="FZ192" s="799"/>
      <c r="GA192" s="799"/>
      <c r="GB192" s="799"/>
      <c r="GC192" s="799"/>
      <c r="GD192" s="799"/>
      <c r="GE192" s="799"/>
      <c r="GF192" s="799"/>
      <c r="GG192" s="799"/>
      <c r="GH192" s="799"/>
      <c r="GI192" s="799"/>
      <c r="GJ192" s="799"/>
      <c r="GK192" s="799"/>
      <c r="GL192" s="799"/>
      <c r="GM192" s="799"/>
      <c r="GN192" s="799"/>
      <c r="GO192" s="799"/>
      <c r="GP192" s="799"/>
      <c r="GQ192" s="799"/>
      <c r="GR192" s="799"/>
      <c r="GS192" s="799"/>
      <c r="GT192" s="799"/>
      <c r="GU192" s="799"/>
      <c r="GV192" s="799"/>
      <c r="GW192" s="799"/>
      <c r="GX192" s="799"/>
      <c r="GY192" s="799"/>
      <c r="GZ192" s="799"/>
      <c r="HA192" s="799"/>
      <c r="HB192" s="799"/>
      <c r="HC192" s="799"/>
      <c r="HD192" s="799"/>
      <c r="HE192" s="799"/>
      <c r="HF192" s="799"/>
      <c r="HG192" s="799"/>
      <c r="HH192" s="799"/>
      <c r="HI192" s="799"/>
      <c r="HJ192" s="799"/>
      <c r="HK192" s="799"/>
      <c r="HL192" s="799"/>
      <c r="HM192" s="799"/>
      <c r="HN192" s="799"/>
      <c r="HO192" s="699"/>
      <c r="HP192" s="699"/>
      <c r="HQ192" s="699"/>
      <c r="HR192" s="699"/>
      <c r="HS192" s="699"/>
      <c r="HT192" s="699"/>
      <c r="HU192" s="699"/>
      <c r="HV192" s="699"/>
      <c r="HW192" s="699"/>
      <c r="HX192" s="699"/>
      <c r="HY192" s="699"/>
      <c r="HZ192" s="699"/>
      <c r="IA192" s="699"/>
      <c r="IB192" s="699"/>
      <c r="IC192" s="699"/>
      <c r="ID192" s="699"/>
      <c r="IE192" s="699"/>
      <c r="IF192" s="699"/>
      <c r="IG192" s="699"/>
      <c r="IH192" s="699"/>
      <c r="II192" s="699"/>
      <c r="IJ192" s="699"/>
      <c r="IK192" s="699"/>
      <c r="IL192" s="699"/>
      <c r="IM192" s="699"/>
      <c r="IN192" s="699"/>
      <c r="IO192" s="699"/>
      <c r="IP192" s="699"/>
      <c r="IQ192" s="699"/>
      <c r="IR192" s="699"/>
      <c r="IS192" s="699"/>
      <c r="IT192" s="699"/>
    </row>
    <row r="193" s="694" customFormat="1" ht="36" customHeight="1" spans="1:254">
      <c r="A193" s="805">
        <v>44875</v>
      </c>
      <c r="B193" s="712" t="s">
        <v>90</v>
      </c>
      <c r="C193" s="721" t="s">
        <v>91</v>
      </c>
      <c r="D193" s="711">
        <v>4500090518</v>
      </c>
      <c r="E193" s="712">
        <v>1328827694</v>
      </c>
      <c r="F193" s="711" t="s">
        <v>1446</v>
      </c>
      <c r="G193" s="712" t="s">
        <v>3602</v>
      </c>
      <c r="H193" s="711">
        <v>1280</v>
      </c>
      <c r="I193" s="711">
        <v>0</v>
      </c>
      <c r="J193" s="711">
        <v>4</v>
      </c>
      <c r="K193" s="698">
        <f t="shared" si="99"/>
        <v>320</v>
      </c>
      <c r="L193" s="777">
        <v>44925</v>
      </c>
      <c r="M193" s="727">
        <v>44921</v>
      </c>
      <c r="N193" s="744"/>
      <c r="O193" s="744" t="s">
        <v>3592</v>
      </c>
      <c r="P193" s="744"/>
      <c r="Q193" s="873" t="s">
        <v>3596</v>
      </c>
      <c r="R193" s="845"/>
      <c r="S193" s="845" t="s">
        <v>3604</v>
      </c>
      <c r="T193" s="744" t="s">
        <v>3598</v>
      </c>
      <c r="U193" s="856"/>
      <c r="V193" s="711" t="s">
        <v>3594</v>
      </c>
      <c r="W193" s="872">
        <v>0</v>
      </c>
      <c r="X193" s="757">
        <f t="shared" si="100"/>
        <v>0</v>
      </c>
      <c r="Y193" s="778"/>
      <c r="Z193" s="712" t="s">
        <v>63</v>
      </c>
      <c r="AA193" s="712"/>
      <c r="AB193" s="778"/>
      <c r="AC193" s="778"/>
      <c r="AD193" s="711">
        <f t="shared" si="104"/>
        <v>1280</v>
      </c>
      <c r="AE193" s="711"/>
      <c r="AF193" s="711">
        <f>H193</f>
        <v>1280</v>
      </c>
      <c r="AG193" s="800"/>
      <c r="AH193" s="800"/>
      <c r="AI193" s="800"/>
      <c r="AJ193" s="800"/>
      <c r="AK193" s="800"/>
      <c r="AL193" s="779"/>
      <c r="AM193" s="779"/>
      <c r="AN193" s="779"/>
      <c r="AO193" s="698">
        <f>H193</f>
        <v>1280</v>
      </c>
      <c r="AP193" s="698">
        <f>H193</f>
        <v>1280</v>
      </c>
      <c r="AQ193" s="711"/>
      <c r="AR193" s="698"/>
      <c r="AS193" s="698"/>
      <c r="AT193" s="698"/>
      <c r="AU193" s="698"/>
      <c r="AV193" s="698"/>
      <c r="AW193" s="698"/>
      <c r="AX193" s="698"/>
      <c r="AY193" s="698"/>
      <c r="AZ193" s="698"/>
      <c r="BA193" s="698"/>
      <c r="BB193" s="698"/>
      <c r="BC193" s="698"/>
      <c r="BD193" s="698"/>
      <c r="BE193" s="698"/>
      <c r="BF193" s="698"/>
      <c r="BG193" s="698"/>
      <c r="BH193" s="698"/>
      <c r="BI193" s="698"/>
      <c r="BJ193" s="698"/>
      <c r="BK193" s="698"/>
      <c r="BL193" s="698"/>
      <c r="BM193" s="698"/>
      <c r="BN193" s="698"/>
      <c r="BO193" s="698"/>
      <c r="BP193" s="698"/>
      <c r="BQ193" s="698"/>
      <c r="BR193" s="698"/>
      <c r="BS193" s="698"/>
      <c r="BT193" s="698"/>
      <c r="BU193" s="698"/>
      <c r="BV193" s="698"/>
      <c r="BW193" s="698"/>
      <c r="BX193" s="698"/>
      <c r="BY193" s="698"/>
      <c r="BZ193" s="698"/>
      <c r="CA193" s="698"/>
      <c r="CB193" s="698"/>
      <c r="CC193" s="698"/>
      <c r="CD193" s="698"/>
      <c r="CE193" s="698"/>
      <c r="CF193" s="698"/>
      <c r="CG193" s="698"/>
      <c r="CH193" s="698"/>
      <c r="CI193" s="698"/>
      <c r="CJ193" s="698"/>
      <c r="CK193" s="698"/>
      <c r="CL193" s="698"/>
      <c r="CM193" s="698"/>
      <c r="CN193" s="698"/>
      <c r="CO193" s="698"/>
      <c r="CP193" s="698"/>
      <c r="CQ193" s="698"/>
      <c r="CR193" s="698"/>
      <c r="CS193" s="698"/>
      <c r="CT193" s="698"/>
      <c r="CU193" s="698"/>
      <c r="CV193" s="698"/>
      <c r="CW193" s="698"/>
      <c r="CX193" s="698"/>
      <c r="CY193" s="698"/>
      <c r="CZ193" s="698"/>
      <c r="DA193" s="698"/>
      <c r="DB193" s="698"/>
      <c r="DC193" s="698"/>
      <c r="DD193" s="698"/>
      <c r="DE193" s="698"/>
      <c r="DF193" s="698"/>
      <c r="DG193" s="698"/>
      <c r="DH193" s="698"/>
      <c r="DI193" s="698"/>
      <c r="DJ193" s="698"/>
      <c r="DK193" s="698"/>
      <c r="DL193" s="698"/>
      <c r="DM193" s="698"/>
      <c r="DN193" s="698"/>
      <c r="DO193" s="698"/>
      <c r="DP193" s="698"/>
      <c r="DQ193" s="698"/>
      <c r="DR193" s="698"/>
      <c r="DS193" s="698"/>
      <c r="DT193" s="698"/>
      <c r="DU193" s="698"/>
      <c r="DV193" s="698"/>
      <c r="DW193" s="698"/>
      <c r="DX193" s="698"/>
      <c r="DY193" s="698"/>
      <c r="DZ193" s="698"/>
      <c r="EA193" s="698"/>
      <c r="EB193" s="698"/>
      <c r="EC193" s="698"/>
      <c r="ED193" s="698"/>
      <c r="EE193" s="698"/>
      <c r="EF193" s="698"/>
      <c r="EG193" s="698"/>
      <c r="EH193" s="698"/>
      <c r="EI193" s="698"/>
      <c r="EJ193" s="698"/>
      <c r="EK193" s="698"/>
      <c r="EL193" s="698"/>
      <c r="EM193" s="698"/>
      <c r="EN193" s="698"/>
      <c r="EO193" s="698"/>
      <c r="EP193" s="698"/>
      <c r="EQ193" s="698"/>
      <c r="ER193" s="698"/>
      <c r="ES193" s="698"/>
      <c r="ET193" s="698"/>
      <c r="EU193" s="698"/>
      <c r="EV193" s="698"/>
      <c r="EW193" s="698"/>
      <c r="EX193" s="698"/>
      <c r="EY193" s="698"/>
      <c r="EZ193" s="698"/>
      <c r="FA193" s="698"/>
      <c r="FB193" s="698"/>
      <c r="FC193" s="698"/>
      <c r="FD193" s="698"/>
      <c r="FE193" s="698"/>
      <c r="FF193" s="698"/>
      <c r="FG193" s="698"/>
      <c r="FH193" s="698"/>
      <c r="FI193" s="698"/>
      <c r="FJ193" s="698"/>
      <c r="FK193" s="799"/>
      <c r="FL193" s="799"/>
      <c r="FM193" s="799"/>
      <c r="FN193" s="799"/>
      <c r="FO193" s="799"/>
      <c r="FP193" s="799"/>
      <c r="FQ193" s="799"/>
      <c r="FR193" s="799"/>
      <c r="FS193" s="799"/>
      <c r="FT193" s="799"/>
      <c r="FU193" s="799"/>
      <c r="FV193" s="799"/>
      <c r="FW193" s="799"/>
      <c r="FX193" s="799"/>
      <c r="FY193" s="799"/>
      <c r="FZ193" s="799"/>
      <c r="GA193" s="799"/>
      <c r="GB193" s="799"/>
      <c r="GC193" s="799"/>
      <c r="GD193" s="799"/>
      <c r="GE193" s="799"/>
      <c r="GF193" s="799"/>
      <c r="GG193" s="799"/>
      <c r="GH193" s="799"/>
      <c r="GI193" s="799"/>
      <c r="GJ193" s="799"/>
      <c r="GK193" s="799"/>
      <c r="GL193" s="799"/>
      <c r="GM193" s="799"/>
      <c r="GN193" s="799"/>
      <c r="GO193" s="799"/>
      <c r="GP193" s="799"/>
      <c r="GQ193" s="799"/>
      <c r="GR193" s="799"/>
      <c r="GS193" s="799"/>
      <c r="GT193" s="799"/>
      <c r="GU193" s="799"/>
      <c r="GV193" s="799"/>
      <c r="GW193" s="799"/>
      <c r="GX193" s="799"/>
      <c r="GY193" s="799"/>
      <c r="GZ193" s="799"/>
      <c r="HA193" s="799"/>
      <c r="HB193" s="799"/>
      <c r="HC193" s="799"/>
      <c r="HD193" s="799"/>
      <c r="HE193" s="799"/>
      <c r="HF193" s="799"/>
      <c r="HG193" s="799"/>
      <c r="HH193" s="799"/>
      <c r="HI193" s="799"/>
      <c r="HJ193" s="799"/>
      <c r="HK193" s="799"/>
      <c r="HL193" s="799"/>
      <c r="HM193" s="799"/>
      <c r="HN193" s="799"/>
      <c r="HO193" s="699"/>
      <c r="HP193" s="699"/>
      <c r="HQ193" s="699"/>
      <c r="HR193" s="699"/>
      <c r="HS193" s="699"/>
      <c r="HT193" s="699"/>
      <c r="HU193" s="699"/>
      <c r="HV193" s="699"/>
      <c r="HW193" s="699"/>
      <c r="HX193" s="699"/>
      <c r="HY193" s="699"/>
      <c r="HZ193" s="699"/>
      <c r="IA193" s="699"/>
      <c r="IB193" s="699"/>
      <c r="IC193" s="699"/>
      <c r="ID193" s="699"/>
      <c r="IE193" s="699"/>
      <c r="IF193" s="699"/>
      <c r="IG193" s="699"/>
      <c r="IH193" s="699"/>
      <c r="II193" s="699"/>
      <c r="IJ193" s="699"/>
      <c r="IK193" s="699"/>
      <c r="IL193" s="699"/>
      <c r="IM193" s="699"/>
      <c r="IN193" s="699"/>
      <c r="IO193" s="699"/>
      <c r="IP193" s="699"/>
      <c r="IQ193" s="699"/>
      <c r="IR193" s="699"/>
      <c r="IS193" s="699"/>
      <c r="IT193" s="699"/>
    </row>
    <row r="194" s="694" customFormat="1" ht="36" customHeight="1" spans="1:254">
      <c r="A194" s="805">
        <v>44875</v>
      </c>
      <c r="B194" s="712" t="s">
        <v>90</v>
      </c>
      <c r="C194" s="721" t="s">
        <v>91</v>
      </c>
      <c r="D194" s="711">
        <v>4500090519</v>
      </c>
      <c r="E194" s="712">
        <v>1328827682</v>
      </c>
      <c r="F194" s="711" t="s">
        <v>3590</v>
      </c>
      <c r="G194" s="712" t="s">
        <v>3591</v>
      </c>
      <c r="H194" s="711">
        <v>1</v>
      </c>
      <c r="I194" s="711">
        <v>0</v>
      </c>
      <c r="J194" s="711">
        <v>1</v>
      </c>
      <c r="K194" s="698">
        <f t="shared" si="99"/>
        <v>1</v>
      </c>
      <c r="L194" s="777">
        <v>44925</v>
      </c>
      <c r="M194" s="727">
        <v>44921</v>
      </c>
      <c r="N194" s="744"/>
      <c r="O194" s="744" t="s">
        <v>3592</v>
      </c>
      <c r="P194" s="744"/>
      <c r="Q194" s="845"/>
      <c r="R194" s="845"/>
      <c r="S194" s="845"/>
      <c r="T194" s="744"/>
      <c r="U194" s="859" t="s">
        <v>3593</v>
      </c>
      <c r="V194" s="711" t="s">
        <v>3594</v>
      </c>
      <c r="W194" s="872">
        <v>1609.0328</v>
      </c>
      <c r="X194" s="757">
        <f t="shared" si="100"/>
        <v>1609.0328</v>
      </c>
      <c r="Y194" s="778"/>
      <c r="Z194" s="712" t="s">
        <v>63</v>
      </c>
      <c r="AA194" s="712"/>
      <c r="AB194" s="778"/>
      <c r="AC194" s="778"/>
      <c r="AD194" s="711"/>
      <c r="AE194" s="711"/>
      <c r="AF194" s="711"/>
      <c r="AG194" s="800"/>
      <c r="AH194" s="800"/>
      <c r="AI194" s="800"/>
      <c r="AJ194" s="800"/>
      <c r="AK194" s="800"/>
      <c r="AL194" s="779"/>
      <c r="AM194" s="779"/>
      <c r="AN194" s="779"/>
      <c r="AO194" s="698"/>
      <c r="AP194" s="698"/>
      <c r="AQ194" s="711"/>
      <c r="AR194" s="698"/>
      <c r="AS194" s="698"/>
      <c r="AT194" s="698"/>
      <c r="AU194" s="698"/>
      <c r="AV194" s="698"/>
      <c r="AW194" s="698"/>
      <c r="AX194" s="698"/>
      <c r="AY194" s="698"/>
      <c r="AZ194" s="698"/>
      <c r="BA194" s="698"/>
      <c r="BB194" s="698"/>
      <c r="BC194" s="698"/>
      <c r="BD194" s="698"/>
      <c r="BE194" s="698"/>
      <c r="BF194" s="698"/>
      <c r="BG194" s="698"/>
      <c r="BH194" s="698"/>
      <c r="BI194" s="698"/>
      <c r="BJ194" s="698"/>
      <c r="BK194" s="698"/>
      <c r="BL194" s="698"/>
      <c r="BM194" s="698"/>
      <c r="BN194" s="698"/>
      <c r="BO194" s="698"/>
      <c r="BP194" s="698"/>
      <c r="BQ194" s="698"/>
      <c r="BR194" s="698"/>
      <c r="BS194" s="698"/>
      <c r="BT194" s="698"/>
      <c r="BU194" s="698"/>
      <c r="BV194" s="698"/>
      <c r="BW194" s="698"/>
      <c r="BX194" s="698"/>
      <c r="BY194" s="698"/>
      <c r="BZ194" s="698"/>
      <c r="CA194" s="698"/>
      <c r="CB194" s="698"/>
      <c r="CC194" s="698"/>
      <c r="CD194" s="698"/>
      <c r="CE194" s="698"/>
      <c r="CF194" s="698"/>
      <c r="CG194" s="698"/>
      <c r="CH194" s="698"/>
      <c r="CI194" s="698"/>
      <c r="CJ194" s="698"/>
      <c r="CK194" s="698"/>
      <c r="CL194" s="698"/>
      <c r="CM194" s="698"/>
      <c r="CN194" s="698"/>
      <c r="CO194" s="698"/>
      <c r="CP194" s="698"/>
      <c r="CQ194" s="698"/>
      <c r="CR194" s="698"/>
      <c r="CS194" s="698"/>
      <c r="CT194" s="698"/>
      <c r="CU194" s="698"/>
      <c r="CV194" s="698"/>
      <c r="CW194" s="698"/>
      <c r="CX194" s="698"/>
      <c r="CY194" s="698"/>
      <c r="CZ194" s="698"/>
      <c r="DA194" s="698"/>
      <c r="DB194" s="698"/>
      <c r="DC194" s="698"/>
      <c r="DD194" s="698"/>
      <c r="DE194" s="698"/>
      <c r="DF194" s="698"/>
      <c r="DG194" s="698"/>
      <c r="DH194" s="698"/>
      <c r="DI194" s="698"/>
      <c r="DJ194" s="698"/>
      <c r="DK194" s="698"/>
      <c r="DL194" s="698"/>
      <c r="DM194" s="698"/>
      <c r="DN194" s="698"/>
      <c r="DO194" s="698"/>
      <c r="DP194" s="698"/>
      <c r="DQ194" s="698"/>
      <c r="DR194" s="698"/>
      <c r="DS194" s="698"/>
      <c r="DT194" s="698"/>
      <c r="DU194" s="698"/>
      <c r="DV194" s="698"/>
      <c r="DW194" s="698"/>
      <c r="DX194" s="698"/>
      <c r="DY194" s="698"/>
      <c r="DZ194" s="698"/>
      <c r="EA194" s="698"/>
      <c r="EB194" s="698"/>
      <c r="EC194" s="698"/>
      <c r="ED194" s="698"/>
      <c r="EE194" s="698"/>
      <c r="EF194" s="698"/>
      <c r="EG194" s="698"/>
      <c r="EH194" s="698"/>
      <c r="EI194" s="698"/>
      <c r="EJ194" s="698"/>
      <c r="EK194" s="698"/>
      <c r="EL194" s="698"/>
      <c r="EM194" s="698"/>
      <c r="EN194" s="698"/>
      <c r="EO194" s="698"/>
      <c r="EP194" s="698"/>
      <c r="EQ194" s="698"/>
      <c r="ER194" s="698"/>
      <c r="ES194" s="698"/>
      <c r="ET194" s="698"/>
      <c r="EU194" s="698"/>
      <c r="EV194" s="698"/>
      <c r="EW194" s="698"/>
      <c r="EX194" s="698"/>
      <c r="EY194" s="698"/>
      <c r="EZ194" s="698"/>
      <c r="FA194" s="698"/>
      <c r="FB194" s="698"/>
      <c r="FC194" s="698"/>
      <c r="FD194" s="698"/>
      <c r="FE194" s="698"/>
      <c r="FF194" s="698"/>
      <c r="FG194" s="698"/>
      <c r="FH194" s="698"/>
      <c r="FI194" s="698"/>
      <c r="FJ194" s="698"/>
      <c r="FK194" s="799"/>
      <c r="FL194" s="799"/>
      <c r="FM194" s="799"/>
      <c r="FN194" s="799"/>
      <c r="FO194" s="799"/>
      <c r="FP194" s="799"/>
      <c r="FQ194" s="799"/>
      <c r="FR194" s="799"/>
      <c r="FS194" s="799"/>
      <c r="FT194" s="799"/>
      <c r="FU194" s="799"/>
      <c r="FV194" s="799"/>
      <c r="FW194" s="799"/>
      <c r="FX194" s="799"/>
      <c r="FY194" s="799"/>
      <c r="FZ194" s="799"/>
      <c r="GA194" s="799"/>
      <c r="GB194" s="799"/>
      <c r="GC194" s="799"/>
      <c r="GD194" s="799"/>
      <c r="GE194" s="799"/>
      <c r="GF194" s="799"/>
      <c r="GG194" s="799"/>
      <c r="GH194" s="799"/>
      <c r="GI194" s="799"/>
      <c r="GJ194" s="799"/>
      <c r="GK194" s="799"/>
      <c r="GL194" s="799"/>
      <c r="GM194" s="799"/>
      <c r="GN194" s="799"/>
      <c r="GO194" s="799"/>
      <c r="GP194" s="799"/>
      <c r="GQ194" s="799"/>
      <c r="GR194" s="799"/>
      <c r="GS194" s="799"/>
      <c r="GT194" s="799"/>
      <c r="GU194" s="799"/>
      <c r="GV194" s="799"/>
      <c r="GW194" s="799"/>
      <c r="GX194" s="799"/>
      <c r="GY194" s="799"/>
      <c r="GZ194" s="799"/>
      <c r="HA194" s="799"/>
      <c r="HB194" s="799"/>
      <c r="HC194" s="799"/>
      <c r="HD194" s="799"/>
      <c r="HE194" s="799"/>
      <c r="HF194" s="799"/>
      <c r="HG194" s="799"/>
      <c r="HH194" s="799"/>
      <c r="HI194" s="799"/>
      <c r="HJ194" s="799"/>
      <c r="HK194" s="799"/>
      <c r="HL194" s="799"/>
      <c r="HM194" s="799"/>
      <c r="HN194" s="799"/>
      <c r="HO194" s="699"/>
      <c r="HP194" s="699"/>
      <c r="HQ194" s="699"/>
      <c r="HR194" s="699"/>
      <c r="HS194" s="699"/>
      <c r="HT194" s="699"/>
      <c r="HU194" s="699"/>
      <c r="HV194" s="699"/>
      <c r="HW194" s="699"/>
      <c r="HX194" s="699"/>
      <c r="HY194" s="699"/>
      <c r="HZ194" s="699"/>
      <c r="IA194" s="699"/>
      <c r="IB194" s="699"/>
      <c r="IC194" s="699"/>
      <c r="ID194" s="699"/>
      <c r="IE194" s="699"/>
      <c r="IF194" s="699"/>
      <c r="IG194" s="699"/>
      <c r="IH194" s="699"/>
      <c r="II194" s="699"/>
      <c r="IJ194" s="699"/>
      <c r="IK194" s="699"/>
      <c r="IL194" s="699"/>
      <c r="IM194" s="699"/>
      <c r="IN194" s="699"/>
      <c r="IO194" s="699"/>
      <c r="IP194" s="699"/>
      <c r="IQ194" s="699"/>
      <c r="IR194" s="699"/>
      <c r="IS194" s="699"/>
      <c r="IT194" s="699"/>
    </row>
    <row r="195" s="694" customFormat="1" ht="36" customHeight="1" spans="1:254">
      <c r="A195" s="805">
        <v>44875</v>
      </c>
      <c r="B195" s="712" t="s">
        <v>90</v>
      </c>
      <c r="C195" s="721" t="s">
        <v>91</v>
      </c>
      <c r="D195" s="711">
        <v>4500090519</v>
      </c>
      <c r="E195" s="712">
        <v>1328827682</v>
      </c>
      <c r="F195" s="711" t="s">
        <v>1447</v>
      </c>
      <c r="G195" s="712" t="s">
        <v>3595</v>
      </c>
      <c r="H195" s="711">
        <v>640</v>
      </c>
      <c r="I195" s="711">
        <v>0</v>
      </c>
      <c r="J195" s="711">
        <v>4</v>
      </c>
      <c r="K195" s="698">
        <f t="shared" si="99"/>
        <v>160</v>
      </c>
      <c r="L195" s="777">
        <v>44925</v>
      </c>
      <c r="M195" s="727">
        <v>44921</v>
      </c>
      <c r="N195" s="744"/>
      <c r="O195" s="744" t="s">
        <v>3592</v>
      </c>
      <c r="P195" s="744"/>
      <c r="Q195" s="873" t="s">
        <v>3596</v>
      </c>
      <c r="R195" s="845"/>
      <c r="S195" s="845" t="s">
        <v>3604</v>
      </c>
      <c r="T195" s="744" t="s">
        <v>3598</v>
      </c>
      <c r="U195" s="856"/>
      <c r="V195" s="711" t="s">
        <v>3594</v>
      </c>
      <c r="W195" s="872">
        <v>0</v>
      </c>
      <c r="X195" s="757">
        <f t="shared" si="100"/>
        <v>0</v>
      </c>
      <c r="Y195" s="778"/>
      <c r="Z195" s="712" t="s">
        <v>63</v>
      </c>
      <c r="AA195" s="712"/>
      <c r="AB195" s="778"/>
      <c r="AC195" s="778"/>
      <c r="AD195" s="711">
        <f t="shared" ref="AD195:AD199" si="105">H195</f>
        <v>640</v>
      </c>
      <c r="AE195" s="711">
        <f>H195</f>
        <v>640</v>
      </c>
      <c r="AF195" s="711"/>
      <c r="AG195" s="800"/>
      <c r="AH195" s="800"/>
      <c r="AI195" s="800"/>
      <c r="AJ195" s="800"/>
      <c r="AK195" s="800"/>
      <c r="AL195" s="779"/>
      <c r="AM195" s="779"/>
      <c r="AN195" s="779"/>
      <c r="AO195" s="698"/>
      <c r="AP195" s="698"/>
      <c r="AQ195" s="711">
        <f>H195</f>
        <v>640</v>
      </c>
      <c r="AR195" s="698">
        <f>H195</f>
        <v>640</v>
      </c>
      <c r="AS195" s="698"/>
      <c r="AT195" s="698"/>
      <c r="AU195" s="698"/>
      <c r="AV195" s="698"/>
      <c r="AW195" s="698"/>
      <c r="AX195" s="698"/>
      <c r="AY195" s="698"/>
      <c r="AZ195" s="698"/>
      <c r="BA195" s="698"/>
      <c r="BB195" s="698"/>
      <c r="BC195" s="698"/>
      <c r="BD195" s="698"/>
      <c r="BE195" s="698"/>
      <c r="BF195" s="698"/>
      <c r="BG195" s="698"/>
      <c r="BH195" s="698"/>
      <c r="BI195" s="698"/>
      <c r="BJ195" s="698"/>
      <c r="BK195" s="698"/>
      <c r="BL195" s="698"/>
      <c r="BM195" s="698"/>
      <c r="BN195" s="698"/>
      <c r="BO195" s="698"/>
      <c r="BP195" s="698"/>
      <c r="BQ195" s="698"/>
      <c r="BR195" s="698"/>
      <c r="BS195" s="698"/>
      <c r="BT195" s="698"/>
      <c r="BU195" s="698"/>
      <c r="BV195" s="698"/>
      <c r="BW195" s="698"/>
      <c r="BX195" s="698"/>
      <c r="BY195" s="698"/>
      <c r="BZ195" s="698"/>
      <c r="CA195" s="698"/>
      <c r="CB195" s="698"/>
      <c r="CC195" s="698"/>
      <c r="CD195" s="698"/>
      <c r="CE195" s="698"/>
      <c r="CF195" s="698"/>
      <c r="CG195" s="698"/>
      <c r="CH195" s="698"/>
      <c r="CI195" s="698"/>
      <c r="CJ195" s="698"/>
      <c r="CK195" s="698"/>
      <c r="CL195" s="698"/>
      <c r="CM195" s="698"/>
      <c r="CN195" s="698"/>
      <c r="CO195" s="698"/>
      <c r="CP195" s="698"/>
      <c r="CQ195" s="698"/>
      <c r="CR195" s="698"/>
      <c r="CS195" s="698"/>
      <c r="CT195" s="698"/>
      <c r="CU195" s="698"/>
      <c r="CV195" s="698"/>
      <c r="CW195" s="698"/>
      <c r="CX195" s="698"/>
      <c r="CY195" s="698"/>
      <c r="CZ195" s="698"/>
      <c r="DA195" s="698"/>
      <c r="DB195" s="698"/>
      <c r="DC195" s="698"/>
      <c r="DD195" s="698"/>
      <c r="DE195" s="698"/>
      <c r="DF195" s="698"/>
      <c r="DG195" s="698"/>
      <c r="DH195" s="698"/>
      <c r="DI195" s="698"/>
      <c r="DJ195" s="698"/>
      <c r="DK195" s="698"/>
      <c r="DL195" s="698"/>
      <c r="DM195" s="698"/>
      <c r="DN195" s="698"/>
      <c r="DO195" s="698"/>
      <c r="DP195" s="698"/>
      <c r="DQ195" s="698"/>
      <c r="DR195" s="698"/>
      <c r="DS195" s="698"/>
      <c r="DT195" s="698"/>
      <c r="DU195" s="698"/>
      <c r="DV195" s="698"/>
      <c r="DW195" s="698"/>
      <c r="DX195" s="698"/>
      <c r="DY195" s="698"/>
      <c r="DZ195" s="698"/>
      <c r="EA195" s="698"/>
      <c r="EB195" s="698"/>
      <c r="EC195" s="698"/>
      <c r="ED195" s="698"/>
      <c r="EE195" s="698"/>
      <c r="EF195" s="698"/>
      <c r="EG195" s="698"/>
      <c r="EH195" s="698"/>
      <c r="EI195" s="698"/>
      <c r="EJ195" s="698"/>
      <c r="EK195" s="698"/>
      <c r="EL195" s="698"/>
      <c r="EM195" s="698"/>
      <c r="EN195" s="698"/>
      <c r="EO195" s="698"/>
      <c r="EP195" s="698"/>
      <c r="EQ195" s="698"/>
      <c r="ER195" s="698"/>
      <c r="ES195" s="698"/>
      <c r="ET195" s="698"/>
      <c r="EU195" s="698"/>
      <c r="EV195" s="698"/>
      <c r="EW195" s="698"/>
      <c r="EX195" s="698"/>
      <c r="EY195" s="698"/>
      <c r="EZ195" s="698"/>
      <c r="FA195" s="698"/>
      <c r="FB195" s="698"/>
      <c r="FC195" s="698"/>
      <c r="FD195" s="698"/>
      <c r="FE195" s="698"/>
      <c r="FF195" s="698"/>
      <c r="FG195" s="698"/>
      <c r="FH195" s="698"/>
      <c r="FI195" s="698"/>
      <c r="FJ195" s="698"/>
      <c r="FK195" s="799"/>
      <c r="FL195" s="799"/>
      <c r="FM195" s="799"/>
      <c r="FN195" s="799"/>
      <c r="FO195" s="799"/>
      <c r="FP195" s="799"/>
      <c r="FQ195" s="799"/>
      <c r="FR195" s="799"/>
      <c r="FS195" s="799"/>
      <c r="FT195" s="799"/>
      <c r="FU195" s="799"/>
      <c r="FV195" s="799"/>
      <c r="FW195" s="799"/>
      <c r="FX195" s="799"/>
      <c r="FY195" s="799"/>
      <c r="FZ195" s="799"/>
      <c r="GA195" s="799"/>
      <c r="GB195" s="799"/>
      <c r="GC195" s="799"/>
      <c r="GD195" s="799"/>
      <c r="GE195" s="799"/>
      <c r="GF195" s="799"/>
      <c r="GG195" s="799"/>
      <c r="GH195" s="799"/>
      <c r="GI195" s="799"/>
      <c r="GJ195" s="799"/>
      <c r="GK195" s="799"/>
      <c r="GL195" s="799"/>
      <c r="GM195" s="799"/>
      <c r="GN195" s="799"/>
      <c r="GO195" s="799"/>
      <c r="GP195" s="799"/>
      <c r="GQ195" s="799"/>
      <c r="GR195" s="799"/>
      <c r="GS195" s="799"/>
      <c r="GT195" s="799"/>
      <c r="GU195" s="799"/>
      <c r="GV195" s="799"/>
      <c r="GW195" s="799"/>
      <c r="GX195" s="799"/>
      <c r="GY195" s="799"/>
      <c r="GZ195" s="799"/>
      <c r="HA195" s="799"/>
      <c r="HB195" s="799"/>
      <c r="HC195" s="799"/>
      <c r="HD195" s="799"/>
      <c r="HE195" s="799"/>
      <c r="HF195" s="799"/>
      <c r="HG195" s="799"/>
      <c r="HH195" s="799"/>
      <c r="HI195" s="799"/>
      <c r="HJ195" s="799"/>
      <c r="HK195" s="799"/>
      <c r="HL195" s="799"/>
      <c r="HM195" s="799"/>
      <c r="HN195" s="799"/>
      <c r="HO195" s="699"/>
      <c r="HP195" s="699"/>
      <c r="HQ195" s="699"/>
      <c r="HR195" s="699"/>
      <c r="HS195" s="699"/>
      <c r="HT195" s="699"/>
      <c r="HU195" s="699"/>
      <c r="HV195" s="699"/>
      <c r="HW195" s="699"/>
      <c r="HX195" s="699"/>
      <c r="HY195" s="699"/>
      <c r="HZ195" s="699"/>
      <c r="IA195" s="699"/>
      <c r="IB195" s="699"/>
      <c r="IC195" s="699"/>
      <c r="ID195" s="699"/>
      <c r="IE195" s="699"/>
      <c r="IF195" s="699"/>
      <c r="IG195" s="699"/>
      <c r="IH195" s="699"/>
      <c r="II195" s="699"/>
      <c r="IJ195" s="699"/>
      <c r="IK195" s="699"/>
      <c r="IL195" s="699"/>
      <c r="IM195" s="699"/>
      <c r="IN195" s="699"/>
      <c r="IO195" s="699"/>
      <c r="IP195" s="699"/>
      <c r="IQ195" s="699"/>
      <c r="IR195" s="699"/>
      <c r="IS195" s="699"/>
      <c r="IT195" s="699"/>
    </row>
    <row r="196" s="694" customFormat="1" ht="36" customHeight="1" spans="1:254">
      <c r="A196" s="805">
        <v>44875</v>
      </c>
      <c r="B196" s="712" t="s">
        <v>90</v>
      </c>
      <c r="C196" s="721" t="s">
        <v>91</v>
      </c>
      <c r="D196" s="711">
        <v>4500090519</v>
      </c>
      <c r="E196" s="712" t="s">
        <v>3605</v>
      </c>
      <c r="F196" s="711" t="s">
        <v>3599</v>
      </c>
      <c r="G196" s="712" t="s">
        <v>3600</v>
      </c>
      <c r="H196" s="711">
        <v>1</v>
      </c>
      <c r="I196" s="711">
        <v>0</v>
      </c>
      <c r="J196" s="711">
        <v>1</v>
      </c>
      <c r="K196" s="698">
        <f t="shared" si="99"/>
        <v>1</v>
      </c>
      <c r="L196" s="777">
        <v>44925</v>
      </c>
      <c r="M196" s="727">
        <v>44921</v>
      </c>
      <c r="N196" s="744"/>
      <c r="O196" s="744" t="s">
        <v>3592</v>
      </c>
      <c r="P196" s="744"/>
      <c r="Q196" s="845"/>
      <c r="R196" s="845"/>
      <c r="S196" s="845"/>
      <c r="T196" s="744"/>
      <c r="U196" s="859" t="s">
        <v>3601</v>
      </c>
      <c r="V196" s="711" t="s">
        <v>3594</v>
      </c>
      <c r="W196" s="872">
        <v>1609.0328</v>
      </c>
      <c r="X196" s="757">
        <f t="shared" si="100"/>
        <v>1609.0328</v>
      </c>
      <c r="Y196" s="778"/>
      <c r="Z196" s="712" t="s">
        <v>63</v>
      </c>
      <c r="AA196" s="712"/>
      <c r="AB196" s="778"/>
      <c r="AC196" s="778"/>
      <c r="AD196" s="711"/>
      <c r="AE196" s="711"/>
      <c r="AF196" s="711"/>
      <c r="AG196" s="800"/>
      <c r="AH196" s="800"/>
      <c r="AI196" s="800"/>
      <c r="AJ196" s="800"/>
      <c r="AK196" s="800"/>
      <c r="AL196" s="779"/>
      <c r="AM196" s="779"/>
      <c r="AN196" s="779"/>
      <c r="AO196" s="698"/>
      <c r="AP196" s="698"/>
      <c r="AQ196" s="711"/>
      <c r="AR196" s="698"/>
      <c r="AS196" s="698"/>
      <c r="AT196" s="698"/>
      <c r="AU196" s="698"/>
      <c r="AV196" s="698"/>
      <c r="AW196" s="698"/>
      <c r="AX196" s="698"/>
      <c r="AY196" s="698"/>
      <c r="AZ196" s="698"/>
      <c r="BA196" s="698"/>
      <c r="BB196" s="698"/>
      <c r="BC196" s="698"/>
      <c r="BD196" s="698"/>
      <c r="BE196" s="698"/>
      <c r="BF196" s="698"/>
      <c r="BG196" s="698"/>
      <c r="BH196" s="698"/>
      <c r="BI196" s="698"/>
      <c r="BJ196" s="698"/>
      <c r="BK196" s="698"/>
      <c r="BL196" s="698"/>
      <c r="BM196" s="698"/>
      <c r="BN196" s="698"/>
      <c r="BO196" s="698"/>
      <c r="BP196" s="698"/>
      <c r="BQ196" s="698"/>
      <c r="BR196" s="698"/>
      <c r="BS196" s="698"/>
      <c r="BT196" s="698"/>
      <c r="BU196" s="698"/>
      <c r="BV196" s="698"/>
      <c r="BW196" s="698"/>
      <c r="BX196" s="698"/>
      <c r="BY196" s="698"/>
      <c r="BZ196" s="698"/>
      <c r="CA196" s="698"/>
      <c r="CB196" s="698"/>
      <c r="CC196" s="698"/>
      <c r="CD196" s="698"/>
      <c r="CE196" s="698"/>
      <c r="CF196" s="698"/>
      <c r="CG196" s="698"/>
      <c r="CH196" s="698"/>
      <c r="CI196" s="698"/>
      <c r="CJ196" s="698"/>
      <c r="CK196" s="698"/>
      <c r="CL196" s="698"/>
      <c r="CM196" s="698"/>
      <c r="CN196" s="698"/>
      <c r="CO196" s="698"/>
      <c r="CP196" s="698"/>
      <c r="CQ196" s="698"/>
      <c r="CR196" s="698"/>
      <c r="CS196" s="698"/>
      <c r="CT196" s="698"/>
      <c r="CU196" s="698"/>
      <c r="CV196" s="698"/>
      <c r="CW196" s="698"/>
      <c r="CX196" s="698"/>
      <c r="CY196" s="698"/>
      <c r="CZ196" s="698"/>
      <c r="DA196" s="698"/>
      <c r="DB196" s="698"/>
      <c r="DC196" s="698"/>
      <c r="DD196" s="698"/>
      <c r="DE196" s="698"/>
      <c r="DF196" s="698"/>
      <c r="DG196" s="698"/>
      <c r="DH196" s="698"/>
      <c r="DI196" s="698"/>
      <c r="DJ196" s="698"/>
      <c r="DK196" s="698"/>
      <c r="DL196" s="698"/>
      <c r="DM196" s="698"/>
      <c r="DN196" s="698"/>
      <c r="DO196" s="698"/>
      <c r="DP196" s="698"/>
      <c r="DQ196" s="698"/>
      <c r="DR196" s="698"/>
      <c r="DS196" s="698"/>
      <c r="DT196" s="698"/>
      <c r="DU196" s="698"/>
      <c r="DV196" s="698"/>
      <c r="DW196" s="698"/>
      <c r="DX196" s="698"/>
      <c r="DY196" s="698"/>
      <c r="DZ196" s="698"/>
      <c r="EA196" s="698"/>
      <c r="EB196" s="698"/>
      <c r="EC196" s="698"/>
      <c r="ED196" s="698"/>
      <c r="EE196" s="698"/>
      <c r="EF196" s="698"/>
      <c r="EG196" s="698"/>
      <c r="EH196" s="698"/>
      <c r="EI196" s="698"/>
      <c r="EJ196" s="698"/>
      <c r="EK196" s="698"/>
      <c r="EL196" s="698"/>
      <c r="EM196" s="698"/>
      <c r="EN196" s="698"/>
      <c r="EO196" s="698"/>
      <c r="EP196" s="698"/>
      <c r="EQ196" s="698"/>
      <c r="ER196" s="698"/>
      <c r="ES196" s="698"/>
      <c r="ET196" s="698"/>
      <c r="EU196" s="698"/>
      <c r="EV196" s="698"/>
      <c r="EW196" s="698"/>
      <c r="EX196" s="698"/>
      <c r="EY196" s="698"/>
      <c r="EZ196" s="698"/>
      <c r="FA196" s="698"/>
      <c r="FB196" s="698"/>
      <c r="FC196" s="698"/>
      <c r="FD196" s="698"/>
      <c r="FE196" s="698"/>
      <c r="FF196" s="698"/>
      <c r="FG196" s="698"/>
      <c r="FH196" s="698"/>
      <c r="FI196" s="698"/>
      <c r="FJ196" s="698"/>
      <c r="FK196" s="799"/>
      <c r="FL196" s="799"/>
      <c r="FM196" s="799"/>
      <c r="FN196" s="799"/>
      <c r="FO196" s="799"/>
      <c r="FP196" s="799"/>
      <c r="FQ196" s="799"/>
      <c r="FR196" s="799"/>
      <c r="FS196" s="799"/>
      <c r="FT196" s="799"/>
      <c r="FU196" s="799"/>
      <c r="FV196" s="799"/>
      <c r="FW196" s="799"/>
      <c r="FX196" s="799"/>
      <c r="FY196" s="799"/>
      <c r="FZ196" s="799"/>
      <c r="GA196" s="799"/>
      <c r="GB196" s="799"/>
      <c r="GC196" s="799"/>
      <c r="GD196" s="799"/>
      <c r="GE196" s="799"/>
      <c r="GF196" s="799"/>
      <c r="GG196" s="799"/>
      <c r="GH196" s="799"/>
      <c r="GI196" s="799"/>
      <c r="GJ196" s="799"/>
      <c r="GK196" s="799"/>
      <c r="GL196" s="799"/>
      <c r="GM196" s="799"/>
      <c r="GN196" s="799"/>
      <c r="GO196" s="799"/>
      <c r="GP196" s="799"/>
      <c r="GQ196" s="799"/>
      <c r="GR196" s="799"/>
      <c r="GS196" s="799"/>
      <c r="GT196" s="799"/>
      <c r="GU196" s="799"/>
      <c r="GV196" s="799"/>
      <c r="GW196" s="799"/>
      <c r="GX196" s="799"/>
      <c r="GY196" s="799"/>
      <c r="GZ196" s="799"/>
      <c r="HA196" s="799"/>
      <c r="HB196" s="799"/>
      <c r="HC196" s="799"/>
      <c r="HD196" s="799"/>
      <c r="HE196" s="799"/>
      <c r="HF196" s="799"/>
      <c r="HG196" s="799"/>
      <c r="HH196" s="799"/>
      <c r="HI196" s="799"/>
      <c r="HJ196" s="799"/>
      <c r="HK196" s="799"/>
      <c r="HL196" s="799"/>
      <c r="HM196" s="799"/>
      <c r="HN196" s="799"/>
      <c r="HO196" s="699"/>
      <c r="HP196" s="699"/>
      <c r="HQ196" s="699"/>
      <c r="HR196" s="699"/>
      <c r="HS196" s="699"/>
      <c r="HT196" s="699"/>
      <c r="HU196" s="699"/>
      <c r="HV196" s="699"/>
      <c r="HW196" s="699"/>
      <c r="HX196" s="699"/>
      <c r="HY196" s="699"/>
      <c r="HZ196" s="699"/>
      <c r="IA196" s="699"/>
      <c r="IB196" s="699"/>
      <c r="IC196" s="699"/>
      <c r="ID196" s="699"/>
      <c r="IE196" s="699"/>
      <c r="IF196" s="699"/>
      <c r="IG196" s="699"/>
      <c r="IH196" s="699"/>
      <c r="II196" s="699"/>
      <c r="IJ196" s="699"/>
      <c r="IK196" s="699"/>
      <c r="IL196" s="699"/>
      <c r="IM196" s="699"/>
      <c r="IN196" s="699"/>
      <c r="IO196" s="699"/>
      <c r="IP196" s="699"/>
      <c r="IQ196" s="699"/>
      <c r="IR196" s="699"/>
      <c r="IS196" s="699"/>
      <c r="IT196" s="699"/>
    </row>
    <row r="197" s="694" customFormat="1" ht="36" customHeight="1" spans="1:254">
      <c r="A197" s="805">
        <v>44875</v>
      </c>
      <c r="B197" s="712" t="s">
        <v>90</v>
      </c>
      <c r="C197" s="721" t="s">
        <v>91</v>
      </c>
      <c r="D197" s="711">
        <v>4500090519</v>
      </c>
      <c r="E197" s="712" t="s">
        <v>3605</v>
      </c>
      <c r="F197" s="711" t="s">
        <v>1446</v>
      </c>
      <c r="G197" s="712" t="s">
        <v>3602</v>
      </c>
      <c r="H197" s="711">
        <v>640</v>
      </c>
      <c r="I197" s="711">
        <v>0</v>
      </c>
      <c r="J197" s="711">
        <v>4</v>
      </c>
      <c r="K197" s="698">
        <f t="shared" si="99"/>
        <v>160</v>
      </c>
      <c r="L197" s="777">
        <v>44925</v>
      </c>
      <c r="M197" s="727">
        <v>44921</v>
      </c>
      <c r="N197" s="744"/>
      <c r="O197" s="744" t="s">
        <v>3592</v>
      </c>
      <c r="P197" s="744"/>
      <c r="Q197" s="873" t="s">
        <v>3596</v>
      </c>
      <c r="R197" s="845"/>
      <c r="S197" s="845" t="s">
        <v>3604</v>
      </c>
      <c r="T197" s="744" t="s">
        <v>3598</v>
      </c>
      <c r="U197" s="856"/>
      <c r="V197" s="711" t="s">
        <v>3594</v>
      </c>
      <c r="W197" s="872">
        <v>0</v>
      </c>
      <c r="X197" s="757">
        <f t="shared" si="100"/>
        <v>0</v>
      </c>
      <c r="Y197" s="778"/>
      <c r="Z197" s="712" t="s">
        <v>63</v>
      </c>
      <c r="AA197" s="712"/>
      <c r="AB197" s="778"/>
      <c r="AC197" s="778"/>
      <c r="AD197" s="711">
        <f t="shared" si="105"/>
        <v>640</v>
      </c>
      <c r="AE197" s="711"/>
      <c r="AF197" s="711">
        <f>H197</f>
        <v>640</v>
      </c>
      <c r="AG197" s="800"/>
      <c r="AH197" s="800"/>
      <c r="AI197" s="800"/>
      <c r="AJ197" s="800"/>
      <c r="AK197" s="800"/>
      <c r="AL197" s="779"/>
      <c r="AM197" s="779"/>
      <c r="AN197" s="779"/>
      <c r="AO197" s="698">
        <f>H197</f>
        <v>640</v>
      </c>
      <c r="AP197" s="698">
        <f>H197</f>
        <v>640</v>
      </c>
      <c r="AQ197" s="711"/>
      <c r="AR197" s="698"/>
      <c r="AS197" s="698"/>
      <c r="AT197" s="698"/>
      <c r="AU197" s="698"/>
      <c r="AV197" s="698"/>
      <c r="AW197" s="698"/>
      <c r="AX197" s="698"/>
      <c r="AY197" s="698"/>
      <c r="AZ197" s="698"/>
      <c r="BA197" s="698"/>
      <c r="BB197" s="698"/>
      <c r="BC197" s="698"/>
      <c r="BD197" s="698"/>
      <c r="BE197" s="698"/>
      <c r="BF197" s="698"/>
      <c r="BG197" s="698"/>
      <c r="BH197" s="698"/>
      <c r="BI197" s="698"/>
      <c r="BJ197" s="698"/>
      <c r="BK197" s="698"/>
      <c r="BL197" s="698"/>
      <c r="BM197" s="698"/>
      <c r="BN197" s="698"/>
      <c r="BO197" s="698"/>
      <c r="BP197" s="698"/>
      <c r="BQ197" s="698"/>
      <c r="BR197" s="698"/>
      <c r="BS197" s="698"/>
      <c r="BT197" s="698"/>
      <c r="BU197" s="698"/>
      <c r="BV197" s="698"/>
      <c r="BW197" s="698"/>
      <c r="BX197" s="698"/>
      <c r="BY197" s="698"/>
      <c r="BZ197" s="698"/>
      <c r="CA197" s="698"/>
      <c r="CB197" s="698"/>
      <c r="CC197" s="698"/>
      <c r="CD197" s="698"/>
      <c r="CE197" s="698"/>
      <c r="CF197" s="698"/>
      <c r="CG197" s="698"/>
      <c r="CH197" s="698"/>
      <c r="CI197" s="698"/>
      <c r="CJ197" s="698"/>
      <c r="CK197" s="698"/>
      <c r="CL197" s="698"/>
      <c r="CM197" s="698"/>
      <c r="CN197" s="698"/>
      <c r="CO197" s="698"/>
      <c r="CP197" s="698"/>
      <c r="CQ197" s="698"/>
      <c r="CR197" s="698"/>
      <c r="CS197" s="698"/>
      <c r="CT197" s="698"/>
      <c r="CU197" s="698"/>
      <c r="CV197" s="698"/>
      <c r="CW197" s="698"/>
      <c r="CX197" s="698"/>
      <c r="CY197" s="698"/>
      <c r="CZ197" s="698"/>
      <c r="DA197" s="698"/>
      <c r="DB197" s="698"/>
      <c r="DC197" s="698"/>
      <c r="DD197" s="698"/>
      <c r="DE197" s="698"/>
      <c r="DF197" s="698"/>
      <c r="DG197" s="698"/>
      <c r="DH197" s="698"/>
      <c r="DI197" s="698"/>
      <c r="DJ197" s="698"/>
      <c r="DK197" s="698"/>
      <c r="DL197" s="698"/>
      <c r="DM197" s="698"/>
      <c r="DN197" s="698"/>
      <c r="DO197" s="698"/>
      <c r="DP197" s="698"/>
      <c r="DQ197" s="698"/>
      <c r="DR197" s="698"/>
      <c r="DS197" s="698"/>
      <c r="DT197" s="698"/>
      <c r="DU197" s="698"/>
      <c r="DV197" s="698"/>
      <c r="DW197" s="698"/>
      <c r="DX197" s="698"/>
      <c r="DY197" s="698"/>
      <c r="DZ197" s="698"/>
      <c r="EA197" s="698"/>
      <c r="EB197" s="698"/>
      <c r="EC197" s="698"/>
      <c r="ED197" s="698"/>
      <c r="EE197" s="698"/>
      <c r="EF197" s="698"/>
      <c r="EG197" s="698"/>
      <c r="EH197" s="698"/>
      <c r="EI197" s="698"/>
      <c r="EJ197" s="698"/>
      <c r="EK197" s="698"/>
      <c r="EL197" s="698"/>
      <c r="EM197" s="698"/>
      <c r="EN197" s="698"/>
      <c r="EO197" s="698"/>
      <c r="EP197" s="698"/>
      <c r="EQ197" s="698"/>
      <c r="ER197" s="698"/>
      <c r="ES197" s="698"/>
      <c r="ET197" s="698"/>
      <c r="EU197" s="698"/>
      <c r="EV197" s="698"/>
      <c r="EW197" s="698"/>
      <c r="EX197" s="698"/>
      <c r="EY197" s="698"/>
      <c r="EZ197" s="698"/>
      <c r="FA197" s="698"/>
      <c r="FB197" s="698"/>
      <c r="FC197" s="698"/>
      <c r="FD197" s="698"/>
      <c r="FE197" s="698"/>
      <c r="FF197" s="698"/>
      <c r="FG197" s="698"/>
      <c r="FH197" s="698"/>
      <c r="FI197" s="698"/>
      <c r="FJ197" s="698"/>
      <c r="FK197" s="799"/>
      <c r="FL197" s="799"/>
      <c r="FM197" s="799"/>
      <c r="FN197" s="799"/>
      <c r="FO197" s="799"/>
      <c r="FP197" s="799"/>
      <c r="FQ197" s="799"/>
      <c r="FR197" s="799"/>
      <c r="FS197" s="799"/>
      <c r="FT197" s="799"/>
      <c r="FU197" s="799"/>
      <c r="FV197" s="799"/>
      <c r="FW197" s="799"/>
      <c r="FX197" s="799"/>
      <c r="FY197" s="799"/>
      <c r="FZ197" s="799"/>
      <c r="GA197" s="799"/>
      <c r="GB197" s="799"/>
      <c r="GC197" s="799"/>
      <c r="GD197" s="799"/>
      <c r="GE197" s="799"/>
      <c r="GF197" s="799"/>
      <c r="GG197" s="799"/>
      <c r="GH197" s="799"/>
      <c r="GI197" s="799"/>
      <c r="GJ197" s="799"/>
      <c r="GK197" s="799"/>
      <c r="GL197" s="799"/>
      <c r="GM197" s="799"/>
      <c r="GN197" s="799"/>
      <c r="GO197" s="799"/>
      <c r="GP197" s="799"/>
      <c r="GQ197" s="799"/>
      <c r="GR197" s="799"/>
      <c r="GS197" s="799"/>
      <c r="GT197" s="799"/>
      <c r="GU197" s="799"/>
      <c r="GV197" s="799"/>
      <c r="GW197" s="799"/>
      <c r="GX197" s="799"/>
      <c r="GY197" s="799"/>
      <c r="GZ197" s="799"/>
      <c r="HA197" s="799"/>
      <c r="HB197" s="799"/>
      <c r="HC197" s="799"/>
      <c r="HD197" s="799"/>
      <c r="HE197" s="799"/>
      <c r="HF197" s="799"/>
      <c r="HG197" s="799"/>
      <c r="HH197" s="799"/>
      <c r="HI197" s="799"/>
      <c r="HJ197" s="799"/>
      <c r="HK197" s="799"/>
      <c r="HL197" s="799"/>
      <c r="HM197" s="799"/>
      <c r="HN197" s="799"/>
      <c r="HO197" s="699"/>
      <c r="HP197" s="699"/>
      <c r="HQ197" s="699"/>
      <c r="HR197" s="699"/>
      <c r="HS197" s="699"/>
      <c r="HT197" s="699"/>
      <c r="HU197" s="699"/>
      <c r="HV197" s="699"/>
      <c r="HW197" s="699"/>
      <c r="HX197" s="699"/>
      <c r="HY197" s="699"/>
      <c r="HZ197" s="699"/>
      <c r="IA197" s="699"/>
      <c r="IB197" s="699"/>
      <c r="IC197" s="699"/>
      <c r="ID197" s="699"/>
      <c r="IE197" s="699"/>
      <c r="IF197" s="699"/>
      <c r="IG197" s="699"/>
      <c r="IH197" s="699"/>
      <c r="II197" s="699"/>
      <c r="IJ197" s="699"/>
      <c r="IK197" s="699"/>
      <c r="IL197" s="699"/>
      <c r="IM197" s="699"/>
      <c r="IN197" s="699"/>
      <c r="IO197" s="699"/>
      <c r="IP197" s="699"/>
      <c r="IQ197" s="699"/>
      <c r="IR197" s="699"/>
      <c r="IS197" s="699"/>
      <c r="IT197" s="699"/>
    </row>
    <row r="198" s="694" customFormat="1" ht="36" customHeight="1" spans="1:254">
      <c r="A198" s="805">
        <v>44875</v>
      </c>
      <c r="B198" s="712" t="s">
        <v>90</v>
      </c>
      <c r="C198" s="721" t="s">
        <v>91</v>
      </c>
      <c r="D198" s="711">
        <v>4500090520</v>
      </c>
      <c r="E198" s="712">
        <v>1328827680</v>
      </c>
      <c r="F198" s="711" t="s">
        <v>3599</v>
      </c>
      <c r="G198" s="712" t="s">
        <v>3600</v>
      </c>
      <c r="H198" s="711">
        <v>1</v>
      </c>
      <c r="I198" s="711">
        <v>0</v>
      </c>
      <c r="J198" s="711">
        <v>1</v>
      </c>
      <c r="K198" s="698">
        <f t="shared" si="99"/>
        <v>1</v>
      </c>
      <c r="L198" s="777">
        <v>44925</v>
      </c>
      <c r="M198" s="727">
        <v>44921</v>
      </c>
      <c r="N198" s="744"/>
      <c r="O198" s="744" t="s">
        <v>3592</v>
      </c>
      <c r="P198" s="744"/>
      <c r="Q198" s="845"/>
      <c r="R198" s="845"/>
      <c r="S198" s="845"/>
      <c r="T198" s="744"/>
      <c r="U198" s="859" t="s">
        <v>3601</v>
      </c>
      <c r="V198" s="711" t="s">
        <v>3594</v>
      </c>
      <c r="W198" s="872">
        <v>1609.0328</v>
      </c>
      <c r="X198" s="757">
        <f t="shared" si="100"/>
        <v>1609.0328</v>
      </c>
      <c r="Y198" s="778"/>
      <c r="Z198" s="712" t="s">
        <v>63</v>
      </c>
      <c r="AA198" s="712"/>
      <c r="AB198" s="778"/>
      <c r="AC198" s="778"/>
      <c r="AD198" s="711"/>
      <c r="AE198" s="711"/>
      <c r="AF198" s="711"/>
      <c r="AG198" s="800"/>
      <c r="AH198" s="800"/>
      <c r="AI198" s="800"/>
      <c r="AJ198" s="800"/>
      <c r="AK198" s="800"/>
      <c r="AL198" s="779"/>
      <c r="AM198" s="779"/>
      <c r="AN198" s="779"/>
      <c r="AO198" s="698"/>
      <c r="AP198" s="698"/>
      <c r="AQ198" s="711"/>
      <c r="AR198" s="698"/>
      <c r="AS198" s="698"/>
      <c r="AT198" s="698"/>
      <c r="AU198" s="698"/>
      <c r="AV198" s="698"/>
      <c r="AW198" s="698"/>
      <c r="AX198" s="698"/>
      <c r="AY198" s="698"/>
      <c r="AZ198" s="698"/>
      <c r="BA198" s="698"/>
      <c r="BB198" s="698"/>
      <c r="BC198" s="698"/>
      <c r="BD198" s="698"/>
      <c r="BE198" s="698"/>
      <c r="BF198" s="698"/>
      <c r="BG198" s="698"/>
      <c r="BH198" s="698"/>
      <c r="BI198" s="698"/>
      <c r="BJ198" s="698"/>
      <c r="BK198" s="698"/>
      <c r="BL198" s="698"/>
      <c r="BM198" s="698"/>
      <c r="BN198" s="698"/>
      <c r="BO198" s="698"/>
      <c r="BP198" s="698"/>
      <c r="BQ198" s="698"/>
      <c r="BR198" s="698"/>
      <c r="BS198" s="698"/>
      <c r="BT198" s="698"/>
      <c r="BU198" s="698"/>
      <c r="BV198" s="698"/>
      <c r="BW198" s="698"/>
      <c r="BX198" s="698"/>
      <c r="BY198" s="698"/>
      <c r="BZ198" s="698"/>
      <c r="CA198" s="698"/>
      <c r="CB198" s="698"/>
      <c r="CC198" s="698"/>
      <c r="CD198" s="698"/>
      <c r="CE198" s="698"/>
      <c r="CF198" s="698"/>
      <c r="CG198" s="698"/>
      <c r="CH198" s="698"/>
      <c r="CI198" s="698"/>
      <c r="CJ198" s="698"/>
      <c r="CK198" s="698"/>
      <c r="CL198" s="698"/>
      <c r="CM198" s="698"/>
      <c r="CN198" s="698"/>
      <c r="CO198" s="698"/>
      <c r="CP198" s="698"/>
      <c r="CQ198" s="698"/>
      <c r="CR198" s="698"/>
      <c r="CS198" s="698"/>
      <c r="CT198" s="698"/>
      <c r="CU198" s="698"/>
      <c r="CV198" s="698"/>
      <c r="CW198" s="698"/>
      <c r="CX198" s="698"/>
      <c r="CY198" s="698"/>
      <c r="CZ198" s="698"/>
      <c r="DA198" s="698"/>
      <c r="DB198" s="698"/>
      <c r="DC198" s="698"/>
      <c r="DD198" s="698"/>
      <c r="DE198" s="698"/>
      <c r="DF198" s="698"/>
      <c r="DG198" s="698"/>
      <c r="DH198" s="698"/>
      <c r="DI198" s="698"/>
      <c r="DJ198" s="698"/>
      <c r="DK198" s="698"/>
      <c r="DL198" s="698"/>
      <c r="DM198" s="698"/>
      <c r="DN198" s="698"/>
      <c r="DO198" s="698"/>
      <c r="DP198" s="698"/>
      <c r="DQ198" s="698"/>
      <c r="DR198" s="698"/>
      <c r="DS198" s="698"/>
      <c r="DT198" s="698"/>
      <c r="DU198" s="698"/>
      <c r="DV198" s="698"/>
      <c r="DW198" s="698"/>
      <c r="DX198" s="698"/>
      <c r="DY198" s="698"/>
      <c r="DZ198" s="698"/>
      <c r="EA198" s="698"/>
      <c r="EB198" s="698"/>
      <c r="EC198" s="698"/>
      <c r="ED198" s="698"/>
      <c r="EE198" s="698"/>
      <c r="EF198" s="698"/>
      <c r="EG198" s="698"/>
      <c r="EH198" s="698"/>
      <c r="EI198" s="698"/>
      <c r="EJ198" s="698"/>
      <c r="EK198" s="698"/>
      <c r="EL198" s="698"/>
      <c r="EM198" s="698"/>
      <c r="EN198" s="698"/>
      <c r="EO198" s="698"/>
      <c r="EP198" s="698"/>
      <c r="EQ198" s="698"/>
      <c r="ER198" s="698"/>
      <c r="ES198" s="698"/>
      <c r="ET198" s="698"/>
      <c r="EU198" s="698"/>
      <c r="EV198" s="698"/>
      <c r="EW198" s="698"/>
      <c r="EX198" s="698"/>
      <c r="EY198" s="698"/>
      <c r="EZ198" s="698"/>
      <c r="FA198" s="698"/>
      <c r="FB198" s="698"/>
      <c r="FC198" s="698"/>
      <c r="FD198" s="698"/>
      <c r="FE198" s="698"/>
      <c r="FF198" s="698"/>
      <c r="FG198" s="698"/>
      <c r="FH198" s="698"/>
      <c r="FI198" s="698"/>
      <c r="FJ198" s="698"/>
      <c r="FK198" s="799"/>
      <c r="FL198" s="799"/>
      <c r="FM198" s="799"/>
      <c r="FN198" s="799"/>
      <c r="FO198" s="799"/>
      <c r="FP198" s="799"/>
      <c r="FQ198" s="799"/>
      <c r="FR198" s="799"/>
      <c r="FS198" s="799"/>
      <c r="FT198" s="799"/>
      <c r="FU198" s="799"/>
      <c r="FV198" s="799"/>
      <c r="FW198" s="799"/>
      <c r="FX198" s="799"/>
      <c r="FY198" s="799"/>
      <c r="FZ198" s="799"/>
      <c r="GA198" s="799"/>
      <c r="GB198" s="799"/>
      <c r="GC198" s="799"/>
      <c r="GD198" s="799"/>
      <c r="GE198" s="799"/>
      <c r="GF198" s="799"/>
      <c r="GG198" s="799"/>
      <c r="GH198" s="799"/>
      <c r="GI198" s="799"/>
      <c r="GJ198" s="799"/>
      <c r="GK198" s="799"/>
      <c r="GL198" s="799"/>
      <c r="GM198" s="799"/>
      <c r="GN198" s="799"/>
      <c r="GO198" s="799"/>
      <c r="GP198" s="799"/>
      <c r="GQ198" s="799"/>
      <c r="GR198" s="799"/>
      <c r="GS198" s="799"/>
      <c r="GT198" s="799"/>
      <c r="GU198" s="799"/>
      <c r="GV198" s="799"/>
      <c r="GW198" s="799"/>
      <c r="GX198" s="799"/>
      <c r="GY198" s="799"/>
      <c r="GZ198" s="799"/>
      <c r="HA198" s="799"/>
      <c r="HB198" s="799"/>
      <c r="HC198" s="799"/>
      <c r="HD198" s="799"/>
      <c r="HE198" s="799"/>
      <c r="HF198" s="799"/>
      <c r="HG198" s="799"/>
      <c r="HH198" s="799"/>
      <c r="HI198" s="799"/>
      <c r="HJ198" s="799"/>
      <c r="HK198" s="799"/>
      <c r="HL198" s="799"/>
      <c r="HM198" s="799"/>
      <c r="HN198" s="799"/>
      <c r="HO198" s="699"/>
      <c r="HP198" s="699"/>
      <c r="HQ198" s="699"/>
      <c r="HR198" s="699"/>
      <c r="HS198" s="699"/>
      <c r="HT198" s="699"/>
      <c r="HU198" s="699"/>
      <c r="HV198" s="699"/>
      <c r="HW198" s="699"/>
      <c r="HX198" s="699"/>
      <c r="HY198" s="699"/>
      <c r="HZ198" s="699"/>
      <c r="IA198" s="699"/>
      <c r="IB198" s="699"/>
      <c r="IC198" s="699"/>
      <c r="ID198" s="699"/>
      <c r="IE198" s="699"/>
      <c r="IF198" s="699"/>
      <c r="IG198" s="699"/>
      <c r="IH198" s="699"/>
      <c r="II198" s="699"/>
      <c r="IJ198" s="699"/>
      <c r="IK198" s="699"/>
      <c r="IL198" s="699"/>
      <c r="IM198" s="699"/>
      <c r="IN198" s="699"/>
      <c r="IO198" s="699"/>
      <c r="IP198" s="699"/>
      <c r="IQ198" s="699"/>
      <c r="IR198" s="699"/>
      <c r="IS198" s="699"/>
      <c r="IT198" s="699"/>
    </row>
    <row r="199" s="694" customFormat="1" ht="36" customHeight="1" spans="1:254">
      <c r="A199" s="805">
        <v>44875</v>
      </c>
      <c r="B199" s="712" t="s">
        <v>90</v>
      </c>
      <c r="C199" s="721" t="s">
        <v>91</v>
      </c>
      <c r="D199" s="711">
        <v>4500090520</v>
      </c>
      <c r="E199" s="712">
        <v>1328827680</v>
      </c>
      <c r="F199" s="711" t="s">
        <v>1446</v>
      </c>
      <c r="G199" s="712" t="s">
        <v>3602</v>
      </c>
      <c r="H199" s="711">
        <v>640</v>
      </c>
      <c r="I199" s="711">
        <v>0</v>
      </c>
      <c r="J199" s="711">
        <v>4</v>
      </c>
      <c r="K199" s="698">
        <f t="shared" si="99"/>
        <v>160</v>
      </c>
      <c r="L199" s="777">
        <v>44925</v>
      </c>
      <c r="M199" s="727">
        <v>44921</v>
      </c>
      <c r="N199" s="744"/>
      <c r="O199" s="744" t="s">
        <v>3592</v>
      </c>
      <c r="P199" s="744"/>
      <c r="Q199" s="873" t="s">
        <v>3596</v>
      </c>
      <c r="R199" s="845"/>
      <c r="S199" s="845" t="s">
        <v>3604</v>
      </c>
      <c r="T199" s="744" t="s">
        <v>3598</v>
      </c>
      <c r="U199" s="856"/>
      <c r="V199" s="711" t="s">
        <v>3594</v>
      </c>
      <c r="W199" s="872">
        <v>0</v>
      </c>
      <c r="X199" s="757">
        <f t="shared" si="100"/>
        <v>0</v>
      </c>
      <c r="Y199" s="778"/>
      <c r="Z199" s="712" t="s">
        <v>63</v>
      </c>
      <c r="AA199" s="712"/>
      <c r="AB199" s="778"/>
      <c r="AC199" s="778"/>
      <c r="AD199" s="711">
        <f t="shared" si="105"/>
        <v>640</v>
      </c>
      <c r="AE199" s="711"/>
      <c r="AF199" s="711">
        <f>H199</f>
        <v>640</v>
      </c>
      <c r="AG199" s="800"/>
      <c r="AH199" s="800"/>
      <c r="AI199" s="800"/>
      <c r="AJ199" s="800"/>
      <c r="AK199" s="800"/>
      <c r="AL199" s="779"/>
      <c r="AM199" s="779"/>
      <c r="AN199" s="779"/>
      <c r="AO199" s="698">
        <f>H199</f>
        <v>640</v>
      </c>
      <c r="AP199" s="698">
        <f>H199</f>
        <v>640</v>
      </c>
      <c r="AQ199" s="711"/>
      <c r="AR199" s="698"/>
      <c r="AS199" s="698"/>
      <c r="AT199" s="698"/>
      <c r="AU199" s="698"/>
      <c r="AV199" s="698"/>
      <c r="AW199" s="698"/>
      <c r="AX199" s="698"/>
      <c r="AY199" s="698"/>
      <c r="AZ199" s="698"/>
      <c r="BA199" s="698"/>
      <c r="BB199" s="698"/>
      <c r="BC199" s="698"/>
      <c r="BD199" s="698"/>
      <c r="BE199" s="698"/>
      <c r="BF199" s="698"/>
      <c r="BG199" s="698"/>
      <c r="BH199" s="698"/>
      <c r="BI199" s="698"/>
      <c r="BJ199" s="698"/>
      <c r="BK199" s="698"/>
      <c r="BL199" s="698"/>
      <c r="BM199" s="698"/>
      <c r="BN199" s="698"/>
      <c r="BO199" s="698"/>
      <c r="BP199" s="698"/>
      <c r="BQ199" s="698"/>
      <c r="BR199" s="698"/>
      <c r="BS199" s="698"/>
      <c r="BT199" s="698"/>
      <c r="BU199" s="698"/>
      <c r="BV199" s="698"/>
      <c r="BW199" s="698"/>
      <c r="BX199" s="698"/>
      <c r="BY199" s="698"/>
      <c r="BZ199" s="698"/>
      <c r="CA199" s="698"/>
      <c r="CB199" s="698"/>
      <c r="CC199" s="698"/>
      <c r="CD199" s="698"/>
      <c r="CE199" s="698"/>
      <c r="CF199" s="698"/>
      <c r="CG199" s="698"/>
      <c r="CH199" s="698"/>
      <c r="CI199" s="698"/>
      <c r="CJ199" s="698"/>
      <c r="CK199" s="698"/>
      <c r="CL199" s="698"/>
      <c r="CM199" s="698"/>
      <c r="CN199" s="698"/>
      <c r="CO199" s="698"/>
      <c r="CP199" s="698"/>
      <c r="CQ199" s="698"/>
      <c r="CR199" s="698"/>
      <c r="CS199" s="698"/>
      <c r="CT199" s="698"/>
      <c r="CU199" s="698"/>
      <c r="CV199" s="698"/>
      <c r="CW199" s="698"/>
      <c r="CX199" s="698"/>
      <c r="CY199" s="698"/>
      <c r="CZ199" s="698"/>
      <c r="DA199" s="698"/>
      <c r="DB199" s="698"/>
      <c r="DC199" s="698"/>
      <c r="DD199" s="698"/>
      <c r="DE199" s="698"/>
      <c r="DF199" s="698"/>
      <c r="DG199" s="698"/>
      <c r="DH199" s="698"/>
      <c r="DI199" s="698"/>
      <c r="DJ199" s="698"/>
      <c r="DK199" s="698"/>
      <c r="DL199" s="698"/>
      <c r="DM199" s="698"/>
      <c r="DN199" s="698"/>
      <c r="DO199" s="698"/>
      <c r="DP199" s="698"/>
      <c r="DQ199" s="698"/>
      <c r="DR199" s="698"/>
      <c r="DS199" s="698"/>
      <c r="DT199" s="698"/>
      <c r="DU199" s="698"/>
      <c r="DV199" s="698"/>
      <c r="DW199" s="698"/>
      <c r="DX199" s="698"/>
      <c r="DY199" s="698"/>
      <c r="DZ199" s="698"/>
      <c r="EA199" s="698"/>
      <c r="EB199" s="698"/>
      <c r="EC199" s="698"/>
      <c r="ED199" s="698"/>
      <c r="EE199" s="698"/>
      <c r="EF199" s="698"/>
      <c r="EG199" s="698"/>
      <c r="EH199" s="698"/>
      <c r="EI199" s="698"/>
      <c r="EJ199" s="698"/>
      <c r="EK199" s="698"/>
      <c r="EL199" s="698"/>
      <c r="EM199" s="698"/>
      <c r="EN199" s="698"/>
      <c r="EO199" s="698"/>
      <c r="EP199" s="698"/>
      <c r="EQ199" s="698"/>
      <c r="ER199" s="698"/>
      <c r="ES199" s="698"/>
      <c r="ET199" s="698"/>
      <c r="EU199" s="698"/>
      <c r="EV199" s="698"/>
      <c r="EW199" s="698"/>
      <c r="EX199" s="698"/>
      <c r="EY199" s="698"/>
      <c r="EZ199" s="698"/>
      <c r="FA199" s="698"/>
      <c r="FB199" s="698"/>
      <c r="FC199" s="698"/>
      <c r="FD199" s="698"/>
      <c r="FE199" s="698"/>
      <c r="FF199" s="698"/>
      <c r="FG199" s="698"/>
      <c r="FH199" s="698"/>
      <c r="FI199" s="698"/>
      <c r="FJ199" s="698"/>
      <c r="FK199" s="799"/>
      <c r="FL199" s="799"/>
      <c r="FM199" s="799"/>
      <c r="FN199" s="799"/>
      <c r="FO199" s="799"/>
      <c r="FP199" s="799"/>
      <c r="FQ199" s="799"/>
      <c r="FR199" s="799"/>
      <c r="FS199" s="799"/>
      <c r="FT199" s="799"/>
      <c r="FU199" s="799"/>
      <c r="FV199" s="799"/>
      <c r="FW199" s="799"/>
      <c r="FX199" s="799"/>
      <c r="FY199" s="799"/>
      <c r="FZ199" s="799"/>
      <c r="GA199" s="799"/>
      <c r="GB199" s="799"/>
      <c r="GC199" s="799"/>
      <c r="GD199" s="799"/>
      <c r="GE199" s="799"/>
      <c r="GF199" s="799"/>
      <c r="GG199" s="799"/>
      <c r="GH199" s="799"/>
      <c r="GI199" s="799"/>
      <c r="GJ199" s="799"/>
      <c r="GK199" s="799"/>
      <c r="GL199" s="799"/>
      <c r="GM199" s="799"/>
      <c r="GN199" s="799"/>
      <c r="GO199" s="799"/>
      <c r="GP199" s="799"/>
      <c r="GQ199" s="799"/>
      <c r="GR199" s="799"/>
      <c r="GS199" s="799"/>
      <c r="GT199" s="799"/>
      <c r="GU199" s="799"/>
      <c r="GV199" s="799"/>
      <c r="GW199" s="799"/>
      <c r="GX199" s="799"/>
      <c r="GY199" s="799"/>
      <c r="GZ199" s="799"/>
      <c r="HA199" s="799"/>
      <c r="HB199" s="799"/>
      <c r="HC199" s="799"/>
      <c r="HD199" s="799"/>
      <c r="HE199" s="799"/>
      <c r="HF199" s="799"/>
      <c r="HG199" s="799"/>
      <c r="HH199" s="799"/>
      <c r="HI199" s="799"/>
      <c r="HJ199" s="799"/>
      <c r="HK199" s="799"/>
      <c r="HL199" s="799"/>
      <c r="HM199" s="799"/>
      <c r="HN199" s="799"/>
      <c r="HO199" s="699"/>
      <c r="HP199" s="699"/>
      <c r="HQ199" s="699"/>
      <c r="HR199" s="699"/>
      <c r="HS199" s="699"/>
      <c r="HT199" s="699"/>
      <c r="HU199" s="699"/>
      <c r="HV199" s="699"/>
      <c r="HW199" s="699"/>
      <c r="HX199" s="699"/>
      <c r="HY199" s="699"/>
      <c r="HZ199" s="699"/>
      <c r="IA199" s="699"/>
      <c r="IB199" s="699"/>
      <c r="IC199" s="699"/>
      <c r="ID199" s="699"/>
      <c r="IE199" s="699"/>
      <c r="IF199" s="699"/>
      <c r="IG199" s="699"/>
      <c r="IH199" s="699"/>
      <c r="II199" s="699"/>
      <c r="IJ199" s="699"/>
      <c r="IK199" s="699"/>
      <c r="IL199" s="699"/>
      <c r="IM199" s="699"/>
      <c r="IN199" s="699"/>
      <c r="IO199" s="699"/>
      <c r="IP199" s="699"/>
      <c r="IQ199" s="699"/>
      <c r="IR199" s="699"/>
      <c r="IS199" s="699"/>
      <c r="IT199" s="699"/>
    </row>
    <row r="200" s="694" customFormat="1" ht="36" customHeight="1" spans="1:254">
      <c r="A200" s="805">
        <v>44875</v>
      </c>
      <c r="B200" s="712" t="s">
        <v>90</v>
      </c>
      <c r="C200" s="721" t="s">
        <v>91</v>
      </c>
      <c r="D200" s="711">
        <v>4500090514</v>
      </c>
      <c r="E200" s="712">
        <v>1328827686</v>
      </c>
      <c r="F200" s="711" t="s">
        <v>3590</v>
      </c>
      <c r="G200" s="712" t="s">
        <v>3591</v>
      </c>
      <c r="H200" s="711">
        <v>1</v>
      </c>
      <c r="I200" s="711">
        <v>0</v>
      </c>
      <c r="J200" s="711">
        <v>1</v>
      </c>
      <c r="K200" s="698">
        <f t="shared" si="99"/>
        <v>1</v>
      </c>
      <c r="L200" s="777">
        <v>44929</v>
      </c>
      <c r="M200" s="727">
        <v>44926</v>
      </c>
      <c r="N200" s="744"/>
      <c r="O200" s="744" t="s">
        <v>3592</v>
      </c>
      <c r="P200" s="744"/>
      <c r="Q200" s="845"/>
      <c r="R200" s="845"/>
      <c r="S200" s="845"/>
      <c r="T200" s="744"/>
      <c r="U200" s="859" t="s">
        <v>3593</v>
      </c>
      <c r="V200" s="711" t="s">
        <v>3594</v>
      </c>
      <c r="W200" s="872">
        <v>1628.5247</v>
      </c>
      <c r="X200" s="757">
        <f t="shared" si="100"/>
        <v>1628.5247</v>
      </c>
      <c r="Y200" s="778"/>
      <c r="Z200" s="712" t="s">
        <v>63</v>
      </c>
      <c r="AA200" s="712"/>
      <c r="AB200" s="778"/>
      <c r="AC200" s="778"/>
      <c r="AD200" s="711"/>
      <c r="AE200" s="711"/>
      <c r="AF200" s="711"/>
      <c r="AG200" s="800"/>
      <c r="AH200" s="800"/>
      <c r="AI200" s="800"/>
      <c r="AJ200" s="800"/>
      <c r="AK200" s="800"/>
      <c r="AL200" s="779"/>
      <c r="AM200" s="779"/>
      <c r="AN200" s="779"/>
      <c r="AO200" s="698"/>
      <c r="AP200" s="698"/>
      <c r="AQ200" s="711"/>
      <c r="AR200" s="698"/>
      <c r="AS200" s="698"/>
      <c r="AT200" s="698"/>
      <c r="AU200" s="698"/>
      <c r="AV200" s="698"/>
      <c r="AW200" s="698"/>
      <c r="AX200" s="698"/>
      <c r="AY200" s="698"/>
      <c r="AZ200" s="698"/>
      <c r="BA200" s="698"/>
      <c r="BB200" s="698"/>
      <c r="BC200" s="698"/>
      <c r="BD200" s="698"/>
      <c r="BE200" s="698"/>
      <c r="BF200" s="698"/>
      <c r="BG200" s="698"/>
      <c r="BH200" s="698"/>
      <c r="BI200" s="698"/>
      <c r="BJ200" s="698"/>
      <c r="BK200" s="698"/>
      <c r="BL200" s="698"/>
      <c r="BM200" s="698"/>
      <c r="BN200" s="698"/>
      <c r="BO200" s="698"/>
      <c r="BP200" s="698"/>
      <c r="BQ200" s="698"/>
      <c r="BR200" s="698"/>
      <c r="BS200" s="698"/>
      <c r="BT200" s="698"/>
      <c r="BU200" s="698"/>
      <c r="BV200" s="698"/>
      <c r="BW200" s="698"/>
      <c r="BX200" s="698"/>
      <c r="BY200" s="698"/>
      <c r="BZ200" s="698"/>
      <c r="CA200" s="698"/>
      <c r="CB200" s="698"/>
      <c r="CC200" s="698"/>
      <c r="CD200" s="698"/>
      <c r="CE200" s="698"/>
      <c r="CF200" s="698"/>
      <c r="CG200" s="698"/>
      <c r="CH200" s="698"/>
      <c r="CI200" s="698"/>
      <c r="CJ200" s="698"/>
      <c r="CK200" s="698"/>
      <c r="CL200" s="698"/>
      <c r="CM200" s="698"/>
      <c r="CN200" s="698"/>
      <c r="CO200" s="698"/>
      <c r="CP200" s="698"/>
      <c r="CQ200" s="698"/>
      <c r="CR200" s="698"/>
      <c r="CS200" s="698"/>
      <c r="CT200" s="698"/>
      <c r="CU200" s="698"/>
      <c r="CV200" s="698"/>
      <c r="CW200" s="698"/>
      <c r="CX200" s="698"/>
      <c r="CY200" s="698"/>
      <c r="CZ200" s="698"/>
      <c r="DA200" s="698"/>
      <c r="DB200" s="698"/>
      <c r="DC200" s="698"/>
      <c r="DD200" s="698"/>
      <c r="DE200" s="698"/>
      <c r="DF200" s="698"/>
      <c r="DG200" s="698"/>
      <c r="DH200" s="698"/>
      <c r="DI200" s="698"/>
      <c r="DJ200" s="698"/>
      <c r="DK200" s="698"/>
      <c r="DL200" s="698"/>
      <c r="DM200" s="698"/>
      <c r="DN200" s="698"/>
      <c r="DO200" s="698"/>
      <c r="DP200" s="698"/>
      <c r="DQ200" s="698"/>
      <c r="DR200" s="698"/>
      <c r="DS200" s="698"/>
      <c r="DT200" s="698"/>
      <c r="DU200" s="698"/>
      <c r="DV200" s="698"/>
      <c r="DW200" s="698"/>
      <c r="DX200" s="698"/>
      <c r="DY200" s="698"/>
      <c r="DZ200" s="698"/>
      <c r="EA200" s="698"/>
      <c r="EB200" s="698"/>
      <c r="EC200" s="698"/>
      <c r="ED200" s="698"/>
      <c r="EE200" s="698"/>
      <c r="EF200" s="698"/>
      <c r="EG200" s="698"/>
      <c r="EH200" s="698"/>
      <c r="EI200" s="698"/>
      <c r="EJ200" s="698"/>
      <c r="EK200" s="698"/>
      <c r="EL200" s="698"/>
      <c r="EM200" s="698"/>
      <c r="EN200" s="698"/>
      <c r="EO200" s="698"/>
      <c r="EP200" s="698"/>
      <c r="EQ200" s="698"/>
      <c r="ER200" s="698"/>
      <c r="ES200" s="698"/>
      <c r="ET200" s="698"/>
      <c r="EU200" s="698"/>
      <c r="EV200" s="698"/>
      <c r="EW200" s="698"/>
      <c r="EX200" s="698"/>
      <c r="EY200" s="698"/>
      <c r="EZ200" s="698"/>
      <c r="FA200" s="698"/>
      <c r="FB200" s="698"/>
      <c r="FC200" s="698"/>
      <c r="FD200" s="698"/>
      <c r="FE200" s="698"/>
      <c r="FF200" s="698"/>
      <c r="FG200" s="698"/>
      <c r="FH200" s="698"/>
      <c r="FI200" s="698"/>
      <c r="FJ200" s="698"/>
      <c r="FK200" s="799"/>
      <c r="FL200" s="799"/>
      <c r="FM200" s="799"/>
      <c r="FN200" s="799"/>
      <c r="FO200" s="799"/>
      <c r="FP200" s="799"/>
      <c r="FQ200" s="799"/>
      <c r="FR200" s="799"/>
      <c r="FS200" s="799"/>
      <c r="FT200" s="799"/>
      <c r="FU200" s="799"/>
      <c r="FV200" s="799"/>
      <c r="FW200" s="799"/>
      <c r="FX200" s="799"/>
      <c r="FY200" s="799"/>
      <c r="FZ200" s="799"/>
      <c r="GA200" s="799"/>
      <c r="GB200" s="799"/>
      <c r="GC200" s="799"/>
      <c r="GD200" s="799"/>
      <c r="GE200" s="799"/>
      <c r="GF200" s="799"/>
      <c r="GG200" s="799"/>
      <c r="GH200" s="799"/>
      <c r="GI200" s="799"/>
      <c r="GJ200" s="799"/>
      <c r="GK200" s="799"/>
      <c r="GL200" s="799"/>
      <c r="GM200" s="799"/>
      <c r="GN200" s="799"/>
      <c r="GO200" s="799"/>
      <c r="GP200" s="799"/>
      <c r="GQ200" s="799"/>
      <c r="GR200" s="799"/>
      <c r="GS200" s="799"/>
      <c r="GT200" s="799"/>
      <c r="GU200" s="799"/>
      <c r="GV200" s="799"/>
      <c r="GW200" s="799"/>
      <c r="GX200" s="799"/>
      <c r="GY200" s="799"/>
      <c r="GZ200" s="799"/>
      <c r="HA200" s="799"/>
      <c r="HB200" s="799"/>
      <c r="HC200" s="799"/>
      <c r="HD200" s="799"/>
      <c r="HE200" s="799"/>
      <c r="HF200" s="799"/>
      <c r="HG200" s="799"/>
      <c r="HH200" s="799"/>
      <c r="HI200" s="799"/>
      <c r="HJ200" s="799"/>
      <c r="HK200" s="799"/>
      <c r="HL200" s="799"/>
      <c r="HM200" s="799"/>
      <c r="HN200" s="799"/>
      <c r="HO200" s="699"/>
      <c r="HP200" s="699"/>
      <c r="HQ200" s="699"/>
      <c r="HR200" s="699"/>
      <c r="HS200" s="699"/>
      <c r="HT200" s="699"/>
      <c r="HU200" s="699"/>
      <c r="HV200" s="699"/>
      <c r="HW200" s="699"/>
      <c r="HX200" s="699"/>
      <c r="HY200" s="699"/>
      <c r="HZ200" s="699"/>
      <c r="IA200" s="699"/>
      <c r="IB200" s="699"/>
      <c r="IC200" s="699"/>
      <c r="ID200" s="699"/>
      <c r="IE200" s="699"/>
      <c r="IF200" s="699"/>
      <c r="IG200" s="699"/>
      <c r="IH200" s="699"/>
      <c r="II200" s="699"/>
      <c r="IJ200" s="699"/>
      <c r="IK200" s="699"/>
      <c r="IL200" s="699"/>
      <c r="IM200" s="699"/>
      <c r="IN200" s="699"/>
      <c r="IO200" s="699"/>
      <c r="IP200" s="699"/>
      <c r="IQ200" s="699"/>
      <c r="IR200" s="699"/>
      <c r="IS200" s="699"/>
      <c r="IT200" s="699"/>
    </row>
    <row r="201" s="694" customFormat="1" ht="36" customHeight="1" spans="1:254">
      <c r="A201" s="805">
        <v>44875</v>
      </c>
      <c r="B201" s="712" t="s">
        <v>90</v>
      </c>
      <c r="C201" s="721" t="s">
        <v>91</v>
      </c>
      <c r="D201" s="711">
        <v>4500090514</v>
      </c>
      <c r="E201" s="712">
        <v>1328827686</v>
      </c>
      <c r="F201" s="711" t="s">
        <v>1447</v>
      </c>
      <c r="G201" s="712" t="s">
        <v>3595</v>
      </c>
      <c r="H201" s="711">
        <v>640</v>
      </c>
      <c r="I201" s="711">
        <v>0</v>
      </c>
      <c r="J201" s="711">
        <v>4</v>
      </c>
      <c r="K201" s="698">
        <f t="shared" si="99"/>
        <v>160</v>
      </c>
      <c r="L201" s="777">
        <v>44929</v>
      </c>
      <c r="M201" s="727">
        <v>44926</v>
      </c>
      <c r="N201" s="744"/>
      <c r="O201" s="744" t="s">
        <v>3592</v>
      </c>
      <c r="P201" s="744"/>
      <c r="Q201" s="873" t="s">
        <v>3596</v>
      </c>
      <c r="R201" s="845"/>
      <c r="S201" s="845" t="s">
        <v>3604</v>
      </c>
      <c r="T201" s="744" t="s">
        <v>3598</v>
      </c>
      <c r="U201" s="856"/>
      <c r="V201" s="711" t="s">
        <v>3594</v>
      </c>
      <c r="W201" s="872">
        <v>0</v>
      </c>
      <c r="X201" s="757">
        <f t="shared" si="100"/>
        <v>0</v>
      </c>
      <c r="Y201" s="778"/>
      <c r="Z201" s="712" t="s">
        <v>63</v>
      </c>
      <c r="AA201" s="712"/>
      <c r="AB201" s="778"/>
      <c r="AC201" s="778"/>
      <c r="AD201" s="711">
        <f>H201</f>
        <v>640</v>
      </c>
      <c r="AE201" s="711">
        <f>H201</f>
        <v>640</v>
      </c>
      <c r="AF201" s="711"/>
      <c r="AG201" s="800"/>
      <c r="AH201" s="800"/>
      <c r="AI201" s="800"/>
      <c r="AJ201" s="800"/>
      <c r="AK201" s="800"/>
      <c r="AL201" s="779"/>
      <c r="AM201" s="779"/>
      <c r="AN201" s="779"/>
      <c r="AO201" s="698"/>
      <c r="AP201" s="698"/>
      <c r="AQ201" s="711">
        <f>H201</f>
        <v>640</v>
      </c>
      <c r="AR201" s="698">
        <f>H201</f>
        <v>640</v>
      </c>
      <c r="AS201" s="698"/>
      <c r="AT201" s="698"/>
      <c r="AU201" s="698"/>
      <c r="AV201" s="698"/>
      <c r="AW201" s="698"/>
      <c r="AX201" s="698"/>
      <c r="AY201" s="698"/>
      <c r="AZ201" s="698"/>
      <c r="BA201" s="698"/>
      <c r="BB201" s="698"/>
      <c r="BC201" s="698"/>
      <c r="BD201" s="698"/>
      <c r="BE201" s="698"/>
      <c r="BF201" s="698"/>
      <c r="BG201" s="698"/>
      <c r="BH201" s="698"/>
      <c r="BI201" s="698"/>
      <c r="BJ201" s="698"/>
      <c r="BK201" s="698"/>
      <c r="BL201" s="698"/>
      <c r="BM201" s="698"/>
      <c r="BN201" s="698"/>
      <c r="BO201" s="698"/>
      <c r="BP201" s="698"/>
      <c r="BQ201" s="698"/>
      <c r="BR201" s="698"/>
      <c r="BS201" s="698"/>
      <c r="BT201" s="698"/>
      <c r="BU201" s="698"/>
      <c r="BV201" s="698"/>
      <c r="BW201" s="698"/>
      <c r="BX201" s="698"/>
      <c r="BY201" s="698"/>
      <c r="BZ201" s="698"/>
      <c r="CA201" s="698"/>
      <c r="CB201" s="698"/>
      <c r="CC201" s="698"/>
      <c r="CD201" s="698"/>
      <c r="CE201" s="698"/>
      <c r="CF201" s="698"/>
      <c r="CG201" s="698"/>
      <c r="CH201" s="698"/>
      <c r="CI201" s="698"/>
      <c r="CJ201" s="698"/>
      <c r="CK201" s="698"/>
      <c r="CL201" s="698"/>
      <c r="CM201" s="698"/>
      <c r="CN201" s="698"/>
      <c r="CO201" s="698"/>
      <c r="CP201" s="698"/>
      <c r="CQ201" s="698"/>
      <c r="CR201" s="698"/>
      <c r="CS201" s="698"/>
      <c r="CT201" s="698"/>
      <c r="CU201" s="698"/>
      <c r="CV201" s="698"/>
      <c r="CW201" s="698"/>
      <c r="CX201" s="698"/>
      <c r="CY201" s="698"/>
      <c r="CZ201" s="698"/>
      <c r="DA201" s="698"/>
      <c r="DB201" s="698"/>
      <c r="DC201" s="698"/>
      <c r="DD201" s="698"/>
      <c r="DE201" s="698"/>
      <c r="DF201" s="698"/>
      <c r="DG201" s="698"/>
      <c r="DH201" s="698"/>
      <c r="DI201" s="698"/>
      <c r="DJ201" s="698"/>
      <c r="DK201" s="698"/>
      <c r="DL201" s="698"/>
      <c r="DM201" s="698"/>
      <c r="DN201" s="698"/>
      <c r="DO201" s="698"/>
      <c r="DP201" s="698"/>
      <c r="DQ201" s="698"/>
      <c r="DR201" s="698"/>
      <c r="DS201" s="698"/>
      <c r="DT201" s="698"/>
      <c r="DU201" s="698"/>
      <c r="DV201" s="698"/>
      <c r="DW201" s="698"/>
      <c r="DX201" s="698"/>
      <c r="DY201" s="698"/>
      <c r="DZ201" s="698"/>
      <c r="EA201" s="698"/>
      <c r="EB201" s="698"/>
      <c r="EC201" s="698"/>
      <c r="ED201" s="698"/>
      <c r="EE201" s="698"/>
      <c r="EF201" s="698"/>
      <c r="EG201" s="698"/>
      <c r="EH201" s="698"/>
      <c r="EI201" s="698"/>
      <c r="EJ201" s="698"/>
      <c r="EK201" s="698"/>
      <c r="EL201" s="698"/>
      <c r="EM201" s="698"/>
      <c r="EN201" s="698"/>
      <c r="EO201" s="698"/>
      <c r="EP201" s="698"/>
      <c r="EQ201" s="698"/>
      <c r="ER201" s="698"/>
      <c r="ES201" s="698"/>
      <c r="ET201" s="698"/>
      <c r="EU201" s="698"/>
      <c r="EV201" s="698"/>
      <c r="EW201" s="698"/>
      <c r="EX201" s="698"/>
      <c r="EY201" s="698"/>
      <c r="EZ201" s="698"/>
      <c r="FA201" s="698"/>
      <c r="FB201" s="698"/>
      <c r="FC201" s="698"/>
      <c r="FD201" s="698"/>
      <c r="FE201" s="698"/>
      <c r="FF201" s="698"/>
      <c r="FG201" s="698"/>
      <c r="FH201" s="698"/>
      <c r="FI201" s="698"/>
      <c r="FJ201" s="698"/>
      <c r="FK201" s="799"/>
      <c r="FL201" s="799"/>
      <c r="FM201" s="799"/>
      <c r="FN201" s="799"/>
      <c r="FO201" s="799"/>
      <c r="FP201" s="799"/>
      <c r="FQ201" s="799"/>
      <c r="FR201" s="799"/>
      <c r="FS201" s="799"/>
      <c r="FT201" s="799"/>
      <c r="FU201" s="799"/>
      <c r="FV201" s="799"/>
      <c r="FW201" s="799"/>
      <c r="FX201" s="799"/>
      <c r="FY201" s="799"/>
      <c r="FZ201" s="799"/>
      <c r="GA201" s="799"/>
      <c r="GB201" s="799"/>
      <c r="GC201" s="799"/>
      <c r="GD201" s="799"/>
      <c r="GE201" s="799"/>
      <c r="GF201" s="799"/>
      <c r="GG201" s="799"/>
      <c r="GH201" s="799"/>
      <c r="GI201" s="799"/>
      <c r="GJ201" s="799"/>
      <c r="GK201" s="799"/>
      <c r="GL201" s="799"/>
      <c r="GM201" s="799"/>
      <c r="GN201" s="799"/>
      <c r="GO201" s="799"/>
      <c r="GP201" s="799"/>
      <c r="GQ201" s="799"/>
      <c r="GR201" s="799"/>
      <c r="GS201" s="799"/>
      <c r="GT201" s="799"/>
      <c r="GU201" s="799"/>
      <c r="GV201" s="799"/>
      <c r="GW201" s="799"/>
      <c r="GX201" s="799"/>
      <c r="GY201" s="799"/>
      <c r="GZ201" s="799"/>
      <c r="HA201" s="799"/>
      <c r="HB201" s="799"/>
      <c r="HC201" s="799"/>
      <c r="HD201" s="799"/>
      <c r="HE201" s="799"/>
      <c r="HF201" s="799"/>
      <c r="HG201" s="799"/>
      <c r="HH201" s="799"/>
      <c r="HI201" s="799"/>
      <c r="HJ201" s="799"/>
      <c r="HK201" s="799"/>
      <c r="HL201" s="799"/>
      <c r="HM201" s="799"/>
      <c r="HN201" s="799"/>
      <c r="HO201" s="699"/>
      <c r="HP201" s="699"/>
      <c r="HQ201" s="699"/>
      <c r="HR201" s="699"/>
      <c r="HS201" s="699"/>
      <c r="HT201" s="699"/>
      <c r="HU201" s="699"/>
      <c r="HV201" s="699"/>
      <c r="HW201" s="699"/>
      <c r="HX201" s="699"/>
      <c r="HY201" s="699"/>
      <c r="HZ201" s="699"/>
      <c r="IA201" s="699"/>
      <c r="IB201" s="699"/>
      <c r="IC201" s="699"/>
      <c r="ID201" s="699"/>
      <c r="IE201" s="699"/>
      <c r="IF201" s="699"/>
      <c r="IG201" s="699"/>
      <c r="IH201" s="699"/>
      <c r="II201" s="699"/>
      <c r="IJ201" s="699"/>
      <c r="IK201" s="699"/>
      <c r="IL201" s="699"/>
      <c r="IM201" s="699"/>
      <c r="IN201" s="699"/>
      <c r="IO201" s="699"/>
      <c r="IP201" s="699"/>
      <c r="IQ201" s="699"/>
      <c r="IR201" s="699"/>
      <c r="IS201" s="699"/>
      <c r="IT201" s="699"/>
    </row>
    <row r="202" s="694" customFormat="1" ht="36" customHeight="1" spans="1:254">
      <c r="A202" s="805">
        <v>44875</v>
      </c>
      <c r="B202" s="712" t="s">
        <v>90</v>
      </c>
      <c r="C202" s="721" t="s">
        <v>91</v>
      </c>
      <c r="D202" s="711">
        <v>4500090514</v>
      </c>
      <c r="E202" s="712">
        <v>1328827689</v>
      </c>
      <c r="F202" s="711" t="s">
        <v>3599</v>
      </c>
      <c r="G202" s="712" t="s">
        <v>3600</v>
      </c>
      <c r="H202" s="711">
        <v>1</v>
      </c>
      <c r="I202" s="711">
        <v>0</v>
      </c>
      <c r="J202" s="711">
        <v>1</v>
      </c>
      <c r="K202" s="698">
        <f t="shared" si="99"/>
        <v>1</v>
      </c>
      <c r="L202" s="777">
        <v>44929</v>
      </c>
      <c r="M202" s="727">
        <v>44926</v>
      </c>
      <c r="N202" s="744"/>
      <c r="O202" s="744" t="s">
        <v>3592</v>
      </c>
      <c r="P202" s="744"/>
      <c r="Q202" s="845"/>
      <c r="R202" s="845"/>
      <c r="S202" s="845"/>
      <c r="T202" s="744"/>
      <c r="U202" s="859" t="s">
        <v>3601</v>
      </c>
      <c r="V202" s="711" t="s">
        <v>3594</v>
      </c>
      <c r="W202" s="872">
        <v>1609.0328</v>
      </c>
      <c r="X202" s="757">
        <f t="shared" si="100"/>
        <v>1609.0328</v>
      </c>
      <c r="Y202" s="778"/>
      <c r="Z202" s="712" t="s">
        <v>63</v>
      </c>
      <c r="AA202" s="712"/>
      <c r="AB202" s="778"/>
      <c r="AC202" s="778"/>
      <c r="AD202" s="711"/>
      <c r="AE202" s="711"/>
      <c r="AF202" s="711"/>
      <c r="AG202" s="800"/>
      <c r="AH202" s="800"/>
      <c r="AI202" s="800"/>
      <c r="AJ202" s="800"/>
      <c r="AK202" s="800"/>
      <c r="AL202" s="779"/>
      <c r="AM202" s="779"/>
      <c r="AN202" s="779"/>
      <c r="AO202" s="698"/>
      <c r="AP202" s="698"/>
      <c r="AQ202" s="711"/>
      <c r="AR202" s="698"/>
      <c r="AS202" s="698"/>
      <c r="AT202" s="698"/>
      <c r="AU202" s="698"/>
      <c r="AV202" s="698"/>
      <c r="AW202" s="698"/>
      <c r="AX202" s="698"/>
      <c r="AY202" s="698"/>
      <c r="AZ202" s="698"/>
      <c r="BA202" s="698"/>
      <c r="BB202" s="698"/>
      <c r="BC202" s="698"/>
      <c r="BD202" s="698"/>
      <c r="BE202" s="698"/>
      <c r="BF202" s="698"/>
      <c r="BG202" s="698"/>
      <c r="BH202" s="698"/>
      <c r="BI202" s="698"/>
      <c r="BJ202" s="698"/>
      <c r="BK202" s="698"/>
      <c r="BL202" s="698"/>
      <c r="BM202" s="698"/>
      <c r="BN202" s="698"/>
      <c r="BO202" s="698"/>
      <c r="BP202" s="698"/>
      <c r="BQ202" s="698"/>
      <c r="BR202" s="698"/>
      <c r="BS202" s="698"/>
      <c r="BT202" s="698"/>
      <c r="BU202" s="698"/>
      <c r="BV202" s="698"/>
      <c r="BW202" s="698"/>
      <c r="BX202" s="698"/>
      <c r="BY202" s="698"/>
      <c r="BZ202" s="698"/>
      <c r="CA202" s="698"/>
      <c r="CB202" s="698"/>
      <c r="CC202" s="698"/>
      <c r="CD202" s="698"/>
      <c r="CE202" s="698"/>
      <c r="CF202" s="698"/>
      <c r="CG202" s="698"/>
      <c r="CH202" s="698"/>
      <c r="CI202" s="698"/>
      <c r="CJ202" s="698"/>
      <c r="CK202" s="698"/>
      <c r="CL202" s="698"/>
      <c r="CM202" s="698"/>
      <c r="CN202" s="698"/>
      <c r="CO202" s="698"/>
      <c r="CP202" s="698"/>
      <c r="CQ202" s="698"/>
      <c r="CR202" s="698"/>
      <c r="CS202" s="698"/>
      <c r="CT202" s="698"/>
      <c r="CU202" s="698"/>
      <c r="CV202" s="698"/>
      <c r="CW202" s="698"/>
      <c r="CX202" s="698"/>
      <c r="CY202" s="698"/>
      <c r="CZ202" s="698"/>
      <c r="DA202" s="698"/>
      <c r="DB202" s="698"/>
      <c r="DC202" s="698"/>
      <c r="DD202" s="698"/>
      <c r="DE202" s="698"/>
      <c r="DF202" s="698"/>
      <c r="DG202" s="698"/>
      <c r="DH202" s="698"/>
      <c r="DI202" s="698"/>
      <c r="DJ202" s="698"/>
      <c r="DK202" s="698"/>
      <c r="DL202" s="698"/>
      <c r="DM202" s="698"/>
      <c r="DN202" s="698"/>
      <c r="DO202" s="698"/>
      <c r="DP202" s="698"/>
      <c r="DQ202" s="698"/>
      <c r="DR202" s="698"/>
      <c r="DS202" s="698"/>
      <c r="DT202" s="698"/>
      <c r="DU202" s="698"/>
      <c r="DV202" s="698"/>
      <c r="DW202" s="698"/>
      <c r="DX202" s="698"/>
      <c r="DY202" s="698"/>
      <c r="DZ202" s="698"/>
      <c r="EA202" s="698"/>
      <c r="EB202" s="698"/>
      <c r="EC202" s="698"/>
      <c r="ED202" s="698"/>
      <c r="EE202" s="698"/>
      <c r="EF202" s="698"/>
      <c r="EG202" s="698"/>
      <c r="EH202" s="698"/>
      <c r="EI202" s="698"/>
      <c r="EJ202" s="698"/>
      <c r="EK202" s="698"/>
      <c r="EL202" s="698"/>
      <c r="EM202" s="698"/>
      <c r="EN202" s="698"/>
      <c r="EO202" s="698"/>
      <c r="EP202" s="698"/>
      <c r="EQ202" s="698"/>
      <c r="ER202" s="698"/>
      <c r="ES202" s="698"/>
      <c r="ET202" s="698"/>
      <c r="EU202" s="698"/>
      <c r="EV202" s="698"/>
      <c r="EW202" s="698"/>
      <c r="EX202" s="698"/>
      <c r="EY202" s="698"/>
      <c r="EZ202" s="698"/>
      <c r="FA202" s="698"/>
      <c r="FB202" s="698"/>
      <c r="FC202" s="698"/>
      <c r="FD202" s="698"/>
      <c r="FE202" s="698"/>
      <c r="FF202" s="698"/>
      <c r="FG202" s="698"/>
      <c r="FH202" s="698"/>
      <c r="FI202" s="698"/>
      <c r="FJ202" s="698"/>
      <c r="FK202" s="799"/>
      <c r="FL202" s="799"/>
      <c r="FM202" s="799"/>
      <c r="FN202" s="799"/>
      <c r="FO202" s="799"/>
      <c r="FP202" s="799"/>
      <c r="FQ202" s="799"/>
      <c r="FR202" s="799"/>
      <c r="FS202" s="799"/>
      <c r="FT202" s="799"/>
      <c r="FU202" s="799"/>
      <c r="FV202" s="799"/>
      <c r="FW202" s="799"/>
      <c r="FX202" s="799"/>
      <c r="FY202" s="799"/>
      <c r="FZ202" s="799"/>
      <c r="GA202" s="799"/>
      <c r="GB202" s="799"/>
      <c r="GC202" s="799"/>
      <c r="GD202" s="799"/>
      <c r="GE202" s="799"/>
      <c r="GF202" s="799"/>
      <c r="GG202" s="799"/>
      <c r="GH202" s="799"/>
      <c r="GI202" s="799"/>
      <c r="GJ202" s="799"/>
      <c r="GK202" s="799"/>
      <c r="GL202" s="799"/>
      <c r="GM202" s="799"/>
      <c r="GN202" s="799"/>
      <c r="GO202" s="799"/>
      <c r="GP202" s="799"/>
      <c r="GQ202" s="799"/>
      <c r="GR202" s="799"/>
      <c r="GS202" s="799"/>
      <c r="GT202" s="799"/>
      <c r="GU202" s="799"/>
      <c r="GV202" s="799"/>
      <c r="GW202" s="799"/>
      <c r="GX202" s="799"/>
      <c r="GY202" s="799"/>
      <c r="GZ202" s="799"/>
      <c r="HA202" s="799"/>
      <c r="HB202" s="799"/>
      <c r="HC202" s="799"/>
      <c r="HD202" s="799"/>
      <c r="HE202" s="799"/>
      <c r="HF202" s="799"/>
      <c r="HG202" s="799"/>
      <c r="HH202" s="799"/>
      <c r="HI202" s="799"/>
      <c r="HJ202" s="799"/>
      <c r="HK202" s="799"/>
      <c r="HL202" s="799"/>
      <c r="HM202" s="799"/>
      <c r="HN202" s="799"/>
      <c r="HO202" s="699"/>
      <c r="HP202" s="699"/>
      <c r="HQ202" s="699"/>
      <c r="HR202" s="699"/>
      <c r="HS202" s="699"/>
      <c r="HT202" s="699"/>
      <c r="HU202" s="699"/>
      <c r="HV202" s="699"/>
      <c r="HW202" s="699"/>
      <c r="HX202" s="699"/>
      <c r="HY202" s="699"/>
      <c r="HZ202" s="699"/>
      <c r="IA202" s="699"/>
      <c r="IB202" s="699"/>
      <c r="IC202" s="699"/>
      <c r="ID202" s="699"/>
      <c r="IE202" s="699"/>
      <c r="IF202" s="699"/>
      <c r="IG202" s="699"/>
      <c r="IH202" s="699"/>
      <c r="II202" s="699"/>
      <c r="IJ202" s="699"/>
      <c r="IK202" s="699"/>
      <c r="IL202" s="699"/>
      <c r="IM202" s="699"/>
      <c r="IN202" s="699"/>
      <c r="IO202" s="699"/>
      <c r="IP202" s="699"/>
      <c r="IQ202" s="699"/>
      <c r="IR202" s="699"/>
      <c r="IS202" s="699"/>
      <c r="IT202" s="699"/>
    </row>
    <row r="203" s="694" customFormat="1" ht="36" customHeight="1" spans="1:254">
      <c r="A203" s="805">
        <v>44875</v>
      </c>
      <c r="B203" s="712" t="s">
        <v>90</v>
      </c>
      <c r="C203" s="721" t="s">
        <v>91</v>
      </c>
      <c r="D203" s="711">
        <v>4500090514</v>
      </c>
      <c r="E203" s="712">
        <v>1328827689</v>
      </c>
      <c r="F203" s="711" t="s">
        <v>1446</v>
      </c>
      <c r="G203" s="712" t="s">
        <v>3602</v>
      </c>
      <c r="H203" s="711">
        <v>640</v>
      </c>
      <c r="I203" s="711">
        <v>0</v>
      </c>
      <c r="J203" s="711">
        <v>4</v>
      </c>
      <c r="K203" s="698">
        <f t="shared" si="99"/>
        <v>160</v>
      </c>
      <c r="L203" s="777">
        <v>44929</v>
      </c>
      <c r="M203" s="727">
        <v>44926</v>
      </c>
      <c r="N203" s="744"/>
      <c r="O203" s="744" t="s">
        <v>3592</v>
      </c>
      <c r="P203" s="744"/>
      <c r="Q203" s="873" t="s">
        <v>3596</v>
      </c>
      <c r="R203" s="845"/>
      <c r="S203" s="845" t="s">
        <v>3604</v>
      </c>
      <c r="T203" s="744" t="s">
        <v>3598</v>
      </c>
      <c r="U203" s="856"/>
      <c r="V203" s="711" t="s">
        <v>3594</v>
      </c>
      <c r="W203" s="872">
        <v>0</v>
      </c>
      <c r="X203" s="757">
        <f t="shared" si="100"/>
        <v>0</v>
      </c>
      <c r="Y203" s="778"/>
      <c r="Z203" s="712" t="s">
        <v>63</v>
      </c>
      <c r="AA203" s="712"/>
      <c r="AB203" s="778"/>
      <c r="AC203" s="778"/>
      <c r="AD203" s="711">
        <f>H203</f>
        <v>640</v>
      </c>
      <c r="AE203" s="711"/>
      <c r="AF203" s="711">
        <f>H203</f>
        <v>640</v>
      </c>
      <c r="AG203" s="800"/>
      <c r="AH203" s="800"/>
      <c r="AI203" s="800"/>
      <c r="AJ203" s="800"/>
      <c r="AK203" s="800"/>
      <c r="AL203" s="779"/>
      <c r="AM203" s="779"/>
      <c r="AN203" s="779"/>
      <c r="AO203" s="698">
        <f>H203</f>
        <v>640</v>
      </c>
      <c r="AP203" s="698">
        <f>H203</f>
        <v>640</v>
      </c>
      <c r="AQ203" s="711"/>
      <c r="AR203" s="698"/>
      <c r="AS203" s="698"/>
      <c r="AT203" s="698"/>
      <c r="AU203" s="698"/>
      <c r="AV203" s="698"/>
      <c r="AW203" s="698"/>
      <c r="AX203" s="698"/>
      <c r="AY203" s="698"/>
      <c r="AZ203" s="698"/>
      <c r="BA203" s="698"/>
      <c r="BB203" s="698"/>
      <c r="BC203" s="698"/>
      <c r="BD203" s="698"/>
      <c r="BE203" s="698"/>
      <c r="BF203" s="698"/>
      <c r="BG203" s="698"/>
      <c r="BH203" s="698"/>
      <c r="BI203" s="698"/>
      <c r="BJ203" s="698"/>
      <c r="BK203" s="698"/>
      <c r="BL203" s="698"/>
      <c r="BM203" s="698"/>
      <c r="BN203" s="698"/>
      <c r="BO203" s="698"/>
      <c r="BP203" s="698"/>
      <c r="BQ203" s="698"/>
      <c r="BR203" s="698"/>
      <c r="BS203" s="698"/>
      <c r="BT203" s="698"/>
      <c r="BU203" s="698"/>
      <c r="BV203" s="698"/>
      <c r="BW203" s="698"/>
      <c r="BX203" s="698"/>
      <c r="BY203" s="698"/>
      <c r="BZ203" s="698"/>
      <c r="CA203" s="698"/>
      <c r="CB203" s="698"/>
      <c r="CC203" s="698"/>
      <c r="CD203" s="698"/>
      <c r="CE203" s="698"/>
      <c r="CF203" s="698"/>
      <c r="CG203" s="698"/>
      <c r="CH203" s="698"/>
      <c r="CI203" s="698"/>
      <c r="CJ203" s="698"/>
      <c r="CK203" s="698"/>
      <c r="CL203" s="698"/>
      <c r="CM203" s="698"/>
      <c r="CN203" s="698"/>
      <c r="CO203" s="698"/>
      <c r="CP203" s="698"/>
      <c r="CQ203" s="698"/>
      <c r="CR203" s="698"/>
      <c r="CS203" s="698"/>
      <c r="CT203" s="698"/>
      <c r="CU203" s="698"/>
      <c r="CV203" s="698"/>
      <c r="CW203" s="698"/>
      <c r="CX203" s="698"/>
      <c r="CY203" s="698"/>
      <c r="CZ203" s="698"/>
      <c r="DA203" s="698"/>
      <c r="DB203" s="698"/>
      <c r="DC203" s="698"/>
      <c r="DD203" s="698"/>
      <c r="DE203" s="698"/>
      <c r="DF203" s="698"/>
      <c r="DG203" s="698"/>
      <c r="DH203" s="698"/>
      <c r="DI203" s="698"/>
      <c r="DJ203" s="698"/>
      <c r="DK203" s="698"/>
      <c r="DL203" s="698"/>
      <c r="DM203" s="698"/>
      <c r="DN203" s="698"/>
      <c r="DO203" s="698"/>
      <c r="DP203" s="698"/>
      <c r="DQ203" s="698"/>
      <c r="DR203" s="698"/>
      <c r="DS203" s="698"/>
      <c r="DT203" s="698"/>
      <c r="DU203" s="698"/>
      <c r="DV203" s="698"/>
      <c r="DW203" s="698"/>
      <c r="DX203" s="698"/>
      <c r="DY203" s="698"/>
      <c r="DZ203" s="698"/>
      <c r="EA203" s="698"/>
      <c r="EB203" s="698"/>
      <c r="EC203" s="698"/>
      <c r="ED203" s="698"/>
      <c r="EE203" s="698"/>
      <c r="EF203" s="698"/>
      <c r="EG203" s="698"/>
      <c r="EH203" s="698"/>
      <c r="EI203" s="698"/>
      <c r="EJ203" s="698"/>
      <c r="EK203" s="698"/>
      <c r="EL203" s="698"/>
      <c r="EM203" s="698"/>
      <c r="EN203" s="698"/>
      <c r="EO203" s="698"/>
      <c r="EP203" s="698"/>
      <c r="EQ203" s="698"/>
      <c r="ER203" s="698"/>
      <c r="ES203" s="698"/>
      <c r="ET203" s="698"/>
      <c r="EU203" s="698"/>
      <c r="EV203" s="698"/>
      <c r="EW203" s="698"/>
      <c r="EX203" s="698"/>
      <c r="EY203" s="698"/>
      <c r="EZ203" s="698"/>
      <c r="FA203" s="698"/>
      <c r="FB203" s="698"/>
      <c r="FC203" s="698"/>
      <c r="FD203" s="698"/>
      <c r="FE203" s="698"/>
      <c r="FF203" s="698"/>
      <c r="FG203" s="698"/>
      <c r="FH203" s="698"/>
      <c r="FI203" s="698"/>
      <c r="FJ203" s="698"/>
      <c r="FK203" s="799"/>
      <c r="FL203" s="799"/>
      <c r="FM203" s="799"/>
      <c r="FN203" s="799"/>
      <c r="FO203" s="799"/>
      <c r="FP203" s="799"/>
      <c r="FQ203" s="799"/>
      <c r="FR203" s="799"/>
      <c r="FS203" s="799"/>
      <c r="FT203" s="799"/>
      <c r="FU203" s="799"/>
      <c r="FV203" s="799"/>
      <c r="FW203" s="799"/>
      <c r="FX203" s="799"/>
      <c r="FY203" s="799"/>
      <c r="FZ203" s="799"/>
      <c r="GA203" s="799"/>
      <c r="GB203" s="799"/>
      <c r="GC203" s="799"/>
      <c r="GD203" s="799"/>
      <c r="GE203" s="799"/>
      <c r="GF203" s="799"/>
      <c r="GG203" s="799"/>
      <c r="GH203" s="799"/>
      <c r="GI203" s="799"/>
      <c r="GJ203" s="799"/>
      <c r="GK203" s="799"/>
      <c r="GL203" s="799"/>
      <c r="GM203" s="799"/>
      <c r="GN203" s="799"/>
      <c r="GO203" s="799"/>
      <c r="GP203" s="799"/>
      <c r="GQ203" s="799"/>
      <c r="GR203" s="799"/>
      <c r="GS203" s="799"/>
      <c r="GT203" s="799"/>
      <c r="GU203" s="799"/>
      <c r="GV203" s="799"/>
      <c r="GW203" s="799"/>
      <c r="GX203" s="799"/>
      <c r="GY203" s="799"/>
      <c r="GZ203" s="799"/>
      <c r="HA203" s="799"/>
      <c r="HB203" s="799"/>
      <c r="HC203" s="799"/>
      <c r="HD203" s="799"/>
      <c r="HE203" s="799"/>
      <c r="HF203" s="799"/>
      <c r="HG203" s="799"/>
      <c r="HH203" s="799"/>
      <c r="HI203" s="799"/>
      <c r="HJ203" s="799"/>
      <c r="HK203" s="799"/>
      <c r="HL203" s="799"/>
      <c r="HM203" s="799"/>
      <c r="HN203" s="799"/>
      <c r="HO203" s="699"/>
      <c r="HP203" s="699"/>
      <c r="HQ203" s="699"/>
      <c r="HR203" s="699"/>
      <c r="HS203" s="699"/>
      <c r="HT203" s="699"/>
      <c r="HU203" s="699"/>
      <c r="HV203" s="699"/>
      <c r="HW203" s="699"/>
      <c r="HX203" s="699"/>
      <c r="HY203" s="699"/>
      <c r="HZ203" s="699"/>
      <c r="IA203" s="699"/>
      <c r="IB203" s="699"/>
      <c r="IC203" s="699"/>
      <c r="ID203" s="699"/>
      <c r="IE203" s="699"/>
      <c r="IF203" s="699"/>
      <c r="IG203" s="699"/>
      <c r="IH203" s="699"/>
      <c r="II203" s="699"/>
      <c r="IJ203" s="699"/>
      <c r="IK203" s="699"/>
      <c r="IL203" s="699"/>
      <c r="IM203" s="699"/>
      <c r="IN203" s="699"/>
      <c r="IO203" s="699"/>
      <c r="IP203" s="699"/>
      <c r="IQ203" s="699"/>
      <c r="IR203" s="699"/>
      <c r="IS203" s="699"/>
      <c r="IT203" s="699"/>
    </row>
    <row r="204" s="697" customFormat="1" ht="41" customHeight="1" spans="1:46">
      <c r="A204" s="805">
        <v>44855</v>
      </c>
      <c r="B204" s="712" t="s">
        <v>613</v>
      </c>
      <c r="C204" s="712" t="s">
        <v>614</v>
      </c>
      <c r="D204" s="791">
        <v>4500089151</v>
      </c>
      <c r="E204" s="712">
        <v>5200001151</v>
      </c>
      <c r="F204" s="712" t="s">
        <v>624</v>
      </c>
      <c r="G204" s="712" t="s">
        <v>65</v>
      </c>
      <c r="H204" s="698">
        <v>480</v>
      </c>
      <c r="I204" s="870">
        <v>0</v>
      </c>
      <c r="J204" s="746">
        <v>6</v>
      </c>
      <c r="K204" s="746">
        <f t="shared" si="99"/>
        <v>80</v>
      </c>
      <c r="L204" s="836">
        <v>44902</v>
      </c>
      <c r="M204" s="836">
        <v>44898</v>
      </c>
      <c r="N204" s="887" t="s">
        <v>3606</v>
      </c>
      <c r="O204" s="828" t="s">
        <v>3607</v>
      </c>
      <c r="P204" s="888"/>
      <c r="Q204" s="766" t="s">
        <v>3608</v>
      </c>
      <c r="R204" s="766"/>
      <c r="S204" s="766" t="s">
        <v>3609</v>
      </c>
      <c r="T204" s="815" t="s">
        <v>3610</v>
      </c>
      <c r="U204" s="795" t="s">
        <v>3611</v>
      </c>
      <c r="V204" s="791" t="s">
        <v>1905</v>
      </c>
      <c r="W204" s="724">
        <v>4.8102</v>
      </c>
      <c r="X204" s="725">
        <f t="shared" si="100"/>
        <v>2308.896</v>
      </c>
      <c r="Y204" s="791"/>
      <c r="Z204" s="832">
        <v>480</v>
      </c>
      <c r="AA204" s="766" t="s">
        <v>63</v>
      </c>
      <c r="AB204" s="766"/>
      <c r="AC204" s="778">
        <f>Z204-H204</f>
        <v>0</v>
      </c>
      <c r="AD204" s="875"/>
      <c r="AE204" s="829"/>
      <c r="AF204" s="696"/>
      <c r="AG204" s="776">
        <f>H204</f>
        <v>480</v>
      </c>
      <c r="AH204" s="854"/>
      <c r="AI204" s="746"/>
      <c r="AJ204" s="786">
        <f>H204</f>
        <v>480</v>
      </c>
      <c r="AK204" s="786"/>
      <c r="AL204" s="786"/>
      <c r="AM204" s="786"/>
      <c r="AN204" s="786"/>
      <c r="AO204" s="786"/>
      <c r="AP204" s="746"/>
      <c r="AQ204" s="746"/>
      <c r="AR204" s="746">
        <f>H204</f>
        <v>480</v>
      </c>
      <c r="AS204" s="746"/>
      <c r="AT204" s="746"/>
    </row>
    <row r="205" s="697" customFormat="1" ht="41" customHeight="1" spans="1:46">
      <c r="A205" s="805">
        <v>44855</v>
      </c>
      <c r="B205" s="712" t="s">
        <v>613</v>
      </c>
      <c r="C205" s="712" t="s">
        <v>614</v>
      </c>
      <c r="D205" s="791">
        <v>4500089151</v>
      </c>
      <c r="E205" s="712">
        <v>5200001151</v>
      </c>
      <c r="F205" s="712" t="s">
        <v>603</v>
      </c>
      <c r="G205" s="712" t="s">
        <v>55</v>
      </c>
      <c r="H205" s="698">
        <v>480</v>
      </c>
      <c r="I205" s="870">
        <v>0</v>
      </c>
      <c r="J205" s="746">
        <v>6</v>
      </c>
      <c r="K205" s="746">
        <f t="shared" si="99"/>
        <v>80</v>
      </c>
      <c r="L205" s="836">
        <v>44902</v>
      </c>
      <c r="M205" s="836">
        <v>44898</v>
      </c>
      <c r="N205" s="887" t="s">
        <v>3606</v>
      </c>
      <c r="O205" s="828" t="s">
        <v>3607</v>
      </c>
      <c r="P205" s="888"/>
      <c r="Q205" s="766" t="s">
        <v>3608</v>
      </c>
      <c r="R205" s="766"/>
      <c r="S205" s="766" t="s">
        <v>3609</v>
      </c>
      <c r="T205" s="815" t="s">
        <v>3610</v>
      </c>
      <c r="U205" s="795" t="s">
        <v>3612</v>
      </c>
      <c r="V205" s="791" t="s">
        <v>1905</v>
      </c>
      <c r="W205" s="724">
        <v>4.3366</v>
      </c>
      <c r="X205" s="725">
        <f t="shared" si="100"/>
        <v>2081.568</v>
      </c>
      <c r="Y205" s="791"/>
      <c r="Z205" s="832">
        <v>480</v>
      </c>
      <c r="AA205" s="766" t="s">
        <v>63</v>
      </c>
      <c r="AB205" s="766" t="s">
        <v>38</v>
      </c>
      <c r="AC205" s="778">
        <f>Z205-H205</f>
        <v>0</v>
      </c>
      <c r="AD205" s="875"/>
      <c r="AE205" s="829"/>
      <c r="AF205" s="694">
        <f>H205</f>
        <v>480</v>
      </c>
      <c r="AG205" s="776"/>
      <c r="AH205" s="854"/>
      <c r="AI205" s="746"/>
      <c r="AJ205" s="786">
        <f>H205</f>
        <v>480</v>
      </c>
      <c r="AK205" s="786"/>
      <c r="AL205" s="786"/>
      <c r="AM205" s="786"/>
      <c r="AN205" s="786"/>
      <c r="AO205" s="786"/>
      <c r="AP205" s="746"/>
      <c r="AQ205" s="746">
        <f>H205</f>
        <v>480</v>
      </c>
      <c r="AR205" s="746"/>
      <c r="AS205" s="746"/>
      <c r="AT205" s="746"/>
    </row>
    <row r="206" s="697" customFormat="1" ht="41" customHeight="1" spans="1:46">
      <c r="A206" s="805">
        <v>44855</v>
      </c>
      <c r="B206" s="712" t="s">
        <v>613</v>
      </c>
      <c r="C206" s="712" t="s">
        <v>614</v>
      </c>
      <c r="D206" s="791">
        <v>4500089151</v>
      </c>
      <c r="E206" s="712">
        <v>5200001151</v>
      </c>
      <c r="F206" s="712" t="s">
        <v>611</v>
      </c>
      <c r="G206" s="712" t="s">
        <v>67</v>
      </c>
      <c r="H206" s="698">
        <v>480</v>
      </c>
      <c r="I206" s="870">
        <v>0</v>
      </c>
      <c r="J206" s="746">
        <v>6</v>
      </c>
      <c r="K206" s="746">
        <f t="shared" si="99"/>
        <v>80</v>
      </c>
      <c r="L206" s="836">
        <v>44902</v>
      </c>
      <c r="M206" s="836">
        <v>44898</v>
      </c>
      <c r="N206" s="887" t="s">
        <v>3613</v>
      </c>
      <c r="O206" s="828" t="s">
        <v>3607</v>
      </c>
      <c r="P206" s="888"/>
      <c r="Q206" s="766" t="s">
        <v>3608</v>
      </c>
      <c r="R206" s="766"/>
      <c r="S206" s="766" t="s">
        <v>3609</v>
      </c>
      <c r="T206" s="815" t="s">
        <v>3610</v>
      </c>
      <c r="U206" s="795" t="s">
        <v>3614</v>
      </c>
      <c r="V206" s="791" t="s">
        <v>1905</v>
      </c>
      <c r="W206" s="724">
        <v>4.1236</v>
      </c>
      <c r="X206" s="725">
        <f t="shared" si="100"/>
        <v>1979.328</v>
      </c>
      <c r="Y206" s="791"/>
      <c r="Z206" s="832">
        <v>480</v>
      </c>
      <c r="AA206" s="766" t="s">
        <v>63</v>
      </c>
      <c r="AB206" s="766" t="s">
        <v>38</v>
      </c>
      <c r="AC206" s="778">
        <f>Z206-H206</f>
        <v>0</v>
      </c>
      <c r="AD206" s="875"/>
      <c r="AE206" s="829"/>
      <c r="AF206" s="696"/>
      <c r="AG206" s="776"/>
      <c r="AH206" s="854">
        <f>H206</f>
        <v>480</v>
      </c>
      <c r="AI206" s="746"/>
      <c r="AJ206" s="786">
        <f>H206</f>
        <v>480</v>
      </c>
      <c r="AK206" s="786"/>
      <c r="AL206" s="786"/>
      <c r="AM206" s="786"/>
      <c r="AN206" s="786"/>
      <c r="AO206" s="786"/>
      <c r="AP206" s="746"/>
      <c r="AQ206" s="746"/>
      <c r="AR206" s="746"/>
      <c r="AS206" s="746">
        <f>H206</f>
        <v>480</v>
      </c>
      <c r="AT206" s="746"/>
    </row>
    <row r="207" s="697" customFormat="1" ht="41" customHeight="1" spans="1:46">
      <c r="A207" s="805">
        <v>44855</v>
      </c>
      <c r="B207" s="712" t="s">
        <v>613</v>
      </c>
      <c r="C207" s="712" t="s">
        <v>614</v>
      </c>
      <c r="D207" s="791">
        <v>4500089151</v>
      </c>
      <c r="E207" s="712">
        <v>5200001151</v>
      </c>
      <c r="F207" s="712" t="s">
        <v>483</v>
      </c>
      <c r="G207" s="789" t="s">
        <v>484</v>
      </c>
      <c r="H207" s="698">
        <f>160*3</f>
        <v>480</v>
      </c>
      <c r="I207" s="870">
        <v>0</v>
      </c>
      <c r="J207" s="746">
        <v>6</v>
      </c>
      <c r="K207" s="746">
        <f t="shared" si="99"/>
        <v>80</v>
      </c>
      <c r="L207" s="836">
        <v>44902</v>
      </c>
      <c r="M207" s="836">
        <v>44898</v>
      </c>
      <c r="N207" s="887" t="s">
        <v>3615</v>
      </c>
      <c r="O207" s="828" t="s">
        <v>3607</v>
      </c>
      <c r="P207" s="888"/>
      <c r="Q207" s="766" t="s">
        <v>3608</v>
      </c>
      <c r="R207" s="766"/>
      <c r="S207" s="766" t="s">
        <v>3609</v>
      </c>
      <c r="T207" s="815" t="s">
        <v>3610</v>
      </c>
      <c r="U207" s="795" t="s">
        <v>3616</v>
      </c>
      <c r="V207" s="791" t="s">
        <v>1905</v>
      </c>
      <c r="W207" s="724">
        <v>24.9587</v>
      </c>
      <c r="X207" s="725">
        <f>W207*K207</f>
        <v>1996.696</v>
      </c>
      <c r="Y207" s="791"/>
      <c r="Z207" s="832">
        <f>160+320</f>
        <v>480</v>
      </c>
      <c r="AA207" s="766" t="s">
        <v>63</v>
      </c>
      <c r="AB207" s="766" t="s">
        <v>3617</v>
      </c>
      <c r="AC207" s="778">
        <f>Z207-H207</f>
        <v>0</v>
      </c>
      <c r="AD207" s="875"/>
      <c r="AE207" s="829"/>
      <c r="AF207" s="786">
        <f>H207/6*2</f>
        <v>160</v>
      </c>
      <c r="AG207" s="786">
        <f>H207/6*2</f>
        <v>160</v>
      </c>
      <c r="AH207" s="786">
        <f>H207/6*2</f>
        <v>160</v>
      </c>
      <c r="AI207" s="746"/>
      <c r="AJ207" s="786">
        <f>H207</f>
        <v>480</v>
      </c>
      <c r="AK207" s="786"/>
      <c r="AL207" s="786"/>
      <c r="AM207" s="786"/>
      <c r="AN207" s="786"/>
      <c r="AO207" s="786"/>
      <c r="AP207" s="746"/>
      <c r="AQ207" s="746">
        <f>H207/3</f>
        <v>160</v>
      </c>
      <c r="AR207" s="746">
        <f>H207/3</f>
        <v>160</v>
      </c>
      <c r="AS207" s="746">
        <f>H207/3</f>
        <v>160</v>
      </c>
      <c r="AT207" s="746"/>
    </row>
    <row r="208" s="697" customFormat="1" ht="41" customHeight="1" spans="1:46">
      <c r="A208" s="805">
        <v>44855</v>
      </c>
      <c r="B208" s="712" t="s">
        <v>613</v>
      </c>
      <c r="C208" s="712" t="s">
        <v>614</v>
      </c>
      <c r="D208" s="791">
        <v>4500089151</v>
      </c>
      <c r="E208" s="712">
        <v>5200001151</v>
      </c>
      <c r="F208" s="712" t="s">
        <v>3618</v>
      </c>
      <c r="G208" s="712" t="s">
        <v>1479</v>
      </c>
      <c r="H208" s="698">
        <v>480</v>
      </c>
      <c r="I208" s="870">
        <v>0</v>
      </c>
      <c r="J208" s="746">
        <v>12</v>
      </c>
      <c r="K208" s="746">
        <f t="shared" si="99"/>
        <v>40</v>
      </c>
      <c r="L208" s="836">
        <v>44902</v>
      </c>
      <c r="M208" s="836">
        <v>44902</v>
      </c>
      <c r="N208" s="887" t="s">
        <v>3619</v>
      </c>
      <c r="O208" s="828" t="s">
        <v>3607</v>
      </c>
      <c r="P208" s="888"/>
      <c r="Q208" s="766" t="s">
        <v>3608</v>
      </c>
      <c r="R208" s="766"/>
      <c r="S208" s="766" t="s">
        <v>3620</v>
      </c>
      <c r="T208" s="815" t="s">
        <v>3621</v>
      </c>
      <c r="U208" s="795" t="s">
        <v>3622</v>
      </c>
      <c r="V208" s="791" t="s">
        <v>1905</v>
      </c>
      <c r="W208" s="724">
        <v>1.6704</v>
      </c>
      <c r="X208" s="725">
        <f>W208*H208</f>
        <v>801.792</v>
      </c>
      <c r="Y208" s="791"/>
      <c r="Z208" s="832" t="s">
        <v>63</v>
      </c>
      <c r="AA208" s="766" t="s">
        <v>38</v>
      </c>
      <c r="AB208" s="766">
        <v>480</v>
      </c>
      <c r="AC208" s="778"/>
      <c r="AD208" s="875">
        <f>H208/3</f>
        <v>160</v>
      </c>
      <c r="AE208" s="829">
        <f>H208/3</f>
        <v>160</v>
      </c>
      <c r="AF208" s="696">
        <f>H208/3</f>
        <v>160</v>
      </c>
      <c r="AG208" s="776">
        <f>H208</f>
        <v>480</v>
      </c>
      <c r="AH208" s="854"/>
      <c r="AI208" s="746">
        <f>H208</f>
        <v>480</v>
      </c>
      <c r="AJ208" s="786"/>
      <c r="AK208" s="786">
        <f>H208/6</f>
        <v>80</v>
      </c>
      <c r="AL208" s="786"/>
      <c r="AM208" s="786"/>
      <c r="AN208" s="786"/>
      <c r="AO208" s="786"/>
      <c r="AP208" s="746"/>
      <c r="AQ208" s="746"/>
      <c r="AR208" s="746"/>
      <c r="AS208" s="746"/>
      <c r="AT208" s="746"/>
    </row>
    <row r="209" s="697" customFormat="1" ht="36" customHeight="1" spans="1:254">
      <c r="A209" s="805">
        <v>44986</v>
      </c>
      <c r="B209" s="712" t="s">
        <v>1896</v>
      </c>
      <c r="C209" s="721" t="s">
        <v>647</v>
      </c>
      <c r="D209" s="711">
        <v>4500096312</v>
      </c>
      <c r="E209" s="712"/>
      <c r="F209" s="711" t="s">
        <v>1891</v>
      </c>
      <c r="G209" s="712" t="s">
        <v>1479</v>
      </c>
      <c r="H209" s="711">
        <v>1008</v>
      </c>
      <c r="I209" s="711">
        <v>0</v>
      </c>
      <c r="J209" s="711">
        <v>24</v>
      </c>
      <c r="K209" s="698">
        <f t="shared" si="99"/>
        <v>42</v>
      </c>
      <c r="L209" s="777">
        <v>45056</v>
      </c>
      <c r="M209" s="727" t="s">
        <v>3623</v>
      </c>
      <c r="N209" s="744"/>
      <c r="O209" s="744"/>
      <c r="P209" s="744"/>
      <c r="Q209" s="530" t="s">
        <v>1427</v>
      </c>
      <c r="R209" s="845"/>
      <c r="S209" s="845" t="s">
        <v>3624</v>
      </c>
      <c r="T209" s="893" t="s">
        <v>3625</v>
      </c>
      <c r="U209" s="856" t="s">
        <v>3626</v>
      </c>
      <c r="V209" s="711" t="s">
        <v>1905</v>
      </c>
      <c r="W209" s="872">
        <v>1.5439</v>
      </c>
      <c r="X209" s="757">
        <f>W209*H209</f>
        <v>1556.2512</v>
      </c>
      <c r="Y209" s="778"/>
      <c r="Z209" s="712"/>
      <c r="AA209" s="712"/>
      <c r="AB209" s="778"/>
      <c r="AC209" s="778"/>
      <c r="AD209" s="711">
        <f>H209/3</f>
        <v>336</v>
      </c>
      <c r="AE209" s="711">
        <f>H209/3</f>
        <v>336</v>
      </c>
      <c r="AF209" s="711">
        <f>H209/3</f>
        <v>336</v>
      </c>
      <c r="AG209" s="800">
        <f>H209</f>
        <v>1008</v>
      </c>
      <c r="AH209" s="800"/>
      <c r="AI209" s="800"/>
      <c r="AJ209" s="800"/>
      <c r="AK209" s="800">
        <f>H209/6</f>
        <v>168</v>
      </c>
      <c r="AL209" s="779"/>
      <c r="AM209" s="779">
        <f>H209</f>
        <v>1008</v>
      </c>
      <c r="AN209" s="779"/>
      <c r="AO209" s="698"/>
      <c r="AP209" s="698"/>
      <c r="AQ209" s="711"/>
      <c r="AR209" s="698"/>
      <c r="AS209" s="698"/>
      <c r="AT209" s="698"/>
      <c r="AU209" s="897"/>
      <c r="AV209" s="897"/>
      <c r="AW209" s="897"/>
      <c r="AX209" s="897"/>
      <c r="AY209" s="897"/>
      <c r="AZ209" s="897"/>
      <c r="BA209" s="897"/>
      <c r="BB209" s="897"/>
      <c r="BC209" s="897"/>
      <c r="BD209" s="897"/>
      <c r="BE209" s="897"/>
      <c r="BF209" s="897"/>
      <c r="BG209" s="897"/>
      <c r="BH209" s="897"/>
      <c r="BI209" s="897"/>
      <c r="BJ209" s="897"/>
      <c r="BK209" s="897"/>
      <c r="BL209" s="897"/>
      <c r="BM209" s="897"/>
      <c r="BN209" s="897"/>
      <c r="BO209" s="897"/>
      <c r="BP209" s="897"/>
      <c r="BQ209" s="897"/>
      <c r="BR209" s="897"/>
      <c r="BS209" s="897"/>
      <c r="BT209" s="897"/>
      <c r="BU209" s="897"/>
      <c r="BV209" s="897"/>
      <c r="BW209" s="897"/>
      <c r="BX209" s="897"/>
      <c r="BY209" s="897"/>
      <c r="BZ209" s="897"/>
      <c r="CA209" s="897"/>
      <c r="CB209" s="897"/>
      <c r="CC209" s="897"/>
      <c r="CD209" s="897"/>
      <c r="CE209" s="897"/>
      <c r="CF209" s="897"/>
      <c r="CG209" s="897"/>
      <c r="CH209" s="897"/>
      <c r="CI209" s="897"/>
      <c r="CJ209" s="897"/>
      <c r="CK209" s="897"/>
      <c r="CL209" s="897"/>
      <c r="CM209" s="897"/>
      <c r="CN209" s="897"/>
      <c r="CO209" s="897"/>
      <c r="CP209" s="897"/>
      <c r="CQ209" s="897"/>
      <c r="CR209" s="897"/>
      <c r="CS209" s="897"/>
      <c r="CT209" s="897"/>
      <c r="CU209" s="897"/>
      <c r="CV209" s="897"/>
      <c r="CW209" s="897"/>
      <c r="CX209" s="897"/>
      <c r="CY209" s="897"/>
      <c r="CZ209" s="897"/>
      <c r="DA209" s="897"/>
      <c r="DB209" s="897"/>
      <c r="DC209" s="897"/>
      <c r="DD209" s="897"/>
      <c r="DE209" s="897"/>
      <c r="DF209" s="897"/>
      <c r="DG209" s="897"/>
      <c r="DH209" s="897"/>
      <c r="DI209" s="897"/>
      <c r="DJ209" s="897"/>
      <c r="DK209" s="897"/>
      <c r="DL209" s="897"/>
      <c r="DM209" s="897"/>
      <c r="DN209" s="897"/>
      <c r="DO209" s="897"/>
      <c r="DP209" s="897"/>
      <c r="DQ209" s="897"/>
      <c r="DR209" s="897"/>
      <c r="DS209" s="897"/>
      <c r="DT209" s="897"/>
      <c r="DU209" s="897"/>
      <c r="DV209" s="897"/>
      <c r="DW209" s="897"/>
      <c r="DX209" s="897"/>
      <c r="DY209" s="897"/>
      <c r="DZ209" s="897"/>
      <c r="EA209" s="897"/>
      <c r="EB209" s="897"/>
      <c r="EC209" s="897"/>
      <c r="ED209" s="897"/>
      <c r="EE209" s="897"/>
      <c r="EF209" s="897"/>
      <c r="EG209" s="897"/>
      <c r="EH209" s="897"/>
      <c r="EI209" s="897"/>
      <c r="EJ209" s="897"/>
      <c r="EK209" s="897"/>
      <c r="EL209" s="897"/>
      <c r="EM209" s="897"/>
      <c r="EN209" s="897"/>
      <c r="EO209" s="897"/>
      <c r="EP209" s="897"/>
      <c r="EQ209" s="897"/>
      <c r="ER209" s="897"/>
      <c r="ES209" s="897"/>
      <c r="ET209" s="897"/>
      <c r="EU209" s="897"/>
      <c r="EV209" s="897"/>
      <c r="EW209" s="897"/>
      <c r="EX209" s="897"/>
      <c r="EY209" s="897"/>
      <c r="EZ209" s="897"/>
      <c r="FA209" s="897"/>
      <c r="FB209" s="897"/>
      <c r="FC209" s="897"/>
      <c r="FD209" s="897"/>
      <c r="FE209" s="897"/>
      <c r="FF209" s="897"/>
      <c r="FG209" s="897"/>
      <c r="FH209" s="897"/>
      <c r="FI209" s="897"/>
      <c r="FJ209" s="897"/>
      <c r="FK209" s="900"/>
      <c r="FL209" s="900"/>
      <c r="FM209" s="900"/>
      <c r="FN209" s="900"/>
      <c r="FO209" s="900"/>
      <c r="FP209" s="900"/>
      <c r="FQ209" s="900"/>
      <c r="FR209" s="900"/>
      <c r="FS209" s="900"/>
      <c r="FT209" s="900"/>
      <c r="FU209" s="900"/>
      <c r="FV209" s="900"/>
      <c r="FW209" s="900"/>
      <c r="FX209" s="900"/>
      <c r="FY209" s="900"/>
      <c r="FZ209" s="900"/>
      <c r="GA209" s="900"/>
      <c r="GB209" s="900"/>
      <c r="GC209" s="900"/>
      <c r="GD209" s="900"/>
      <c r="GE209" s="900"/>
      <c r="GF209" s="900"/>
      <c r="GG209" s="900"/>
      <c r="GH209" s="900"/>
      <c r="GI209" s="900"/>
      <c r="GJ209" s="900"/>
      <c r="GK209" s="900"/>
      <c r="GL209" s="900"/>
      <c r="GM209" s="900"/>
      <c r="GN209" s="900"/>
      <c r="GO209" s="900"/>
      <c r="GP209" s="900"/>
      <c r="GQ209" s="900"/>
      <c r="GR209" s="900"/>
      <c r="GS209" s="900"/>
      <c r="GT209" s="900"/>
      <c r="GU209" s="900"/>
      <c r="GV209" s="900"/>
      <c r="GW209" s="900"/>
      <c r="GX209" s="900"/>
      <c r="GY209" s="900"/>
      <c r="GZ209" s="900"/>
      <c r="HA209" s="900"/>
      <c r="HB209" s="900"/>
      <c r="HC209" s="900"/>
      <c r="HD209" s="900"/>
      <c r="HE209" s="900"/>
      <c r="HF209" s="900"/>
      <c r="HG209" s="900"/>
      <c r="HH209" s="900"/>
      <c r="HI209" s="900"/>
      <c r="HJ209" s="900"/>
      <c r="HK209" s="900"/>
      <c r="HL209" s="900"/>
      <c r="HM209" s="900"/>
      <c r="HN209" s="900"/>
      <c r="HO209" s="699"/>
      <c r="HP209" s="699"/>
      <c r="HQ209" s="699"/>
      <c r="HR209" s="699"/>
      <c r="HS209" s="699"/>
      <c r="HT209" s="699"/>
      <c r="HU209" s="699"/>
      <c r="HV209" s="699"/>
      <c r="HW209" s="699"/>
      <c r="HX209" s="699"/>
      <c r="HY209" s="699"/>
      <c r="HZ209" s="699"/>
      <c r="IA209" s="699"/>
      <c r="IB209" s="699"/>
      <c r="IC209" s="699"/>
      <c r="ID209" s="699"/>
      <c r="IE209" s="699"/>
      <c r="IF209" s="699"/>
      <c r="IG209" s="699"/>
      <c r="IH209" s="699"/>
      <c r="II209" s="699"/>
      <c r="IJ209" s="699"/>
      <c r="IK209" s="699"/>
      <c r="IL209" s="699"/>
      <c r="IM209" s="699"/>
      <c r="IN209" s="699"/>
      <c r="IO209" s="699"/>
      <c r="IP209" s="699"/>
      <c r="IQ209" s="699"/>
      <c r="IR209" s="699"/>
      <c r="IS209" s="699"/>
      <c r="IT209" s="699"/>
    </row>
    <row r="210" s="693" customFormat="1" ht="31" customHeight="1" spans="1:55">
      <c r="A210" s="810">
        <v>44999</v>
      </c>
      <c r="B210" s="791" t="s">
        <v>230</v>
      </c>
      <c r="C210" s="712" t="s">
        <v>91</v>
      </c>
      <c r="D210" s="791">
        <v>4500097235</v>
      </c>
      <c r="E210" s="789">
        <v>60084370</v>
      </c>
      <c r="F210" s="791" t="s">
        <v>3569</v>
      </c>
      <c r="G210" s="712" t="s">
        <v>2119</v>
      </c>
      <c r="H210" s="881">
        <v>2004</v>
      </c>
      <c r="I210" s="711">
        <v>0</v>
      </c>
      <c r="J210" s="711">
        <v>12</v>
      </c>
      <c r="K210" s="698">
        <f t="shared" si="99"/>
        <v>167</v>
      </c>
      <c r="L210" s="829" t="s">
        <v>3627</v>
      </c>
      <c r="M210" s="829" t="s">
        <v>3628</v>
      </c>
      <c r="N210" s="868"/>
      <c r="O210" s="889"/>
      <c r="P210" s="851"/>
      <c r="Q210" s="744" t="s">
        <v>1427</v>
      </c>
      <c r="R210" s="744" t="s">
        <v>58</v>
      </c>
      <c r="S210" s="744" t="s">
        <v>1409</v>
      </c>
      <c r="T210" s="712" t="s">
        <v>235</v>
      </c>
      <c r="U210" s="794" t="s">
        <v>3629</v>
      </c>
      <c r="V210" s="789" t="s">
        <v>3630</v>
      </c>
      <c r="W210" s="819">
        <v>2.829</v>
      </c>
      <c r="X210" s="725">
        <f>W210*H210</f>
        <v>5669.316</v>
      </c>
      <c r="Y210" s="832"/>
      <c r="Z210" s="775"/>
      <c r="AA210" s="775"/>
      <c r="AB210" s="832"/>
      <c r="AC210" s="832"/>
      <c r="AD210" s="836"/>
      <c r="AE210" s="696"/>
      <c r="AF210" s="776">
        <f>H210/3</f>
        <v>668</v>
      </c>
      <c r="AG210" s="776">
        <f>H210/3</f>
        <v>668</v>
      </c>
      <c r="AH210" s="776">
        <f>H210/3</f>
        <v>668</v>
      </c>
      <c r="AI210" s="786"/>
      <c r="AJ210" s="786"/>
      <c r="AK210" s="786"/>
      <c r="AL210" s="801"/>
      <c r="AM210" s="801"/>
      <c r="AN210" s="801">
        <f>H210</f>
        <v>2004</v>
      </c>
      <c r="AO210" s="801"/>
      <c r="AP210" s="801"/>
      <c r="AQ210" s="801"/>
      <c r="AR210" s="801">
        <f>H210</f>
        <v>2004</v>
      </c>
      <c r="AS210" s="801"/>
      <c r="AT210" s="801"/>
      <c r="AU210" s="801"/>
      <c r="AV210" s="801"/>
      <c r="AW210" s="786"/>
      <c r="AX210" s="898"/>
      <c r="AY210" s="898"/>
      <c r="AZ210" s="776"/>
      <c r="BA210" s="899"/>
      <c r="BB210" s="712" t="s">
        <v>3576</v>
      </c>
      <c r="BC210" s="705" t="s">
        <v>3576</v>
      </c>
    </row>
    <row r="211" s="694" customFormat="1" ht="31" customHeight="1" spans="1:56">
      <c r="A211" s="805">
        <v>44999</v>
      </c>
      <c r="B211" s="711" t="s">
        <v>3631</v>
      </c>
      <c r="C211" s="712" t="s">
        <v>91</v>
      </c>
      <c r="D211" s="694">
        <v>4500097199</v>
      </c>
      <c r="E211" s="711">
        <v>979916</v>
      </c>
      <c r="F211" s="711" t="s">
        <v>3632</v>
      </c>
      <c r="G211" s="712" t="s">
        <v>2119</v>
      </c>
      <c r="H211" s="711">
        <v>5004</v>
      </c>
      <c r="I211" s="711">
        <v>0</v>
      </c>
      <c r="J211" s="711">
        <v>6</v>
      </c>
      <c r="K211" s="698">
        <f t="shared" ref="K211:K214" si="106">H211/J211</f>
        <v>834</v>
      </c>
      <c r="L211" s="777" t="s">
        <v>3633</v>
      </c>
      <c r="M211" s="777" t="s">
        <v>3634</v>
      </c>
      <c r="N211" s="748" t="s">
        <v>3635</v>
      </c>
      <c r="O211" s="750" t="s">
        <v>1480</v>
      </c>
      <c r="P211" s="848" t="s">
        <v>3636</v>
      </c>
      <c r="Q211" s="744">
        <v>44999</v>
      </c>
      <c r="R211" s="744" t="s">
        <v>58</v>
      </c>
      <c r="S211" s="744" t="s">
        <v>3637</v>
      </c>
      <c r="T211" s="712" t="s">
        <v>3638</v>
      </c>
      <c r="U211" s="716" t="s">
        <v>3639</v>
      </c>
      <c r="V211" s="712" t="s">
        <v>839</v>
      </c>
      <c r="W211" s="819">
        <v>2.7914</v>
      </c>
      <c r="X211" s="725">
        <f t="shared" ref="X211:X214" si="107">W211*H211</f>
        <v>13968.1656</v>
      </c>
      <c r="Y211" s="778"/>
      <c r="Z211" s="744" t="s">
        <v>63</v>
      </c>
      <c r="AA211" s="744" t="s">
        <v>38</v>
      </c>
      <c r="AB211" s="778">
        <v>5004</v>
      </c>
      <c r="AC211" s="778">
        <f>AB211-H211</f>
        <v>0</v>
      </c>
      <c r="AD211" s="727" t="s">
        <v>327</v>
      </c>
      <c r="AF211" s="776">
        <f>H211/3</f>
        <v>1668</v>
      </c>
      <c r="AG211" s="776">
        <f>H211/3</f>
        <v>1668</v>
      </c>
      <c r="AH211" s="776">
        <f>H211/3</f>
        <v>1668</v>
      </c>
      <c r="AI211" s="776"/>
      <c r="AJ211" s="776"/>
      <c r="AK211" s="776"/>
      <c r="AL211" s="800"/>
      <c r="AM211" s="800"/>
      <c r="AN211" s="800">
        <f>H211</f>
        <v>5004</v>
      </c>
      <c r="AO211" s="800"/>
      <c r="AP211" s="800"/>
      <c r="AQ211" s="800"/>
      <c r="AR211" s="800"/>
      <c r="AS211" s="800">
        <f>H211</f>
        <v>5004</v>
      </c>
      <c r="AT211" s="800"/>
      <c r="AU211" s="800"/>
      <c r="AV211" s="800"/>
      <c r="AW211" s="800"/>
      <c r="AX211" s="776"/>
      <c r="AY211" s="776"/>
      <c r="AZ211" s="776"/>
      <c r="BA211" s="776"/>
      <c r="BB211" s="727"/>
      <c r="BC211" s="712" t="s">
        <v>3576</v>
      </c>
      <c r="BD211" s="705" t="s">
        <v>3576</v>
      </c>
    </row>
    <row r="212" s="693" customFormat="1" ht="31" customHeight="1" spans="1:56">
      <c r="A212" s="810">
        <v>45063</v>
      </c>
      <c r="B212" s="791" t="s">
        <v>1486</v>
      </c>
      <c r="C212" s="789" t="s">
        <v>398</v>
      </c>
      <c r="D212" s="791">
        <v>4500103924</v>
      </c>
      <c r="E212" s="746" t="s">
        <v>3640</v>
      </c>
      <c r="F212" s="791" t="s">
        <v>3641</v>
      </c>
      <c r="G212" s="712" t="s">
        <v>3414</v>
      </c>
      <c r="H212" s="791">
        <v>8</v>
      </c>
      <c r="I212" s="711">
        <v>0</v>
      </c>
      <c r="J212" s="711">
        <v>8</v>
      </c>
      <c r="K212" s="698">
        <f t="shared" si="106"/>
        <v>1</v>
      </c>
      <c r="L212" s="829">
        <v>45093</v>
      </c>
      <c r="M212" s="829">
        <v>45089</v>
      </c>
      <c r="N212" s="868" t="s">
        <v>3642</v>
      </c>
      <c r="O212" s="869"/>
      <c r="P212" s="890"/>
      <c r="Q212" s="775" t="s">
        <v>3643</v>
      </c>
      <c r="R212" s="775" t="s">
        <v>2112</v>
      </c>
      <c r="S212" s="775" t="s">
        <v>3566</v>
      </c>
      <c r="T212" s="789" t="s">
        <v>3644</v>
      </c>
      <c r="U212" s="795" t="s">
        <v>3645</v>
      </c>
      <c r="V212" s="789" t="s">
        <v>975</v>
      </c>
      <c r="W212" s="819">
        <v>9.9249</v>
      </c>
      <c r="X212" s="725">
        <f t="shared" si="107"/>
        <v>79.3992</v>
      </c>
      <c r="Y212" s="832"/>
      <c r="Z212" s="775"/>
      <c r="AA212" s="775"/>
      <c r="AB212" s="832"/>
      <c r="AC212" s="832"/>
      <c r="AD212" s="836"/>
      <c r="AE212" s="696"/>
      <c r="AF212" s="776">
        <f t="shared" ref="AF212:AF214" si="108">H212</f>
        <v>8</v>
      </c>
      <c r="AG212" s="776">
        <f t="shared" ref="AG212:AG214" si="109">H212</f>
        <v>8</v>
      </c>
      <c r="AH212" s="776">
        <f t="shared" ref="AH212:AH214" si="110">H212</f>
        <v>8</v>
      </c>
      <c r="AI212" s="786"/>
      <c r="AJ212" s="786"/>
      <c r="AK212" s="786"/>
      <c r="AL212" s="801"/>
      <c r="AM212" s="801"/>
      <c r="AN212" s="801"/>
      <c r="AO212" s="801">
        <f t="shared" ref="AO212:AO214" si="111">H212*3</f>
        <v>24</v>
      </c>
      <c r="AP212" s="801"/>
      <c r="AQ212" s="801"/>
      <c r="AR212" s="801"/>
      <c r="AS212" s="801"/>
      <c r="AT212" s="801"/>
      <c r="AU212" s="801"/>
      <c r="AV212" s="801">
        <f t="shared" ref="AV212:AV214" si="112">H212*3</f>
        <v>24</v>
      </c>
      <c r="AW212" s="801"/>
      <c r="AX212" s="786"/>
      <c r="AY212" s="898"/>
      <c r="AZ212" s="898"/>
      <c r="BA212" s="776"/>
      <c r="BB212" s="899"/>
      <c r="BC212" s="712" t="s">
        <v>3576</v>
      </c>
      <c r="BD212" s="712" t="s">
        <v>3576</v>
      </c>
    </row>
    <row r="213" s="693" customFormat="1" ht="31" customHeight="1" spans="1:56">
      <c r="A213" s="810">
        <v>45063</v>
      </c>
      <c r="B213" s="791" t="s">
        <v>1486</v>
      </c>
      <c r="C213" s="789" t="s">
        <v>398</v>
      </c>
      <c r="D213" s="791">
        <v>4500103924</v>
      </c>
      <c r="E213" s="746" t="s">
        <v>3640</v>
      </c>
      <c r="F213" s="791" t="s">
        <v>3641</v>
      </c>
      <c r="G213" s="712" t="s">
        <v>3414</v>
      </c>
      <c r="H213" s="791">
        <v>40</v>
      </c>
      <c r="I213" s="711">
        <v>0</v>
      </c>
      <c r="J213" s="711">
        <v>8</v>
      </c>
      <c r="K213" s="698">
        <f t="shared" si="106"/>
        <v>5</v>
      </c>
      <c r="L213" s="829">
        <v>45093</v>
      </c>
      <c r="M213" s="829">
        <v>45089</v>
      </c>
      <c r="N213" s="868" t="s">
        <v>3642</v>
      </c>
      <c r="O213" s="869"/>
      <c r="P213" s="890"/>
      <c r="Q213" s="775" t="s">
        <v>3643</v>
      </c>
      <c r="R213" s="775" t="s">
        <v>2112</v>
      </c>
      <c r="S213" s="775" t="s">
        <v>3566</v>
      </c>
      <c r="T213" s="789" t="s">
        <v>3644</v>
      </c>
      <c r="U213" s="795" t="s">
        <v>3646</v>
      </c>
      <c r="V213" s="789" t="s">
        <v>975</v>
      </c>
      <c r="W213" s="819">
        <v>9.9249</v>
      </c>
      <c r="X213" s="725">
        <f t="shared" si="107"/>
        <v>396.996</v>
      </c>
      <c r="Y213" s="832"/>
      <c r="Z213" s="775"/>
      <c r="AA213" s="775"/>
      <c r="AB213" s="832"/>
      <c r="AC213" s="832"/>
      <c r="AD213" s="836"/>
      <c r="AE213" s="696"/>
      <c r="AF213" s="776">
        <f t="shared" si="108"/>
        <v>40</v>
      </c>
      <c r="AG213" s="776">
        <f t="shared" si="109"/>
        <v>40</v>
      </c>
      <c r="AH213" s="776">
        <f t="shared" si="110"/>
        <v>40</v>
      </c>
      <c r="AI213" s="786"/>
      <c r="AJ213" s="786"/>
      <c r="AK213" s="786"/>
      <c r="AL213" s="801"/>
      <c r="AM213" s="801"/>
      <c r="AN213" s="801"/>
      <c r="AO213" s="801">
        <f t="shared" si="111"/>
        <v>120</v>
      </c>
      <c r="AP213" s="801"/>
      <c r="AQ213" s="801"/>
      <c r="AR213" s="801"/>
      <c r="AS213" s="801"/>
      <c r="AT213" s="801"/>
      <c r="AU213" s="801"/>
      <c r="AV213" s="801">
        <f t="shared" si="112"/>
        <v>120</v>
      </c>
      <c r="AW213" s="801"/>
      <c r="AX213" s="786"/>
      <c r="AY213" s="898"/>
      <c r="AZ213" s="898"/>
      <c r="BA213" s="776"/>
      <c r="BB213" s="899"/>
      <c r="BC213" s="712" t="s">
        <v>3576</v>
      </c>
      <c r="BD213" s="712" t="s">
        <v>3576</v>
      </c>
    </row>
    <row r="214" s="693" customFormat="1" ht="31" customHeight="1" spans="1:56">
      <c r="A214" s="810">
        <v>45063</v>
      </c>
      <c r="B214" s="791" t="s">
        <v>1486</v>
      </c>
      <c r="C214" s="789" t="s">
        <v>398</v>
      </c>
      <c r="D214" s="791">
        <v>4500103924</v>
      </c>
      <c r="E214" s="746" t="s">
        <v>3640</v>
      </c>
      <c r="F214" s="791" t="s">
        <v>3641</v>
      </c>
      <c r="G214" s="712" t="s">
        <v>3414</v>
      </c>
      <c r="H214" s="791">
        <v>32</v>
      </c>
      <c r="I214" s="711">
        <v>0</v>
      </c>
      <c r="J214" s="711">
        <v>8</v>
      </c>
      <c r="K214" s="698">
        <f t="shared" si="106"/>
        <v>4</v>
      </c>
      <c r="L214" s="829">
        <v>45093</v>
      </c>
      <c r="M214" s="829">
        <v>45089</v>
      </c>
      <c r="N214" s="868" t="s">
        <v>3642</v>
      </c>
      <c r="O214" s="869"/>
      <c r="P214" s="890"/>
      <c r="Q214" s="775" t="s">
        <v>3643</v>
      </c>
      <c r="R214" s="775" t="s">
        <v>2112</v>
      </c>
      <c r="S214" s="775" t="s">
        <v>3566</v>
      </c>
      <c r="T214" s="789" t="s">
        <v>3644</v>
      </c>
      <c r="U214" s="795" t="s">
        <v>3646</v>
      </c>
      <c r="V214" s="789" t="s">
        <v>975</v>
      </c>
      <c r="W214" s="819">
        <v>9.9</v>
      </c>
      <c r="X214" s="725">
        <f t="shared" si="107"/>
        <v>316.8</v>
      </c>
      <c r="Y214" s="832"/>
      <c r="Z214" s="775"/>
      <c r="AA214" s="775"/>
      <c r="AB214" s="832"/>
      <c r="AC214" s="832"/>
      <c r="AD214" s="836"/>
      <c r="AE214" s="696"/>
      <c r="AF214" s="776">
        <f t="shared" si="108"/>
        <v>32</v>
      </c>
      <c r="AG214" s="776">
        <f t="shared" si="109"/>
        <v>32</v>
      </c>
      <c r="AH214" s="776">
        <f t="shared" si="110"/>
        <v>32</v>
      </c>
      <c r="AI214" s="786"/>
      <c r="AJ214" s="786"/>
      <c r="AK214" s="786"/>
      <c r="AL214" s="801"/>
      <c r="AM214" s="801"/>
      <c r="AN214" s="801"/>
      <c r="AO214" s="801">
        <f t="shared" si="111"/>
        <v>96</v>
      </c>
      <c r="AP214" s="801"/>
      <c r="AQ214" s="801"/>
      <c r="AR214" s="801"/>
      <c r="AS214" s="801"/>
      <c r="AT214" s="801"/>
      <c r="AU214" s="801"/>
      <c r="AV214" s="801">
        <f t="shared" si="112"/>
        <v>96</v>
      </c>
      <c r="AW214" s="801"/>
      <c r="AX214" s="786"/>
      <c r="AY214" s="898"/>
      <c r="AZ214" s="898"/>
      <c r="BA214" s="776"/>
      <c r="BB214" s="899"/>
      <c r="BC214" s="712" t="s">
        <v>3576</v>
      </c>
      <c r="BD214" s="712" t="s">
        <v>3576</v>
      </c>
    </row>
    <row r="215" s="699" customFormat="1" ht="36" customHeight="1" spans="1:192">
      <c r="A215" s="882">
        <v>45051</v>
      </c>
      <c r="B215" s="795" t="s">
        <v>3647</v>
      </c>
      <c r="C215" s="883" t="s">
        <v>91</v>
      </c>
      <c r="D215" s="817">
        <v>4500102638</v>
      </c>
      <c r="E215" s="863">
        <v>617621</v>
      </c>
      <c r="F215" s="711" t="s">
        <v>1891</v>
      </c>
      <c r="G215" s="712" t="s">
        <v>1479</v>
      </c>
      <c r="H215" s="711">
        <v>2928</v>
      </c>
      <c r="I215" s="711">
        <v>0</v>
      </c>
      <c r="J215" s="711">
        <v>24</v>
      </c>
      <c r="K215" s="698">
        <f t="shared" ref="K215:K221" si="113">H215/J215</f>
        <v>122</v>
      </c>
      <c r="L215" s="777">
        <v>45111</v>
      </c>
      <c r="M215" s="744" t="s">
        <v>3648</v>
      </c>
      <c r="N215" s="744"/>
      <c r="O215" s="744"/>
      <c r="P215" s="744"/>
      <c r="Q215" s="736" t="s">
        <v>3649</v>
      </c>
      <c r="R215" s="845"/>
      <c r="S215" s="530" t="s">
        <v>58</v>
      </c>
      <c r="T215" s="698" t="s">
        <v>3650</v>
      </c>
      <c r="U215" s="705" t="s">
        <v>3651</v>
      </c>
      <c r="V215" s="705" t="s">
        <v>839</v>
      </c>
      <c r="W215" s="872">
        <v>1.5503</v>
      </c>
      <c r="X215" s="757">
        <f t="shared" ref="X215:X221" si="114">W215*H215</f>
        <v>4539.2784</v>
      </c>
      <c r="Y215" s="778"/>
      <c r="Z215" s="712"/>
      <c r="AA215" s="712"/>
      <c r="AB215" s="778"/>
      <c r="AC215" s="778"/>
      <c r="AD215" s="711">
        <f>H215/3</f>
        <v>976</v>
      </c>
      <c r="AE215" s="711">
        <f>H215/3</f>
        <v>976</v>
      </c>
      <c r="AF215" s="711">
        <f>H215/3</f>
        <v>976</v>
      </c>
      <c r="AG215" s="800">
        <f t="shared" ref="AG215:AG220" si="115">H215</f>
        <v>2928</v>
      </c>
      <c r="AH215" s="800"/>
      <c r="AI215" s="800">
        <f>H215</f>
        <v>2928</v>
      </c>
      <c r="AJ215" s="800"/>
      <c r="AK215" s="800">
        <f>H215/6</f>
        <v>488</v>
      </c>
      <c r="AL215" s="800"/>
      <c r="AM215" s="779"/>
      <c r="AN215" s="779"/>
      <c r="AO215" s="779"/>
      <c r="AP215" s="698"/>
      <c r="AQ215" s="698"/>
      <c r="AR215" s="711"/>
      <c r="AS215" s="698"/>
      <c r="AT215" s="698"/>
      <c r="AU215" s="698"/>
      <c r="AV215" s="897"/>
      <c r="AW215" s="897"/>
      <c r="AX215" s="897"/>
      <c r="AY215" s="897"/>
      <c r="AZ215" s="897"/>
      <c r="BA215" s="897"/>
      <c r="BB215" s="897"/>
      <c r="BC215" s="897"/>
      <c r="BD215" s="897"/>
      <c r="BE215" s="897"/>
      <c r="BF215" s="897"/>
      <c r="BG215" s="897"/>
      <c r="BH215" s="897"/>
      <c r="BI215" s="897"/>
      <c r="BJ215" s="897"/>
      <c r="BK215" s="897"/>
      <c r="BL215" s="897"/>
      <c r="BM215" s="897"/>
      <c r="BN215" s="897"/>
      <c r="BO215" s="897"/>
      <c r="BP215" s="897"/>
      <c r="BQ215" s="897"/>
      <c r="BR215" s="897"/>
      <c r="BS215" s="897"/>
      <c r="BT215" s="897"/>
      <c r="BU215" s="897"/>
      <c r="BV215" s="897"/>
      <c r="BW215" s="897"/>
      <c r="BX215" s="897"/>
      <c r="BY215" s="897"/>
      <c r="BZ215" s="897"/>
      <c r="CA215" s="897"/>
      <c r="CB215" s="897"/>
      <c r="CC215" s="897"/>
      <c r="CD215" s="897"/>
      <c r="CE215" s="897"/>
      <c r="CF215" s="897"/>
      <c r="CG215" s="897"/>
      <c r="CH215" s="897"/>
      <c r="CI215" s="897"/>
      <c r="CJ215" s="897"/>
      <c r="CK215" s="897"/>
      <c r="CL215" s="897"/>
      <c r="CM215" s="897"/>
      <c r="CN215" s="897"/>
      <c r="CO215" s="897"/>
      <c r="CP215" s="897"/>
      <c r="CQ215" s="897"/>
      <c r="CR215" s="897"/>
      <c r="CS215" s="897"/>
      <c r="CT215" s="897"/>
      <c r="CU215" s="897"/>
      <c r="CV215" s="897"/>
      <c r="CW215" s="897"/>
      <c r="CX215" s="897"/>
      <c r="CY215" s="897"/>
      <c r="CZ215" s="897"/>
      <c r="DA215" s="897"/>
      <c r="DB215" s="897"/>
      <c r="DC215" s="897"/>
      <c r="DD215" s="897"/>
      <c r="DE215" s="897"/>
      <c r="DF215" s="897"/>
      <c r="DG215" s="897"/>
      <c r="DH215" s="897"/>
      <c r="DI215" s="897"/>
      <c r="DJ215" s="897"/>
      <c r="DK215" s="897"/>
      <c r="DL215" s="897"/>
      <c r="DM215" s="897"/>
      <c r="DN215" s="897"/>
      <c r="DO215" s="897"/>
      <c r="DP215" s="897"/>
      <c r="DQ215" s="897"/>
      <c r="DR215" s="897"/>
      <c r="DS215" s="897"/>
      <c r="DT215" s="897"/>
      <c r="DU215" s="897"/>
      <c r="DV215" s="897"/>
      <c r="DW215" s="897"/>
      <c r="DX215" s="897"/>
      <c r="DY215" s="897"/>
      <c r="DZ215" s="897"/>
      <c r="EA215" s="897"/>
      <c r="EB215" s="897"/>
      <c r="EC215" s="897"/>
      <c r="ED215" s="897"/>
      <c r="EE215" s="897"/>
      <c r="EF215" s="897"/>
      <c r="EG215" s="900"/>
      <c r="EH215" s="900"/>
      <c r="EI215" s="900"/>
      <c r="EJ215" s="900"/>
      <c r="EK215" s="900"/>
      <c r="EL215" s="900"/>
      <c r="EM215" s="900"/>
      <c r="EN215" s="900"/>
      <c r="EO215" s="900"/>
      <c r="EP215" s="900"/>
      <c r="EQ215" s="900"/>
      <c r="ER215" s="900"/>
      <c r="ES215" s="900"/>
      <c r="ET215" s="900"/>
      <c r="EU215" s="900"/>
      <c r="EV215" s="900"/>
      <c r="EW215" s="900"/>
      <c r="EX215" s="900"/>
      <c r="EY215" s="900"/>
      <c r="EZ215" s="900"/>
      <c r="FA215" s="900"/>
      <c r="FB215" s="900"/>
      <c r="FC215" s="900"/>
      <c r="FD215" s="900"/>
      <c r="FE215" s="900"/>
      <c r="FF215" s="900"/>
      <c r="FG215" s="900"/>
      <c r="FH215" s="900"/>
      <c r="FI215" s="900"/>
      <c r="FJ215" s="900"/>
      <c r="FK215" s="900"/>
      <c r="FL215" s="900"/>
      <c r="FM215" s="900"/>
      <c r="FN215" s="900"/>
      <c r="FO215" s="900"/>
      <c r="FP215" s="900"/>
      <c r="FQ215" s="900"/>
      <c r="FR215" s="900"/>
      <c r="FS215" s="900"/>
      <c r="FT215" s="900"/>
      <c r="FU215" s="900"/>
      <c r="FV215" s="900"/>
      <c r="FW215" s="900"/>
      <c r="FX215" s="900"/>
      <c r="FY215" s="900"/>
      <c r="FZ215" s="900"/>
      <c r="GA215" s="900"/>
      <c r="GB215" s="900"/>
      <c r="GC215" s="900"/>
      <c r="GD215" s="900"/>
      <c r="GE215" s="900"/>
      <c r="GF215" s="900"/>
      <c r="GG215" s="900"/>
      <c r="GH215" s="900"/>
      <c r="GI215" s="900"/>
      <c r="GJ215" s="900"/>
    </row>
    <row r="216" s="699" customFormat="1" ht="36" customHeight="1" spans="1:192">
      <c r="A216" s="882">
        <v>45065</v>
      </c>
      <c r="B216" s="716" t="s">
        <v>209</v>
      </c>
      <c r="C216" s="884" t="s">
        <v>91</v>
      </c>
      <c r="D216" s="885">
        <v>4500101967</v>
      </c>
      <c r="E216" s="784" t="s">
        <v>3652</v>
      </c>
      <c r="F216" s="711" t="s">
        <v>1908</v>
      </c>
      <c r="G216" s="712" t="s">
        <v>1491</v>
      </c>
      <c r="H216" s="711">
        <v>900</v>
      </c>
      <c r="I216" s="711">
        <v>0</v>
      </c>
      <c r="J216" s="711">
        <v>18</v>
      </c>
      <c r="K216" s="891">
        <f t="shared" si="113"/>
        <v>50</v>
      </c>
      <c r="L216" s="777">
        <v>45112</v>
      </c>
      <c r="M216" s="744" t="s">
        <v>3653</v>
      </c>
      <c r="N216" s="744"/>
      <c r="O216" s="744"/>
      <c r="P216" s="744"/>
      <c r="Q216" s="894" t="s">
        <v>3654</v>
      </c>
      <c r="R216" s="845"/>
      <c r="S216" s="870" t="s">
        <v>1912</v>
      </c>
      <c r="T216" s="692" t="s">
        <v>3655</v>
      </c>
      <c r="U216" s="815" t="s">
        <v>1914</v>
      </c>
      <c r="V216" s="705" t="s">
        <v>975</v>
      </c>
      <c r="W216" s="872">
        <v>3.5384</v>
      </c>
      <c r="X216" s="757">
        <f t="shared" si="114"/>
        <v>3184.56</v>
      </c>
      <c r="Y216" s="778"/>
      <c r="Z216" s="712"/>
      <c r="AA216" s="712"/>
      <c r="AB216" s="778"/>
      <c r="AC216" s="778"/>
      <c r="AD216" s="711">
        <f>H216</f>
        <v>900</v>
      </c>
      <c r="AE216" s="711">
        <f>H216</f>
        <v>900</v>
      </c>
      <c r="AF216" s="711">
        <f t="shared" ref="AF216:AF220" si="116">H216</f>
        <v>900</v>
      </c>
      <c r="AG216" s="800"/>
      <c r="AH216" s="800"/>
      <c r="AI216" s="800"/>
      <c r="AJ216" s="800"/>
      <c r="AK216" s="800"/>
      <c r="AL216" s="800"/>
      <c r="AM216" s="779"/>
      <c r="AN216" s="779"/>
      <c r="AO216" s="779"/>
      <c r="AP216" s="698"/>
      <c r="AQ216" s="698"/>
      <c r="AR216" s="711"/>
      <c r="AS216" s="698"/>
      <c r="AT216" s="698">
        <f>H216</f>
        <v>900</v>
      </c>
      <c r="AU216" s="698">
        <f>H216</f>
        <v>900</v>
      </c>
      <c r="AV216" s="897"/>
      <c r="AW216" s="897"/>
      <c r="AX216" s="897"/>
      <c r="AY216" s="897"/>
      <c r="AZ216" s="897"/>
      <c r="BA216" s="897"/>
      <c r="BB216" s="897"/>
      <c r="BC216" s="897"/>
      <c r="BD216" s="897"/>
      <c r="BE216" s="897"/>
      <c r="BF216" s="897"/>
      <c r="BG216" s="897"/>
      <c r="BH216" s="897"/>
      <c r="BI216" s="897"/>
      <c r="BJ216" s="897"/>
      <c r="BK216" s="897"/>
      <c r="BL216" s="897"/>
      <c r="BM216" s="897"/>
      <c r="BN216" s="897"/>
      <c r="BO216" s="897"/>
      <c r="BP216" s="897"/>
      <c r="BQ216" s="897"/>
      <c r="BR216" s="897"/>
      <c r="BS216" s="897"/>
      <c r="BT216" s="897"/>
      <c r="BU216" s="897"/>
      <c r="BV216" s="897"/>
      <c r="BW216" s="897"/>
      <c r="BX216" s="897"/>
      <c r="BY216" s="897"/>
      <c r="BZ216" s="897"/>
      <c r="CA216" s="897"/>
      <c r="CB216" s="897"/>
      <c r="CC216" s="897"/>
      <c r="CD216" s="897"/>
      <c r="CE216" s="897"/>
      <c r="CF216" s="897"/>
      <c r="CG216" s="897"/>
      <c r="CH216" s="897"/>
      <c r="CI216" s="897"/>
      <c r="CJ216" s="897"/>
      <c r="CK216" s="897"/>
      <c r="CL216" s="897"/>
      <c r="CM216" s="897"/>
      <c r="CN216" s="897"/>
      <c r="CO216" s="897"/>
      <c r="CP216" s="897"/>
      <c r="CQ216" s="897"/>
      <c r="CR216" s="897"/>
      <c r="CS216" s="897"/>
      <c r="CT216" s="897"/>
      <c r="CU216" s="897"/>
      <c r="CV216" s="897"/>
      <c r="CW216" s="897"/>
      <c r="CX216" s="897"/>
      <c r="CY216" s="897"/>
      <c r="CZ216" s="897"/>
      <c r="DA216" s="897"/>
      <c r="DB216" s="897"/>
      <c r="DC216" s="897"/>
      <c r="DD216" s="897"/>
      <c r="DE216" s="897"/>
      <c r="DF216" s="897"/>
      <c r="DG216" s="897"/>
      <c r="DH216" s="897"/>
      <c r="DI216" s="897"/>
      <c r="DJ216" s="897"/>
      <c r="DK216" s="897"/>
      <c r="DL216" s="897"/>
      <c r="DM216" s="897"/>
      <c r="DN216" s="897"/>
      <c r="DO216" s="897"/>
      <c r="DP216" s="897"/>
      <c r="DQ216" s="897"/>
      <c r="DR216" s="897"/>
      <c r="DS216" s="897"/>
      <c r="DT216" s="897"/>
      <c r="DU216" s="897"/>
      <c r="DV216" s="897"/>
      <c r="DW216" s="897"/>
      <c r="DX216" s="897"/>
      <c r="DY216" s="897"/>
      <c r="DZ216" s="897"/>
      <c r="EA216" s="897"/>
      <c r="EB216" s="897"/>
      <c r="EC216" s="897"/>
      <c r="ED216" s="897"/>
      <c r="EE216" s="897"/>
      <c r="EF216" s="897"/>
      <c r="EG216" s="900"/>
      <c r="EH216" s="900"/>
      <c r="EI216" s="900"/>
      <c r="EJ216" s="900"/>
      <c r="EK216" s="900"/>
      <c r="EL216" s="900"/>
      <c r="EM216" s="900"/>
      <c r="EN216" s="900"/>
      <c r="EO216" s="900"/>
      <c r="EP216" s="900"/>
      <c r="EQ216" s="900"/>
      <c r="ER216" s="900"/>
      <c r="ES216" s="900"/>
      <c r="ET216" s="900"/>
      <c r="EU216" s="900"/>
      <c r="EV216" s="900"/>
      <c r="EW216" s="900"/>
      <c r="EX216" s="900"/>
      <c r="EY216" s="900"/>
      <c r="EZ216" s="900"/>
      <c r="FA216" s="900"/>
      <c r="FB216" s="900"/>
      <c r="FC216" s="900"/>
      <c r="FD216" s="900"/>
      <c r="FE216" s="900"/>
      <c r="FF216" s="900"/>
      <c r="FG216" s="900"/>
      <c r="FH216" s="900"/>
      <c r="FI216" s="900"/>
      <c r="FJ216" s="900"/>
      <c r="FK216" s="900"/>
      <c r="FL216" s="900"/>
      <c r="FM216" s="900"/>
      <c r="FN216" s="900"/>
      <c r="FO216" s="900"/>
      <c r="FP216" s="900"/>
      <c r="FQ216" s="900"/>
      <c r="FR216" s="900"/>
      <c r="FS216" s="900"/>
      <c r="FT216" s="900"/>
      <c r="FU216" s="900"/>
      <c r="FV216" s="900"/>
      <c r="FW216" s="900"/>
      <c r="FX216" s="900"/>
      <c r="FY216" s="900"/>
      <c r="FZ216" s="900"/>
      <c r="GA216" s="900"/>
      <c r="GB216" s="900"/>
      <c r="GC216" s="900"/>
      <c r="GD216" s="900"/>
      <c r="GE216" s="900"/>
      <c r="GF216" s="900"/>
      <c r="GG216" s="900"/>
      <c r="GH216" s="900"/>
      <c r="GI216" s="900"/>
      <c r="GJ216" s="900"/>
    </row>
    <row r="217" s="694" customFormat="1" ht="31" customHeight="1" spans="1:56">
      <c r="A217" s="886">
        <v>45065</v>
      </c>
      <c r="B217" s="716" t="s">
        <v>209</v>
      </c>
      <c r="C217" s="884" t="s">
        <v>91</v>
      </c>
      <c r="D217" s="885">
        <v>4500101967</v>
      </c>
      <c r="E217" s="784" t="s">
        <v>3652</v>
      </c>
      <c r="F217" s="711" t="s">
        <v>3656</v>
      </c>
      <c r="G217" s="712" t="s">
        <v>2052</v>
      </c>
      <c r="H217" s="711">
        <v>432</v>
      </c>
      <c r="I217" s="711">
        <v>0</v>
      </c>
      <c r="J217" s="711">
        <v>24</v>
      </c>
      <c r="K217" s="698">
        <f t="shared" si="113"/>
        <v>18</v>
      </c>
      <c r="L217" s="777">
        <v>45112</v>
      </c>
      <c r="M217" s="727" t="s">
        <v>1958</v>
      </c>
      <c r="N217" s="748"/>
      <c r="O217" s="750"/>
      <c r="P217" s="848"/>
      <c r="Q217" s="744" t="s">
        <v>3657</v>
      </c>
      <c r="R217" s="744" t="s">
        <v>2112</v>
      </c>
      <c r="S217" s="744" t="s">
        <v>3566</v>
      </c>
      <c r="T217" s="712" t="s">
        <v>3658</v>
      </c>
      <c r="U217" s="716" t="s">
        <v>3659</v>
      </c>
      <c r="V217" s="705" t="s">
        <v>975</v>
      </c>
      <c r="W217" s="819">
        <v>2.8165</v>
      </c>
      <c r="X217" s="725">
        <f t="shared" si="114"/>
        <v>1216.728</v>
      </c>
      <c r="Y217" s="778"/>
      <c r="Z217" s="744" t="s">
        <v>63</v>
      </c>
      <c r="AA217" s="744" t="s">
        <v>38</v>
      </c>
      <c r="AB217" s="778"/>
      <c r="AC217" s="778"/>
      <c r="AD217" s="727"/>
      <c r="AF217" s="776">
        <f t="shared" si="116"/>
        <v>432</v>
      </c>
      <c r="AG217" s="776"/>
      <c r="AH217" s="776"/>
      <c r="AI217" s="776"/>
      <c r="AJ217" s="776"/>
      <c r="AK217" s="776"/>
      <c r="AL217" s="800"/>
      <c r="AM217" s="800"/>
      <c r="AN217" s="800"/>
      <c r="AO217" s="800">
        <f>H217</f>
        <v>432</v>
      </c>
      <c r="AP217" s="800"/>
      <c r="AQ217" s="800"/>
      <c r="AR217" s="800"/>
      <c r="AS217" s="800"/>
      <c r="AT217" s="800"/>
      <c r="AU217" s="800"/>
      <c r="AV217" s="800"/>
      <c r="AW217" s="800"/>
      <c r="AX217" s="776"/>
      <c r="AY217" s="776"/>
      <c r="AZ217" s="776">
        <f>H217</f>
        <v>432</v>
      </c>
      <c r="BA217" s="776"/>
      <c r="BB217" s="727"/>
      <c r="BC217" s="712" t="s">
        <v>3576</v>
      </c>
      <c r="BD217" s="712" t="s">
        <v>3576</v>
      </c>
    </row>
    <row r="218" s="694" customFormat="1" ht="31" customHeight="1" spans="1:56">
      <c r="A218" s="805">
        <v>45054</v>
      </c>
      <c r="B218" s="712" t="s">
        <v>209</v>
      </c>
      <c r="C218" s="712" t="s">
        <v>91</v>
      </c>
      <c r="D218" s="711">
        <v>4500102054</v>
      </c>
      <c r="E218" s="712" t="s">
        <v>1906</v>
      </c>
      <c r="F218" s="711" t="s">
        <v>3656</v>
      </c>
      <c r="G218" s="712" t="s">
        <v>2052</v>
      </c>
      <c r="H218" s="711">
        <v>432</v>
      </c>
      <c r="I218" s="711">
        <v>0</v>
      </c>
      <c r="J218" s="711">
        <v>24</v>
      </c>
      <c r="K218" s="698">
        <f t="shared" si="113"/>
        <v>18</v>
      </c>
      <c r="L218" s="777" t="s">
        <v>3660</v>
      </c>
      <c r="M218" s="777" t="s">
        <v>3661</v>
      </c>
      <c r="N218" s="748" t="s">
        <v>1958</v>
      </c>
      <c r="O218" s="750"/>
      <c r="P218" s="848"/>
      <c r="Q218" s="744" t="s">
        <v>3657</v>
      </c>
      <c r="R218" s="744" t="s">
        <v>2112</v>
      </c>
      <c r="S218" s="744" t="s">
        <v>3662</v>
      </c>
      <c r="T218" s="712" t="s">
        <v>3658</v>
      </c>
      <c r="U218" s="716" t="s">
        <v>3663</v>
      </c>
      <c r="V218" s="711" t="s">
        <v>975</v>
      </c>
      <c r="W218" s="819">
        <v>2.875</v>
      </c>
      <c r="X218" s="725">
        <f t="shared" si="114"/>
        <v>1242</v>
      </c>
      <c r="Y218" s="778"/>
      <c r="Z218" s="744" t="s">
        <v>63</v>
      </c>
      <c r="AA218" s="744" t="s">
        <v>38</v>
      </c>
      <c r="AB218" s="778"/>
      <c r="AC218" s="778"/>
      <c r="AD218" s="727"/>
      <c r="AF218" s="776">
        <f t="shared" si="116"/>
        <v>432</v>
      </c>
      <c r="AG218" s="776"/>
      <c r="AH218" s="776"/>
      <c r="AI218" s="776"/>
      <c r="AJ218" s="776"/>
      <c r="AK218" s="776"/>
      <c r="AL218" s="800"/>
      <c r="AM218" s="800"/>
      <c r="AN218" s="800"/>
      <c r="AO218" s="800">
        <f>H218</f>
        <v>432</v>
      </c>
      <c r="AP218" s="800"/>
      <c r="AQ218" s="800"/>
      <c r="AR218" s="800"/>
      <c r="AS218" s="800"/>
      <c r="AT218" s="800"/>
      <c r="AU218" s="800"/>
      <c r="AV218" s="800"/>
      <c r="AW218" s="800"/>
      <c r="AX218" s="776"/>
      <c r="AY218" s="776"/>
      <c r="AZ218" s="776">
        <f>H218</f>
        <v>432</v>
      </c>
      <c r="BA218" s="776"/>
      <c r="BB218" s="727"/>
      <c r="BC218" s="712" t="s">
        <v>3576</v>
      </c>
      <c r="BD218" s="712" t="s">
        <v>3576</v>
      </c>
    </row>
    <row r="219" s="693" customFormat="1" ht="31" customHeight="1" spans="1:56">
      <c r="A219" s="810">
        <v>45054</v>
      </c>
      <c r="B219" s="789" t="s">
        <v>209</v>
      </c>
      <c r="C219" s="789" t="s">
        <v>91</v>
      </c>
      <c r="D219" s="791">
        <v>4500102085</v>
      </c>
      <c r="E219" s="789" t="s">
        <v>3664</v>
      </c>
      <c r="F219" s="791" t="s">
        <v>3641</v>
      </c>
      <c r="G219" s="789" t="s">
        <v>3414</v>
      </c>
      <c r="H219" s="791">
        <v>296</v>
      </c>
      <c r="I219" s="791">
        <v>0</v>
      </c>
      <c r="J219" s="791">
        <v>8</v>
      </c>
      <c r="K219" s="746">
        <f t="shared" si="113"/>
        <v>37</v>
      </c>
      <c r="L219" s="829" t="s">
        <v>3665</v>
      </c>
      <c r="M219" s="829" t="s">
        <v>3666</v>
      </c>
      <c r="N219" s="868" t="s">
        <v>1958</v>
      </c>
      <c r="O219" s="869"/>
      <c r="P219" s="890"/>
      <c r="Q219" s="775" t="s">
        <v>3667</v>
      </c>
      <c r="R219" s="775" t="s">
        <v>2112</v>
      </c>
      <c r="S219" s="775" t="s">
        <v>3566</v>
      </c>
      <c r="T219" s="789" t="s">
        <v>3655</v>
      </c>
      <c r="U219" s="795" t="s">
        <v>3668</v>
      </c>
      <c r="V219" s="791" t="s">
        <v>975</v>
      </c>
      <c r="W219" s="751">
        <v>9.9249</v>
      </c>
      <c r="X219" s="745">
        <f t="shared" si="114"/>
        <v>2937.7704</v>
      </c>
      <c r="Y219" s="832"/>
      <c r="Z219" s="775"/>
      <c r="AA219" s="775" t="s">
        <v>38</v>
      </c>
      <c r="AB219" s="832"/>
      <c r="AC219" s="832"/>
      <c r="AD219" s="836"/>
      <c r="AE219" s="696"/>
      <c r="AF219" s="786">
        <f t="shared" si="116"/>
        <v>296</v>
      </c>
      <c r="AG219" s="786">
        <f t="shared" si="115"/>
        <v>296</v>
      </c>
      <c r="AH219" s="786">
        <f>H219</f>
        <v>296</v>
      </c>
      <c r="AI219" s="786"/>
      <c r="AJ219" s="786"/>
      <c r="AK219" s="786"/>
      <c r="AL219" s="801"/>
      <c r="AM219" s="801"/>
      <c r="AN219" s="801"/>
      <c r="AO219" s="801">
        <f>H219*3</f>
        <v>888</v>
      </c>
      <c r="AP219" s="801"/>
      <c r="AQ219" s="801"/>
      <c r="AR219" s="801"/>
      <c r="AS219" s="801">
        <f>H219*3</f>
        <v>888</v>
      </c>
      <c r="AT219" s="801"/>
      <c r="AU219" s="801"/>
      <c r="AV219" s="801"/>
      <c r="AW219" s="801"/>
      <c r="AX219" s="786"/>
      <c r="AY219" s="898"/>
      <c r="AZ219" s="898"/>
      <c r="BA219" s="786"/>
      <c r="BB219" s="899"/>
      <c r="BC219" s="789" t="s">
        <v>3576</v>
      </c>
      <c r="BD219" s="789" t="s">
        <v>3576</v>
      </c>
    </row>
    <row r="220" s="693" customFormat="1" ht="31" customHeight="1" spans="1:56">
      <c r="A220" s="810">
        <v>45076</v>
      </c>
      <c r="B220" s="791" t="s">
        <v>209</v>
      </c>
      <c r="C220" s="789" t="s">
        <v>91</v>
      </c>
      <c r="D220" s="791">
        <v>4500104942</v>
      </c>
      <c r="E220" s="746" t="s">
        <v>3669</v>
      </c>
      <c r="F220" s="791" t="s">
        <v>3641</v>
      </c>
      <c r="G220" s="712" t="s">
        <v>3414</v>
      </c>
      <c r="H220" s="791">
        <v>288</v>
      </c>
      <c r="I220" s="711">
        <v>0</v>
      </c>
      <c r="J220" s="711">
        <v>8</v>
      </c>
      <c r="K220" s="698">
        <f t="shared" si="113"/>
        <v>36</v>
      </c>
      <c r="L220" s="829">
        <v>45117</v>
      </c>
      <c r="M220" s="829">
        <v>45113</v>
      </c>
      <c r="N220" s="868" t="s">
        <v>1958</v>
      </c>
      <c r="O220" s="869"/>
      <c r="P220" s="890"/>
      <c r="Q220" s="775"/>
      <c r="R220" s="775"/>
      <c r="S220" s="775"/>
      <c r="T220" s="789"/>
      <c r="U220" s="795" t="s">
        <v>3670</v>
      </c>
      <c r="V220" s="789" t="s">
        <v>975</v>
      </c>
      <c r="W220" s="819">
        <v>9.6585</v>
      </c>
      <c r="X220" s="725">
        <f t="shared" si="114"/>
        <v>2781.648</v>
      </c>
      <c r="Y220" s="832"/>
      <c r="Z220" s="775"/>
      <c r="AA220" s="775"/>
      <c r="AB220" s="832"/>
      <c r="AC220" s="832"/>
      <c r="AD220" s="836"/>
      <c r="AE220" s="696"/>
      <c r="AF220" s="776">
        <f t="shared" si="116"/>
        <v>288</v>
      </c>
      <c r="AG220" s="776">
        <f t="shared" si="115"/>
        <v>288</v>
      </c>
      <c r="AH220" s="776">
        <f>H220</f>
        <v>288</v>
      </c>
      <c r="AI220" s="786"/>
      <c r="AJ220" s="786"/>
      <c r="AK220" s="786"/>
      <c r="AL220" s="801"/>
      <c r="AM220" s="801"/>
      <c r="AN220" s="801"/>
      <c r="AO220" s="801"/>
      <c r="AP220" s="801"/>
      <c r="AQ220" s="801"/>
      <c r="AR220" s="801"/>
      <c r="AS220" s="801"/>
      <c r="AT220" s="801"/>
      <c r="AU220" s="801"/>
      <c r="AV220" s="801"/>
      <c r="AW220" s="801"/>
      <c r="AX220" s="786"/>
      <c r="AY220" s="898"/>
      <c r="AZ220" s="898"/>
      <c r="BA220" s="776"/>
      <c r="BB220" s="899"/>
      <c r="BC220" s="712"/>
      <c r="BD220" s="712"/>
    </row>
    <row r="221" s="694" customFormat="1" ht="31" customHeight="1" spans="1:56">
      <c r="A221" s="805">
        <v>45078</v>
      </c>
      <c r="B221" s="712" t="s">
        <v>1656</v>
      </c>
      <c r="C221" s="712" t="s">
        <v>91</v>
      </c>
      <c r="D221" s="711">
        <v>4500105510</v>
      </c>
      <c r="E221" s="694">
        <v>5200001629</v>
      </c>
      <c r="F221" s="711" t="s">
        <v>3671</v>
      </c>
      <c r="G221" s="712" t="s">
        <v>2042</v>
      </c>
      <c r="H221" s="711">
        <v>360</v>
      </c>
      <c r="I221" s="711">
        <v>0</v>
      </c>
      <c r="J221" s="711">
        <v>24</v>
      </c>
      <c r="K221" s="698">
        <f t="shared" si="113"/>
        <v>15</v>
      </c>
      <c r="L221" s="777" t="s">
        <v>3672</v>
      </c>
      <c r="M221" s="777" t="s">
        <v>3673</v>
      </c>
      <c r="N221" s="748" t="s">
        <v>1958</v>
      </c>
      <c r="O221" s="750"/>
      <c r="P221" s="848"/>
      <c r="Q221" s="744">
        <v>45082</v>
      </c>
      <c r="R221" s="744" t="s">
        <v>58</v>
      </c>
      <c r="S221" s="744" t="s">
        <v>3674</v>
      </c>
      <c r="T221" s="712" t="s">
        <v>3658</v>
      </c>
      <c r="U221" s="716" t="s">
        <v>3675</v>
      </c>
      <c r="V221" s="711" t="s">
        <v>3539</v>
      </c>
      <c r="W221" s="819">
        <v>2.8165</v>
      </c>
      <c r="X221" s="725">
        <f t="shared" si="114"/>
        <v>1013.94</v>
      </c>
      <c r="Y221" s="778"/>
      <c r="Z221" s="744" t="s">
        <v>63</v>
      </c>
      <c r="AA221" s="744" t="s">
        <v>38</v>
      </c>
      <c r="AB221" s="778"/>
      <c r="AC221" s="778"/>
      <c r="AD221" s="727" t="s">
        <v>327</v>
      </c>
      <c r="AF221" s="776"/>
      <c r="AG221" s="776"/>
      <c r="AH221" s="776">
        <f>H221</f>
        <v>360</v>
      </c>
      <c r="AI221" s="776"/>
      <c r="AJ221" s="776"/>
      <c r="AK221" s="776"/>
      <c r="AL221" s="800"/>
      <c r="AM221" s="800"/>
      <c r="AN221" s="800"/>
      <c r="AO221" s="800">
        <f>H221</f>
        <v>360</v>
      </c>
      <c r="AP221" s="800"/>
      <c r="AQ221" s="800"/>
      <c r="AR221" s="800"/>
      <c r="AS221" s="800"/>
      <c r="AT221" s="800"/>
      <c r="AU221" s="800"/>
      <c r="AV221" s="800"/>
      <c r="AW221" s="800"/>
      <c r="AX221" s="776"/>
      <c r="AY221" s="776"/>
      <c r="AZ221" s="776">
        <f>H221</f>
        <v>360</v>
      </c>
      <c r="BA221" s="776"/>
      <c r="BB221" s="727"/>
      <c r="BC221" s="712" t="s">
        <v>3576</v>
      </c>
      <c r="BD221" s="712" t="s">
        <v>3576</v>
      </c>
    </row>
    <row r="222" s="693" customFormat="1" ht="31" customHeight="1" spans="1:57">
      <c r="A222" s="810">
        <v>45092</v>
      </c>
      <c r="B222" s="791" t="s">
        <v>1937</v>
      </c>
      <c r="C222" s="789" t="s">
        <v>1938</v>
      </c>
      <c r="D222" s="791">
        <v>4500106632</v>
      </c>
      <c r="E222" s="746" t="s">
        <v>3676</v>
      </c>
      <c r="F222" s="791" t="s">
        <v>3569</v>
      </c>
      <c r="G222" s="791" t="s">
        <v>3569</v>
      </c>
      <c r="H222" s="712" t="s">
        <v>2119</v>
      </c>
      <c r="I222" s="791">
        <v>720</v>
      </c>
      <c r="J222" s="711">
        <v>0</v>
      </c>
      <c r="K222" s="711">
        <v>12</v>
      </c>
      <c r="L222" s="698">
        <f t="shared" ref="L222:L237" si="117">I222/K222</f>
        <v>60</v>
      </c>
      <c r="M222" s="829" t="s">
        <v>3677</v>
      </c>
      <c r="N222" s="829" t="s">
        <v>3678</v>
      </c>
      <c r="O222" s="868"/>
      <c r="P222" s="750" t="s">
        <v>3679</v>
      </c>
      <c r="Q222" s="890"/>
      <c r="R222" s="775">
        <v>45093</v>
      </c>
      <c r="S222" s="775" t="s">
        <v>58</v>
      </c>
      <c r="T222" s="775" t="s">
        <v>3680</v>
      </c>
      <c r="U222" s="789" t="s">
        <v>3681</v>
      </c>
      <c r="V222" s="795" t="s">
        <v>3682</v>
      </c>
      <c r="W222" s="895" t="s">
        <v>690</v>
      </c>
      <c r="X222" s="819">
        <v>2.9668</v>
      </c>
      <c r="Y222" s="725">
        <f t="shared" ref="Y222:Y237" si="118">X222*I222</f>
        <v>2136.096</v>
      </c>
      <c r="Z222" s="832"/>
      <c r="AA222" s="775" t="s">
        <v>63</v>
      </c>
      <c r="AB222" s="775" t="s">
        <v>38</v>
      </c>
      <c r="AC222" s="832"/>
      <c r="AD222" s="832"/>
      <c r="AE222" s="836"/>
      <c r="AF222" s="696"/>
      <c r="AG222" s="776">
        <f t="shared" ref="AG222:AG226" si="119">I222/3</f>
        <v>240</v>
      </c>
      <c r="AH222" s="776">
        <f t="shared" ref="AH222:AH226" si="120">I222/3</f>
        <v>240</v>
      </c>
      <c r="AI222" s="776">
        <f t="shared" ref="AI222:AI226" si="121">I222/3</f>
        <v>240</v>
      </c>
      <c r="AJ222" s="786"/>
      <c r="AK222" s="786"/>
      <c r="AL222" s="786"/>
      <c r="AM222" s="801"/>
      <c r="AN222" s="801"/>
      <c r="AO222" s="801"/>
      <c r="AP222" s="801">
        <f t="shared" ref="AP222:AP226" si="122">I222</f>
        <v>720</v>
      </c>
      <c r="AQ222" s="801"/>
      <c r="AR222" s="801"/>
      <c r="AS222" s="801"/>
      <c r="AT222" s="801">
        <f t="shared" ref="AT222:AT226" si="123">I222</f>
        <v>720</v>
      </c>
      <c r="AU222" s="801"/>
      <c r="AV222" s="801"/>
      <c r="AW222" s="801"/>
      <c r="AX222" s="801"/>
      <c r="AY222" s="786"/>
      <c r="AZ222" s="898"/>
      <c r="BA222" s="898"/>
      <c r="BB222" s="776"/>
      <c r="BC222" s="899"/>
      <c r="BD222" s="712" t="s">
        <v>3576</v>
      </c>
      <c r="BE222" s="712" t="s">
        <v>3576</v>
      </c>
    </row>
    <row r="223" s="693" customFormat="1" ht="31" customHeight="1" spans="1:57">
      <c r="A223" s="810">
        <v>45085</v>
      </c>
      <c r="B223" s="791" t="s">
        <v>2297</v>
      </c>
      <c r="C223" s="789" t="s">
        <v>876</v>
      </c>
      <c r="D223" s="791">
        <v>4500106320</v>
      </c>
      <c r="E223" s="746">
        <v>19509792</v>
      </c>
      <c r="F223" s="791" t="s">
        <v>3569</v>
      </c>
      <c r="G223" s="791" t="s">
        <v>3569</v>
      </c>
      <c r="H223" s="712" t="s">
        <v>2119</v>
      </c>
      <c r="I223" s="881">
        <v>948</v>
      </c>
      <c r="J223" s="711">
        <v>0</v>
      </c>
      <c r="K223" s="711">
        <v>12</v>
      </c>
      <c r="L223" s="698">
        <f t="shared" si="117"/>
        <v>79</v>
      </c>
      <c r="M223" s="829">
        <v>45131</v>
      </c>
      <c r="N223" s="829">
        <v>45127</v>
      </c>
      <c r="O223" s="868"/>
      <c r="P223" s="869" t="s">
        <v>3679</v>
      </c>
      <c r="Q223" s="890"/>
      <c r="R223" s="775">
        <v>45103</v>
      </c>
      <c r="S223" s="775" t="s">
        <v>2112</v>
      </c>
      <c r="T223" s="775" t="s">
        <v>3566</v>
      </c>
      <c r="U223" s="789" t="s">
        <v>3572</v>
      </c>
      <c r="V223" s="795" t="s">
        <v>3683</v>
      </c>
      <c r="W223" s="735" t="s">
        <v>3574</v>
      </c>
      <c r="X223" s="819">
        <v>3.1477</v>
      </c>
      <c r="Y223" s="725">
        <f t="shared" si="118"/>
        <v>2984.0196</v>
      </c>
      <c r="Z223" s="832"/>
      <c r="AA223" s="775" t="s">
        <v>63</v>
      </c>
      <c r="AB223" s="775" t="s">
        <v>38</v>
      </c>
      <c r="AC223" s="832"/>
      <c r="AD223" s="832"/>
      <c r="AE223" s="836"/>
      <c r="AF223" s="696"/>
      <c r="AG223" s="776">
        <f t="shared" si="119"/>
        <v>316</v>
      </c>
      <c r="AH223" s="776">
        <f t="shared" si="120"/>
        <v>316</v>
      </c>
      <c r="AI223" s="776">
        <f t="shared" si="121"/>
        <v>316</v>
      </c>
      <c r="AJ223" s="786"/>
      <c r="AK223" s="786"/>
      <c r="AL223" s="786"/>
      <c r="AM223" s="801"/>
      <c r="AN223" s="801"/>
      <c r="AO223" s="801"/>
      <c r="AP223" s="801">
        <f t="shared" si="122"/>
        <v>948</v>
      </c>
      <c r="AQ223" s="801"/>
      <c r="AR223" s="801"/>
      <c r="AS223" s="801"/>
      <c r="AT223" s="801">
        <f t="shared" si="123"/>
        <v>948</v>
      </c>
      <c r="AU223" s="801"/>
      <c r="AV223" s="801"/>
      <c r="AW223" s="801"/>
      <c r="AX223" s="801"/>
      <c r="AY223" s="786"/>
      <c r="AZ223" s="898"/>
      <c r="BA223" s="898"/>
      <c r="BB223" s="776"/>
      <c r="BC223" s="899"/>
      <c r="BD223" s="712" t="s">
        <v>3576</v>
      </c>
      <c r="BE223" s="712" t="s">
        <v>3576</v>
      </c>
    </row>
    <row r="224" s="693" customFormat="1" ht="31" customHeight="1" spans="1:57">
      <c r="A224" s="810">
        <v>45085</v>
      </c>
      <c r="B224" s="791" t="s">
        <v>2304</v>
      </c>
      <c r="C224" s="789" t="s">
        <v>258</v>
      </c>
      <c r="D224" s="791">
        <v>4500106301</v>
      </c>
      <c r="E224" s="746">
        <v>19509793</v>
      </c>
      <c r="F224" s="791" t="s">
        <v>3569</v>
      </c>
      <c r="G224" s="791" t="s">
        <v>3569</v>
      </c>
      <c r="H224" s="712" t="s">
        <v>2119</v>
      </c>
      <c r="I224" s="881">
        <v>60</v>
      </c>
      <c r="J224" s="711">
        <v>0</v>
      </c>
      <c r="K224" s="711">
        <v>12</v>
      </c>
      <c r="L224" s="698">
        <f t="shared" si="117"/>
        <v>5</v>
      </c>
      <c r="M224" s="829">
        <v>45131</v>
      </c>
      <c r="N224" s="829">
        <v>45127</v>
      </c>
      <c r="O224" s="868"/>
      <c r="P224" s="869" t="s">
        <v>3679</v>
      </c>
      <c r="Q224" s="890"/>
      <c r="R224" s="775">
        <v>45103</v>
      </c>
      <c r="S224" s="775" t="s">
        <v>2112</v>
      </c>
      <c r="T224" s="775" t="s">
        <v>3566</v>
      </c>
      <c r="U224" s="789" t="s">
        <v>3572</v>
      </c>
      <c r="V224" s="795" t="s">
        <v>3684</v>
      </c>
      <c r="W224" s="735" t="s">
        <v>3574</v>
      </c>
      <c r="X224" s="819">
        <v>3.1477</v>
      </c>
      <c r="Y224" s="725">
        <f t="shared" si="118"/>
        <v>188.862</v>
      </c>
      <c r="Z224" s="832"/>
      <c r="AA224" s="775" t="s">
        <v>63</v>
      </c>
      <c r="AB224" s="775" t="s">
        <v>38</v>
      </c>
      <c r="AC224" s="832"/>
      <c r="AD224" s="832"/>
      <c r="AE224" s="836"/>
      <c r="AF224" s="696"/>
      <c r="AG224" s="776">
        <f t="shared" si="119"/>
        <v>20</v>
      </c>
      <c r="AH224" s="776">
        <f t="shared" si="120"/>
        <v>20</v>
      </c>
      <c r="AI224" s="776">
        <f t="shared" si="121"/>
        <v>20</v>
      </c>
      <c r="AJ224" s="786"/>
      <c r="AK224" s="786"/>
      <c r="AL224" s="786"/>
      <c r="AM224" s="801"/>
      <c r="AN224" s="801"/>
      <c r="AO224" s="801"/>
      <c r="AP224" s="801">
        <f t="shared" si="122"/>
        <v>60</v>
      </c>
      <c r="AQ224" s="801"/>
      <c r="AR224" s="801"/>
      <c r="AS224" s="801"/>
      <c r="AT224" s="801">
        <f t="shared" si="123"/>
        <v>60</v>
      </c>
      <c r="AU224" s="801"/>
      <c r="AV224" s="801"/>
      <c r="AW224" s="801"/>
      <c r="AX224" s="801"/>
      <c r="AY224" s="786"/>
      <c r="AZ224" s="898"/>
      <c r="BA224" s="898"/>
      <c r="BB224" s="776"/>
      <c r="BC224" s="899"/>
      <c r="BD224" s="712" t="s">
        <v>3576</v>
      </c>
      <c r="BE224" s="712" t="s">
        <v>3576</v>
      </c>
    </row>
    <row r="225" s="693" customFormat="1" ht="31" customHeight="1" spans="1:57">
      <c r="A225" s="810">
        <v>45093</v>
      </c>
      <c r="B225" s="791" t="s">
        <v>2297</v>
      </c>
      <c r="C225" s="789" t="s">
        <v>876</v>
      </c>
      <c r="D225" s="791">
        <v>4500106743</v>
      </c>
      <c r="E225" s="746">
        <v>19527670</v>
      </c>
      <c r="F225" s="791" t="s">
        <v>3569</v>
      </c>
      <c r="G225" s="791" t="s">
        <v>3569</v>
      </c>
      <c r="H225" s="712" t="s">
        <v>2119</v>
      </c>
      <c r="I225" s="791">
        <v>804</v>
      </c>
      <c r="J225" s="711">
        <v>0</v>
      </c>
      <c r="K225" s="711">
        <v>12</v>
      </c>
      <c r="L225" s="698">
        <f t="shared" si="117"/>
        <v>67</v>
      </c>
      <c r="M225" s="829">
        <v>45138</v>
      </c>
      <c r="N225" s="829">
        <v>45134</v>
      </c>
      <c r="O225" s="868"/>
      <c r="P225" s="869" t="s">
        <v>3679</v>
      </c>
      <c r="Q225" s="890"/>
      <c r="R225" s="744" t="s">
        <v>1427</v>
      </c>
      <c r="S225" s="744" t="s">
        <v>2112</v>
      </c>
      <c r="T225" s="744" t="s">
        <v>3566</v>
      </c>
      <c r="U225" s="712" t="s">
        <v>3572</v>
      </c>
      <c r="V225" s="794" t="s">
        <v>3685</v>
      </c>
      <c r="W225" s="895" t="s">
        <v>3574</v>
      </c>
      <c r="X225" s="819">
        <v>3.1477</v>
      </c>
      <c r="Y225" s="725">
        <f t="shared" si="118"/>
        <v>2530.7508</v>
      </c>
      <c r="Z225" s="832"/>
      <c r="AA225" s="775" t="s">
        <v>63</v>
      </c>
      <c r="AB225" s="775" t="s">
        <v>38</v>
      </c>
      <c r="AC225" s="832"/>
      <c r="AD225" s="832"/>
      <c r="AE225" s="836"/>
      <c r="AF225" s="696"/>
      <c r="AG225" s="776">
        <f t="shared" si="119"/>
        <v>268</v>
      </c>
      <c r="AH225" s="776">
        <f t="shared" si="120"/>
        <v>268</v>
      </c>
      <c r="AI225" s="776">
        <f t="shared" si="121"/>
        <v>268</v>
      </c>
      <c r="AJ225" s="786"/>
      <c r="AK225" s="786"/>
      <c r="AL225" s="786"/>
      <c r="AM225" s="801"/>
      <c r="AN225" s="801"/>
      <c r="AO225" s="801"/>
      <c r="AP225" s="801">
        <f t="shared" si="122"/>
        <v>804</v>
      </c>
      <c r="AQ225" s="801"/>
      <c r="AR225" s="801"/>
      <c r="AS225" s="801"/>
      <c r="AT225" s="801">
        <f t="shared" si="123"/>
        <v>804</v>
      </c>
      <c r="AU225" s="801"/>
      <c r="AV225" s="801"/>
      <c r="AW225" s="801"/>
      <c r="AX225" s="801"/>
      <c r="AY225" s="786"/>
      <c r="AZ225" s="898"/>
      <c r="BA225" s="898"/>
      <c r="BB225" s="776"/>
      <c r="BC225" s="899"/>
      <c r="BD225" s="712" t="s">
        <v>3576</v>
      </c>
      <c r="BE225" s="712" t="s">
        <v>3576</v>
      </c>
    </row>
    <row r="226" s="693" customFormat="1" ht="31" customHeight="1" spans="1:57">
      <c r="A226" s="810">
        <v>45093</v>
      </c>
      <c r="B226" s="791" t="s">
        <v>2304</v>
      </c>
      <c r="C226" s="789" t="s">
        <v>258</v>
      </c>
      <c r="D226" s="791">
        <v>4500106744</v>
      </c>
      <c r="E226" s="746">
        <v>19527671</v>
      </c>
      <c r="F226" s="791" t="s">
        <v>3569</v>
      </c>
      <c r="G226" s="791" t="s">
        <v>3569</v>
      </c>
      <c r="H226" s="712" t="s">
        <v>2119</v>
      </c>
      <c r="I226" s="791">
        <v>204</v>
      </c>
      <c r="J226" s="711">
        <v>0</v>
      </c>
      <c r="K226" s="711">
        <v>12</v>
      </c>
      <c r="L226" s="698">
        <f t="shared" si="117"/>
        <v>17</v>
      </c>
      <c r="M226" s="829">
        <v>45138</v>
      </c>
      <c r="N226" s="829">
        <v>45134</v>
      </c>
      <c r="O226" s="868"/>
      <c r="P226" s="869" t="s">
        <v>3679</v>
      </c>
      <c r="Q226" s="890"/>
      <c r="R226" s="744" t="s">
        <v>1427</v>
      </c>
      <c r="S226" s="744" t="s">
        <v>2112</v>
      </c>
      <c r="T226" s="744" t="s">
        <v>3566</v>
      </c>
      <c r="U226" s="712" t="s">
        <v>3572</v>
      </c>
      <c r="V226" s="794" t="s">
        <v>3686</v>
      </c>
      <c r="W226" s="895" t="s">
        <v>3574</v>
      </c>
      <c r="X226" s="819">
        <v>3.1477</v>
      </c>
      <c r="Y226" s="725">
        <f t="shared" si="118"/>
        <v>642.1308</v>
      </c>
      <c r="Z226" s="832"/>
      <c r="AA226" s="775" t="s">
        <v>63</v>
      </c>
      <c r="AB226" s="775" t="s">
        <v>38</v>
      </c>
      <c r="AC226" s="832"/>
      <c r="AD226" s="832"/>
      <c r="AE226" s="836"/>
      <c r="AF226" s="696"/>
      <c r="AG226" s="776">
        <f t="shared" si="119"/>
        <v>68</v>
      </c>
      <c r="AH226" s="776">
        <f t="shared" si="120"/>
        <v>68</v>
      </c>
      <c r="AI226" s="776">
        <f t="shared" si="121"/>
        <v>68</v>
      </c>
      <c r="AJ226" s="786"/>
      <c r="AK226" s="786"/>
      <c r="AL226" s="786"/>
      <c r="AM226" s="801"/>
      <c r="AN226" s="801"/>
      <c r="AO226" s="801"/>
      <c r="AP226" s="801">
        <f t="shared" si="122"/>
        <v>204</v>
      </c>
      <c r="AQ226" s="801"/>
      <c r="AR226" s="801"/>
      <c r="AS226" s="801"/>
      <c r="AT226" s="801">
        <f t="shared" si="123"/>
        <v>204</v>
      </c>
      <c r="AU226" s="801"/>
      <c r="AV226" s="801"/>
      <c r="AW226" s="801"/>
      <c r="AX226" s="801"/>
      <c r="AY226" s="786"/>
      <c r="AZ226" s="898"/>
      <c r="BA226" s="898"/>
      <c r="BB226" s="776"/>
      <c r="BC226" s="899"/>
      <c r="BD226" s="712" t="s">
        <v>3576</v>
      </c>
      <c r="BE226" s="712" t="s">
        <v>3576</v>
      </c>
    </row>
    <row r="227" s="693" customFormat="1" ht="31" customHeight="1" spans="1:57">
      <c r="A227" s="810">
        <v>45098</v>
      </c>
      <c r="B227" s="791" t="s">
        <v>1486</v>
      </c>
      <c r="C227" s="789" t="s">
        <v>398</v>
      </c>
      <c r="D227" s="791">
        <v>4500107177</v>
      </c>
      <c r="E227" s="746" t="s">
        <v>3687</v>
      </c>
      <c r="F227" s="791" t="s">
        <v>3641</v>
      </c>
      <c r="G227" s="791" t="s">
        <v>3641</v>
      </c>
      <c r="H227" s="712" t="s">
        <v>3414</v>
      </c>
      <c r="I227" s="791">
        <v>16</v>
      </c>
      <c r="J227" s="711">
        <v>0</v>
      </c>
      <c r="K227" s="711">
        <v>8</v>
      </c>
      <c r="L227" s="698">
        <f t="shared" si="117"/>
        <v>2</v>
      </c>
      <c r="M227" s="829">
        <v>45138</v>
      </c>
      <c r="N227" s="829">
        <v>45134</v>
      </c>
      <c r="O227" s="868"/>
      <c r="P227" s="869" t="s">
        <v>3679</v>
      </c>
      <c r="Q227" s="890"/>
      <c r="R227" s="744">
        <v>45098</v>
      </c>
      <c r="S227" s="775" t="s">
        <v>2112</v>
      </c>
      <c r="T227" s="744" t="s">
        <v>3566</v>
      </c>
      <c r="U227" s="789" t="s">
        <v>3644</v>
      </c>
      <c r="V227" s="716" t="s">
        <v>3688</v>
      </c>
      <c r="W227" s="895" t="s">
        <v>975</v>
      </c>
      <c r="X227" s="819">
        <v>9.6585</v>
      </c>
      <c r="Y227" s="725">
        <f t="shared" si="118"/>
        <v>154.536</v>
      </c>
      <c r="Z227" s="832"/>
      <c r="AA227" s="775" t="s">
        <v>63</v>
      </c>
      <c r="AB227" s="775"/>
      <c r="AC227" s="832"/>
      <c r="AD227" s="832"/>
      <c r="AE227" s="836"/>
      <c r="AF227" s="696"/>
      <c r="AG227" s="776">
        <f t="shared" ref="AG227:AG231" si="124">I227</f>
        <v>16</v>
      </c>
      <c r="AH227" s="776">
        <f t="shared" ref="AH227:AH235" si="125">I227</f>
        <v>16</v>
      </c>
      <c r="AI227" s="776">
        <f t="shared" ref="AI227:AI231" si="126">I227</f>
        <v>16</v>
      </c>
      <c r="AJ227" s="786"/>
      <c r="AK227" s="786"/>
      <c r="AL227" s="786"/>
      <c r="AM227" s="801"/>
      <c r="AN227" s="801"/>
      <c r="AO227" s="801"/>
      <c r="AP227" s="801">
        <f t="shared" ref="AP227:AP231" si="127">I227*3</f>
        <v>48</v>
      </c>
      <c r="AQ227" s="801"/>
      <c r="AR227" s="801"/>
      <c r="AS227" s="801"/>
      <c r="AT227" s="801"/>
      <c r="AU227" s="801"/>
      <c r="AV227" s="801"/>
      <c r="AW227" s="801">
        <f t="shared" ref="AW227:AW231" si="128">I227*3</f>
        <v>48</v>
      </c>
      <c r="AX227" s="801"/>
      <c r="AY227" s="786"/>
      <c r="AZ227" s="898"/>
      <c r="BA227" s="898"/>
      <c r="BB227" s="776"/>
      <c r="BC227" s="899"/>
      <c r="BD227" s="712" t="s">
        <v>3576</v>
      </c>
      <c r="BE227" s="712" t="s">
        <v>3576</v>
      </c>
    </row>
    <row r="228" s="693" customFormat="1" ht="31" customHeight="1" spans="1:57">
      <c r="A228" s="810">
        <v>45098</v>
      </c>
      <c r="B228" s="791" t="s">
        <v>1486</v>
      </c>
      <c r="C228" s="789" t="s">
        <v>398</v>
      </c>
      <c r="D228" s="791">
        <v>4500107177</v>
      </c>
      <c r="E228" s="746" t="s">
        <v>3689</v>
      </c>
      <c r="F228" s="791" t="s">
        <v>3641</v>
      </c>
      <c r="G228" s="791" t="s">
        <v>3641</v>
      </c>
      <c r="H228" s="712" t="s">
        <v>3414</v>
      </c>
      <c r="I228" s="791">
        <v>8</v>
      </c>
      <c r="J228" s="711">
        <v>0</v>
      </c>
      <c r="K228" s="711">
        <v>8</v>
      </c>
      <c r="L228" s="698">
        <f t="shared" si="117"/>
        <v>1</v>
      </c>
      <c r="M228" s="829">
        <v>45138</v>
      </c>
      <c r="N228" s="829">
        <v>45134</v>
      </c>
      <c r="O228" s="868"/>
      <c r="P228" s="869" t="s">
        <v>3679</v>
      </c>
      <c r="Q228" s="890"/>
      <c r="R228" s="744">
        <v>45098</v>
      </c>
      <c r="S228" s="775" t="s">
        <v>2112</v>
      </c>
      <c r="T228" s="744" t="s">
        <v>3566</v>
      </c>
      <c r="U228" s="789" t="s">
        <v>3644</v>
      </c>
      <c r="V228" s="716" t="s">
        <v>3688</v>
      </c>
      <c r="W228" s="895" t="s">
        <v>975</v>
      </c>
      <c r="X228" s="819">
        <v>9.6585</v>
      </c>
      <c r="Y228" s="725">
        <f t="shared" si="118"/>
        <v>77.268</v>
      </c>
      <c r="Z228" s="832"/>
      <c r="AA228" s="775" t="s">
        <v>63</v>
      </c>
      <c r="AB228" s="775"/>
      <c r="AC228" s="832"/>
      <c r="AD228" s="832"/>
      <c r="AE228" s="836"/>
      <c r="AF228" s="696"/>
      <c r="AG228" s="776">
        <f t="shared" si="124"/>
        <v>8</v>
      </c>
      <c r="AH228" s="776">
        <f t="shared" si="125"/>
        <v>8</v>
      </c>
      <c r="AI228" s="776">
        <f t="shared" si="126"/>
        <v>8</v>
      </c>
      <c r="AJ228" s="786"/>
      <c r="AK228" s="786"/>
      <c r="AL228" s="786"/>
      <c r="AM228" s="801"/>
      <c r="AN228" s="801"/>
      <c r="AO228" s="801"/>
      <c r="AP228" s="801">
        <f t="shared" si="127"/>
        <v>24</v>
      </c>
      <c r="AQ228" s="801"/>
      <c r="AR228" s="801"/>
      <c r="AS228" s="801"/>
      <c r="AT228" s="801"/>
      <c r="AU228" s="801"/>
      <c r="AV228" s="801"/>
      <c r="AW228" s="801">
        <f t="shared" si="128"/>
        <v>24</v>
      </c>
      <c r="AX228" s="801"/>
      <c r="AY228" s="786"/>
      <c r="AZ228" s="898"/>
      <c r="BA228" s="898"/>
      <c r="BB228" s="776"/>
      <c r="BC228" s="899"/>
      <c r="BD228" s="712" t="s">
        <v>3576</v>
      </c>
      <c r="BE228" s="712" t="s">
        <v>3576</v>
      </c>
    </row>
    <row r="229" s="693" customFormat="1" ht="31" customHeight="1" spans="1:57">
      <c r="A229" s="810">
        <v>45098</v>
      </c>
      <c r="B229" s="791" t="s">
        <v>1486</v>
      </c>
      <c r="C229" s="789" t="s">
        <v>398</v>
      </c>
      <c r="D229" s="791">
        <v>4500107177</v>
      </c>
      <c r="E229" s="746" t="s">
        <v>3690</v>
      </c>
      <c r="F229" s="791" t="s">
        <v>3641</v>
      </c>
      <c r="G229" s="791" t="s">
        <v>3641</v>
      </c>
      <c r="H229" s="712" t="s">
        <v>3414</v>
      </c>
      <c r="I229" s="791">
        <v>8</v>
      </c>
      <c r="J229" s="711">
        <v>0</v>
      </c>
      <c r="K229" s="711">
        <v>8</v>
      </c>
      <c r="L229" s="698">
        <f t="shared" si="117"/>
        <v>1</v>
      </c>
      <c r="M229" s="829">
        <v>45138</v>
      </c>
      <c r="N229" s="829">
        <v>45134</v>
      </c>
      <c r="O229" s="868"/>
      <c r="P229" s="869" t="s">
        <v>3679</v>
      </c>
      <c r="Q229" s="890"/>
      <c r="R229" s="744">
        <v>45098</v>
      </c>
      <c r="S229" s="775" t="s">
        <v>2112</v>
      </c>
      <c r="T229" s="744" t="s">
        <v>3566</v>
      </c>
      <c r="U229" s="789" t="s">
        <v>3644</v>
      </c>
      <c r="V229" s="716" t="s">
        <v>3688</v>
      </c>
      <c r="W229" s="895" t="s">
        <v>975</v>
      </c>
      <c r="X229" s="819">
        <v>9.6585</v>
      </c>
      <c r="Y229" s="725">
        <f t="shared" si="118"/>
        <v>77.268</v>
      </c>
      <c r="Z229" s="832"/>
      <c r="AA229" s="775" t="s">
        <v>63</v>
      </c>
      <c r="AB229" s="775"/>
      <c r="AC229" s="832"/>
      <c r="AD229" s="832"/>
      <c r="AE229" s="836"/>
      <c r="AF229" s="696"/>
      <c r="AG229" s="776">
        <f t="shared" si="124"/>
        <v>8</v>
      </c>
      <c r="AH229" s="776">
        <f t="shared" si="125"/>
        <v>8</v>
      </c>
      <c r="AI229" s="776">
        <f t="shared" si="126"/>
        <v>8</v>
      </c>
      <c r="AJ229" s="786"/>
      <c r="AK229" s="786"/>
      <c r="AL229" s="786"/>
      <c r="AM229" s="801"/>
      <c r="AN229" s="801"/>
      <c r="AO229" s="801"/>
      <c r="AP229" s="801">
        <f t="shared" si="127"/>
        <v>24</v>
      </c>
      <c r="AQ229" s="801"/>
      <c r="AR229" s="801"/>
      <c r="AS229" s="801"/>
      <c r="AT229" s="801"/>
      <c r="AU229" s="801"/>
      <c r="AV229" s="801"/>
      <c r="AW229" s="801">
        <f t="shared" si="128"/>
        <v>24</v>
      </c>
      <c r="AX229" s="801"/>
      <c r="AY229" s="786"/>
      <c r="AZ229" s="898"/>
      <c r="BA229" s="898"/>
      <c r="BB229" s="776"/>
      <c r="BC229" s="899"/>
      <c r="BD229" s="712" t="s">
        <v>3576</v>
      </c>
      <c r="BE229" s="712" t="s">
        <v>3576</v>
      </c>
    </row>
    <row r="230" s="693" customFormat="1" ht="31" customHeight="1" spans="1:57">
      <c r="A230" s="810">
        <v>45098</v>
      </c>
      <c r="B230" s="791" t="s">
        <v>1486</v>
      </c>
      <c r="C230" s="789" t="s">
        <v>398</v>
      </c>
      <c r="D230" s="791">
        <v>4500107177</v>
      </c>
      <c r="E230" s="746" t="s">
        <v>3691</v>
      </c>
      <c r="F230" s="791" t="s">
        <v>3641</v>
      </c>
      <c r="G230" s="791" t="s">
        <v>3641</v>
      </c>
      <c r="H230" s="712" t="s">
        <v>3414</v>
      </c>
      <c r="I230" s="791">
        <v>24</v>
      </c>
      <c r="J230" s="711">
        <v>0</v>
      </c>
      <c r="K230" s="711">
        <v>8</v>
      </c>
      <c r="L230" s="698">
        <f t="shared" si="117"/>
        <v>3</v>
      </c>
      <c r="M230" s="829">
        <v>45138</v>
      </c>
      <c r="N230" s="829">
        <v>45134</v>
      </c>
      <c r="O230" s="868"/>
      <c r="P230" s="869" t="s">
        <v>3679</v>
      </c>
      <c r="Q230" s="890"/>
      <c r="R230" s="744">
        <v>45098</v>
      </c>
      <c r="S230" s="775" t="s">
        <v>2112</v>
      </c>
      <c r="T230" s="744" t="s">
        <v>3566</v>
      </c>
      <c r="U230" s="789" t="s">
        <v>3644</v>
      </c>
      <c r="V230" s="716" t="s">
        <v>3688</v>
      </c>
      <c r="W230" s="895" t="s">
        <v>975</v>
      </c>
      <c r="X230" s="819">
        <v>9.6585</v>
      </c>
      <c r="Y230" s="725">
        <f t="shared" si="118"/>
        <v>231.804</v>
      </c>
      <c r="Z230" s="832"/>
      <c r="AA230" s="775" t="s">
        <v>63</v>
      </c>
      <c r="AB230" s="775"/>
      <c r="AC230" s="832"/>
      <c r="AD230" s="832"/>
      <c r="AE230" s="836"/>
      <c r="AF230" s="696"/>
      <c r="AG230" s="776">
        <f t="shared" si="124"/>
        <v>24</v>
      </c>
      <c r="AH230" s="776">
        <f t="shared" si="125"/>
        <v>24</v>
      </c>
      <c r="AI230" s="776">
        <f t="shared" si="126"/>
        <v>24</v>
      </c>
      <c r="AJ230" s="786"/>
      <c r="AK230" s="786"/>
      <c r="AL230" s="786"/>
      <c r="AM230" s="801"/>
      <c r="AN230" s="801"/>
      <c r="AO230" s="801"/>
      <c r="AP230" s="801">
        <f t="shared" si="127"/>
        <v>72</v>
      </c>
      <c r="AQ230" s="801"/>
      <c r="AR230" s="801"/>
      <c r="AS230" s="801"/>
      <c r="AT230" s="801"/>
      <c r="AU230" s="801"/>
      <c r="AV230" s="801"/>
      <c r="AW230" s="801">
        <f t="shared" si="128"/>
        <v>72</v>
      </c>
      <c r="AX230" s="801"/>
      <c r="AY230" s="786"/>
      <c r="AZ230" s="898"/>
      <c r="BA230" s="898"/>
      <c r="BB230" s="776"/>
      <c r="BC230" s="899"/>
      <c r="BD230" s="712" t="s">
        <v>3576</v>
      </c>
      <c r="BE230" s="712" t="s">
        <v>3576</v>
      </c>
    </row>
    <row r="231" s="693" customFormat="1" ht="31" customHeight="1" spans="1:57">
      <c r="A231" s="810">
        <v>45098</v>
      </c>
      <c r="B231" s="791" t="s">
        <v>1486</v>
      </c>
      <c r="C231" s="789" t="s">
        <v>398</v>
      </c>
      <c r="D231" s="791">
        <v>4500107177</v>
      </c>
      <c r="E231" s="746" t="s">
        <v>3692</v>
      </c>
      <c r="F231" s="791" t="s">
        <v>3641</v>
      </c>
      <c r="G231" s="791" t="s">
        <v>3641</v>
      </c>
      <c r="H231" s="712" t="s">
        <v>3414</v>
      </c>
      <c r="I231" s="791">
        <v>8</v>
      </c>
      <c r="J231" s="711">
        <v>0</v>
      </c>
      <c r="K231" s="711">
        <v>8</v>
      </c>
      <c r="L231" s="698">
        <f t="shared" si="117"/>
        <v>1</v>
      </c>
      <c r="M231" s="829">
        <v>45138</v>
      </c>
      <c r="N231" s="829">
        <v>45134</v>
      </c>
      <c r="O231" s="868"/>
      <c r="P231" s="869" t="s">
        <v>3679</v>
      </c>
      <c r="Q231" s="890"/>
      <c r="R231" s="744">
        <v>45098</v>
      </c>
      <c r="S231" s="775" t="s">
        <v>2112</v>
      </c>
      <c r="T231" s="744" t="s">
        <v>3566</v>
      </c>
      <c r="U231" s="789" t="s">
        <v>3644</v>
      </c>
      <c r="V231" s="716" t="s">
        <v>3688</v>
      </c>
      <c r="W231" s="895" t="s">
        <v>975</v>
      </c>
      <c r="X231" s="819">
        <v>9.6585</v>
      </c>
      <c r="Y231" s="725">
        <f t="shared" si="118"/>
        <v>77.268</v>
      </c>
      <c r="Z231" s="832"/>
      <c r="AA231" s="775" t="s">
        <v>63</v>
      </c>
      <c r="AB231" s="775"/>
      <c r="AC231" s="832"/>
      <c r="AD231" s="832"/>
      <c r="AE231" s="836"/>
      <c r="AF231" s="696"/>
      <c r="AG231" s="776">
        <f t="shared" si="124"/>
        <v>8</v>
      </c>
      <c r="AH231" s="776">
        <f t="shared" si="125"/>
        <v>8</v>
      </c>
      <c r="AI231" s="776">
        <f t="shared" si="126"/>
        <v>8</v>
      </c>
      <c r="AJ231" s="786"/>
      <c r="AK231" s="786"/>
      <c r="AL231" s="786"/>
      <c r="AM231" s="801"/>
      <c r="AN231" s="801"/>
      <c r="AO231" s="801"/>
      <c r="AP231" s="801">
        <f t="shared" si="127"/>
        <v>24</v>
      </c>
      <c r="AQ231" s="801"/>
      <c r="AR231" s="801"/>
      <c r="AS231" s="801"/>
      <c r="AT231" s="801"/>
      <c r="AU231" s="801"/>
      <c r="AV231" s="801"/>
      <c r="AW231" s="801">
        <f t="shared" si="128"/>
        <v>24</v>
      </c>
      <c r="AX231" s="801"/>
      <c r="AY231" s="786"/>
      <c r="AZ231" s="898"/>
      <c r="BA231" s="898"/>
      <c r="BB231" s="776"/>
      <c r="BC231" s="899"/>
      <c r="BD231" s="712" t="s">
        <v>3576</v>
      </c>
      <c r="BE231" s="712" t="s">
        <v>3576</v>
      </c>
    </row>
    <row r="232" s="693" customFormat="1" ht="31" customHeight="1" spans="1:57">
      <c r="A232" s="810">
        <v>45098</v>
      </c>
      <c r="B232" s="791" t="s">
        <v>1486</v>
      </c>
      <c r="C232" s="789" t="s">
        <v>398</v>
      </c>
      <c r="D232" s="791">
        <v>4500107177</v>
      </c>
      <c r="E232" s="746" t="s">
        <v>3693</v>
      </c>
      <c r="F232" s="791" t="s">
        <v>3694</v>
      </c>
      <c r="G232" s="791" t="s">
        <v>3694</v>
      </c>
      <c r="H232" s="712" t="s">
        <v>2063</v>
      </c>
      <c r="I232" s="791">
        <v>192</v>
      </c>
      <c r="J232" s="711">
        <v>0</v>
      </c>
      <c r="K232" s="711">
        <v>24</v>
      </c>
      <c r="L232" s="698">
        <f t="shared" si="117"/>
        <v>8</v>
      </c>
      <c r="M232" s="829">
        <v>45138</v>
      </c>
      <c r="N232" s="829">
        <v>45134</v>
      </c>
      <c r="O232" s="868"/>
      <c r="P232" s="869" t="s">
        <v>3679</v>
      </c>
      <c r="Q232" s="890"/>
      <c r="R232" s="744">
        <v>45098</v>
      </c>
      <c r="S232" s="775" t="s">
        <v>2112</v>
      </c>
      <c r="T232" s="744" t="s">
        <v>3566</v>
      </c>
      <c r="U232" s="789" t="s">
        <v>3695</v>
      </c>
      <c r="V232" s="716" t="s">
        <v>3696</v>
      </c>
      <c r="W232" s="895" t="s">
        <v>975</v>
      </c>
      <c r="X232" s="819">
        <v>2.8165</v>
      </c>
      <c r="Y232" s="725">
        <f t="shared" si="118"/>
        <v>540.768</v>
      </c>
      <c r="Z232" s="832"/>
      <c r="AA232" s="775" t="s">
        <v>63</v>
      </c>
      <c r="AB232" s="775"/>
      <c r="AC232" s="832"/>
      <c r="AD232" s="832"/>
      <c r="AE232" s="836"/>
      <c r="AF232" s="696"/>
      <c r="AG232" s="786"/>
      <c r="AH232" s="776">
        <f t="shared" si="125"/>
        <v>192</v>
      </c>
      <c r="AI232" s="776"/>
      <c r="AJ232" s="786"/>
      <c r="AK232" s="786"/>
      <c r="AL232" s="786"/>
      <c r="AM232" s="801"/>
      <c r="AN232" s="801"/>
      <c r="AO232" s="801"/>
      <c r="AP232" s="801">
        <f t="shared" ref="AP232:AP235" si="129">I232</f>
        <v>192</v>
      </c>
      <c r="AQ232" s="801"/>
      <c r="AR232" s="801"/>
      <c r="AS232" s="801"/>
      <c r="AT232" s="801"/>
      <c r="AU232" s="801"/>
      <c r="AV232" s="801"/>
      <c r="AW232" s="801"/>
      <c r="AX232" s="801"/>
      <c r="AY232" s="786"/>
      <c r="AZ232" s="898"/>
      <c r="BA232" s="898">
        <f t="shared" ref="BA232:BA235" si="130">I232</f>
        <v>192</v>
      </c>
      <c r="BB232" s="776"/>
      <c r="BC232" s="899"/>
      <c r="BD232" s="712" t="s">
        <v>3576</v>
      </c>
      <c r="BE232" s="712" t="s">
        <v>3576</v>
      </c>
    </row>
    <row r="233" s="693" customFormat="1" ht="31" customHeight="1" spans="1:57">
      <c r="A233" s="810">
        <v>45098</v>
      </c>
      <c r="B233" s="791" t="s">
        <v>1486</v>
      </c>
      <c r="C233" s="789" t="s">
        <v>398</v>
      </c>
      <c r="D233" s="791">
        <v>4500107177</v>
      </c>
      <c r="E233" s="746" t="s">
        <v>3697</v>
      </c>
      <c r="F233" s="791" t="s">
        <v>3694</v>
      </c>
      <c r="G233" s="791" t="s">
        <v>3694</v>
      </c>
      <c r="H233" s="712" t="s">
        <v>2063</v>
      </c>
      <c r="I233" s="791">
        <v>120</v>
      </c>
      <c r="J233" s="711">
        <v>0</v>
      </c>
      <c r="K233" s="711">
        <v>24</v>
      </c>
      <c r="L233" s="698">
        <f t="shared" si="117"/>
        <v>5</v>
      </c>
      <c r="M233" s="829">
        <v>45138</v>
      </c>
      <c r="N233" s="829">
        <v>45134</v>
      </c>
      <c r="O233" s="868"/>
      <c r="P233" s="869" t="s">
        <v>3679</v>
      </c>
      <c r="Q233" s="890"/>
      <c r="R233" s="744">
        <v>45098</v>
      </c>
      <c r="S233" s="775" t="s">
        <v>2112</v>
      </c>
      <c r="T233" s="744" t="s">
        <v>3566</v>
      </c>
      <c r="U233" s="789" t="s">
        <v>3695</v>
      </c>
      <c r="V233" s="716" t="s">
        <v>3696</v>
      </c>
      <c r="W233" s="895" t="s">
        <v>975</v>
      </c>
      <c r="X233" s="819">
        <v>2.8165</v>
      </c>
      <c r="Y233" s="725">
        <f t="shared" si="118"/>
        <v>337.98</v>
      </c>
      <c r="Z233" s="832"/>
      <c r="AA233" s="775" t="s">
        <v>63</v>
      </c>
      <c r="AB233" s="775"/>
      <c r="AC233" s="832"/>
      <c r="AD233" s="832"/>
      <c r="AE233" s="836"/>
      <c r="AF233" s="696"/>
      <c r="AG233" s="786"/>
      <c r="AH233" s="776">
        <f t="shared" si="125"/>
        <v>120</v>
      </c>
      <c r="AI233" s="776"/>
      <c r="AJ233" s="786"/>
      <c r="AK233" s="786"/>
      <c r="AL233" s="786"/>
      <c r="AM233" s="801"/>
      <c r="AN233" s="801"/>
      <c r="AO233" s="801"/>
      <c r="AP233" s="801">
        <f t="shared" si="129"/>
        <v>120</v>
      </c>
      <c r="AQ233" s="801"/>
      <c r="AR233" s="801"/>
      <c r="AS233" s="801"/>
      <c r="AT233" s="801"/>
      <c r="AU233" s="801"/>
      <c r="AV233" s="801"/>
      <c r="AW233" s="801"/>
      <c r="AX233" s="801"/>
      <c r="AY233" s="786"/>
      <c r="AZ233" s="898"/>
      <c r="BA233" s="898">
        <f t="shared" si="130"/>
        <v>120</v>
      </c>
      <c r="BB233" s="776"/>
      <c r="BC233" s="899"/>
      <c r="BD233" s="712" t="s">
        <v>3576</v>
      </c>
      <c r="BE233" s="712" t="s">
        <v>3576</v>
      </c>
    </row>
    <row r="234" s="693" customFormat="1" ht="31" customHeight="1" spans="1:57">
      <c r="A234" s="810">
        <v>45098</v>
      </c>
      <c r="B234" s="791" t="s">
        <v>1486</v>
      </c>
      <c r="C234" s="789" t="s">
        <v>398</v>
      </c>
      <c r="D234" s="791">
        <v>4500107177</v>
      </c>
      <c r="E234" s="746" t="s">
        <v>3698</v>
      </c>
      <c r="F234" s="791" t="s">
        <v>3694</v>
      </c>
      <c r="G234" s="791" t="s">
        <v>3694</v>
      </c>
      <c r="H234" s="712" t="s">
        <v>2063</v>
      </c>
      <c r="I234" s="791">
        <v>72</v>
      </c>
      <c r="J234" s="711">
        <v>0</v>
      </c>
      <c r="K234" s="711">
        <v>24</v>
      </c>
      <c r="L234" s="698">
        <f t="shared" si="117"/>
        <v>3</v>
      </c>
      <c r="M234" s="829">
        <v>45138</v>
      </c>
      <c r="N234" s="829">
        <v>45134</v>
      </c>
      <c r="O234" s="868"/>
      <c r="P234" s="869" t="s">
        <v>3679</v>
      </c>
      <c r="Q234" s="890"/>
      <c r="R234" s="744">
        <v>45098</v>
      </c>
      <c r="S234" s="775" t="s">
        <v>2112</v>
      </c>
      <c r="T234" s="744" t="s">
        <v>3566</v>
      </c>
      <c r="U234" s="789" t="s">
        <v>3695</v>
      </c>
      <c r="V234" s="716" t="s">
        <v>3696</v>
      </c>
      <c r="W234" s="895" t="s">
        <v>975</v>
      </c>
      <c r="X234" s="819">
        <v>2.8165</v>
      </c>
      <c r="Y234" s="725">
        <f t="shared" si="118"/>
        <v>202.788</v>
      </c>
      <c r="Z234" s="832"/>
      <c r="AA234" s="775" t="s">
        <v>63</v>
      </c>
      <c r="AB234" s="775"/>
      <c r="AC234" s="832"/>
      <c r="AD234" s="832"/>
      <c r="AE234" s="836"/>
      <c r="AF234" s="696"/>
      <c r="AG234" s="786"/>
      <c r="AH234" s="776">
        <f t="shared" si="125"/>
        <v>72</v>
      </c>
      <c r="AI234" s="776"/>
      <c r="AJ234" s="786"/>
      <c r="AK234" s="786"/>
      <c r="AL234" s="786"/>
      <c r="AM234" s="801"/>
      <c r="AN234" s="801"/>
      <c r="AO234" s="801"/>
      <c r="AP234" s="801">
        <f t="shared" si="129"/>
        <v>72</v>
      </c>
      <c r="AQ234" s="801"/>
      <c r="AR234" s="801"/>
      <c r="AS234" s="801"/>
      <c r="AT234" s="801"/>
      <c r="AU234" s="801"/>
      <c r="AV234" s="801"/>
      <c r="AW234" s="801"/>
      <c r="AX234" s="801"/>
      <c r="AY234" s="786"/>
      <c r="AZ234" s="898"/>
      <c r="BA234" s="898">
        <f t="shared" si="130"/>
        <v>72</v>
      </c>
      <c r="BB234" s="776"/>
      <c r="BC234" s="899"/>
      <c r="BD234" s="712" t="s">
        <v>3576</v>
      </c>
      <c r="BE234" s="712" t="s">
        <v>3576</v>
      </c>
    </row>
    <row r="235" s="693" customFormat="1" ht="31" customHeight="1" spans="1:57">
      <c r="A235" s="810">
        <v>45098</v>
      </c>
      <c r="B235" s="791" t="s">
        <v>1486</v>
      </c>
      <c r="C235" s="789" t="s">
        <v>398</v>
      </c>
      <c r="D235" s="791">
        <v>4500107177</v>
      </c>
      <c r="E235" s="746" t="s">
        <v>3699</v>
      </c>
      <c r="F235" s="791" t="s">
        <v>3694</v>
      </c>
      <c r="G235" s="791" t="s">
        <v>3694</v>
      </c>
      <c r="H235" s="712" t="s">
        <v>2063</v>
      </c>
      <c r="I235" s="791">
        <v>48</v>
      </c>
      <c r="J235" s="711">
        <v>0</v>
      </c>
      <c r="K235" s="711">
        <v>24</v>
      </c>
      <c r="L235" s="698">
        <f t="shared" si="117"/>
        <v>2</v>
      </c>
      <c r="M235" s="829">
        <v>45138</v>
      </c>
      <c r="N235" s="829">
        <v>45134</v>
      </c>
      <c r="O235" s="868"/>
      <c r="P235" s="869" t="s">
        <v>3679</v>
      </c>
      <c r="Q235" s="890"/>
      <c r="R235" s="744">
        <v>45098</v>
      </c>
      <c r="S235" s="775" t="s">
        <v>2112</v>
      </c>
      <c r="T235" s="744" t="s">
        <v>3566</v>
      </c>
      <c r="U235" s="789" t="s">
        <v>3695</v>
      </c>
      <c r="V235" s="716" t="s">
        <v>3696</v>
      </c>
      <c r="W235" s="895" t="s">
        <v>975</v>
      </c>
      <c r="X235" s="819">
        <v>2.8165</v>
      </c>
      <c r="Y235" s="725">
        <f t="shared" si="118"/>
        <v>135.192</v>
      </c>
      <c r="Z235" s="832"/>
      <c r="AA235" s="775" t="s">
        <v>63</v>
      </c>
      <c r="AB235" s="775"/>
      <c r="AC235" s="832"/>
      <c r="AD235" s="832"/>
      <c r="AE235" s="836"/>
      <c r="AF235" s="696"/>
      <c r="AG235" s="786"/>
      <c r="AH235" s="776">
        <f t="shared" si="125"/>
        <v>48</v>
      </c>
      <c r="AI235" s="776"/>
      <c r="AJ235" s="786"/>
      <c r="AK235" s="786"/>
      <c r="AL235" s="786"/>
      <c r="AM235" s="801"/>
      <c r="AN235" s="801"/>
      <c r="AO235" s="801"/>
      <c r="AP235" s="801">
        <f t="shared" si="129"/>
        <v>48</v>
      </c>
      <c r="AQ235" s="801"/>
      <c r="AR235" s="801"/>
      <c r="AS235" s="801"/>
      <c r="AT235" s="801"/>
      <c r="AU235" s="801"/>
      <c r="AV235" s="801"/>
      <c r="AW235" s="801"/>
      <c r="AX235" s="801"/>
      <c r="AY235" s="786"/>
      <c r="AZ235" s="898"/>
      <c r="BA235" s="898">
        <f t="shared" si="130"/>
        <v>48</v>
      </c>
      <c r="BB235" s="776"/>
      <c r="BC235" s="899"/>
      <c r="BD235" s="712" t="s">
        <v>3576</v>
      </c>
      <c r="BE235" s="712" t="s">
        <v>3576</v>
      </c>
    </row>
    <row r="236" s="693" customFormat="1" ht="31" customHeight="1" spans="1:57">
      <c r="A236" s="810">
        <v>45103</v>
      </c>
      <c r="B236" s="789" t="s">
        <v>2297</v>
      </c>
      <c r="C236" s="789" t="s">
        <v>876</v>
      </c>
      <c r="D236" s="791">
        <v>4500107082</v>
      </c>
      <c r="E236" s="696">
        <v>19535333</v>
      </c>
      <c r="F236" s="711"/>
      <c r="G236" s="711" t="s">
        <v>3569</v>
      </c>
      <c r="H236" s="712" t="s">
        <v>2119</v>
      </c>
      <c r="I236" s="881">
        <v>564</v>
      </c>
      <c r="J236" s="711">
        <v>0</v>
      </c>
      <c r="K236" s="711">
        <v>12</v>
      </c>
      <c r="L236" s="698">
        <f t="shared" si="117"/>
        <v>47</v>
      </c>
      <c r="M236" s="829">
        <v>45145</v>
      </c>
      <c r="N236" s="829">
        <v>45141</v>
      </c>
      <c r="O236" s="868"/>
      <c r="P236" s="869" t="s">
        <v>3679</v>
      </c>
      <c r="Q236" s="890"/>
      <c r="R236" s="775"/>
      <c r="S236" s="775"/>
      <c r="T236" s="775"/>
      <c r="U236" s="789"/>
      <c r="V236" s="794" t="s">
        <v>3700</v>
      </c>
      <c r="W236" s="791" t="s">
        <v>3574</v>
      </c>
      <c r="X236" s="819">
        <v>3.1477</v>
      </c>
      <c r="Y236" s="725">
        <f t="shared" si="118"/>
        <v>1775.3028</v>
      </c>
      <c r="Z236" s="832"/>
      <c r="AA236" s="775"/>
      <c r="AB236" s="775"/>
      <c r="AC236" s="832"/>
      <c r="AD236" s="832"/>
      <c r="AE236" s="836"/>
      <c r="AF236" s="696"/>
      <c r="AG236" s="776">
        <f>I236/3</f>
        <v>188</v>
      </c>
      <c r="AH236" s="776">
        <f>I236/3</f>
        <v>188</v>
      </c>
      <c r="AI236" s="776">
        <f>I236/3</f>
        <v>188</v>
      </c>
      <c r="AJ236" s="786"/>
      <c r="AK236" s="786"/>
      <c r="AL236" s="786"/>
      <c r="AM236" s="801"/>
      <c r="AN236" s="801"/>
      <c r="AO236" s="801"/>
      <c r="AP236" s="801"/>
      <c r="AQ236" s="801"/>
      <c r="AR236" s="801"/>
      <c r="AS236" s="801"/>
      <c r="AT236" s="801"/>
      <c r="AU236" s="801"/>
      <c r="AV236" s="801"/>
      <c r="AW236" s="801"/>
      <c r="AX236" s="801"/>
      <c r="AY236" s="786"/>
      <c r="AZ236" s="898"/>
      <c r="BA236" s="898"/>
      <c r="BB236" s="776"/>
      <c r="BC236" s="899"/>
      <c r="BD236" s="712"/>
      <c r="BE236" s="712"/>
    </row>
    <row r="237" s="693" customFormat="1" ht="31" customHeight="1" spans="1:57">
      <c r="A237" s="810">
        <v>45103</v>
      </c>
      <c r="B237" s="789" t="s">
        <v>2304</v>
      </c>
      <c r="C237" s="789" t="s">
        <v>258</v>
      </c>
      <c r="D237" s="791">
        <v>4500107084</v>
      </c>
      <c r="E237" s="696">
        <v>19535334</v>
      </c>
      <c r="F237" s="711"/>
      <c r="G237" s="711" t="s">
        <v>3569</v>
      </c>
      <c r="H237" s="712" t="s">
        <v>2119</v>
      </c>
      <c r="I237" s="881">
        <v>444</v>
      </c>
      <c r="J237" s="711">
        <v>0</v>
      </c>
      <c r="K237" s="711">
        <v>12</v>
      </c>
      <c r="L237" s="698">
        <f t="shared" si="117"/>
        <v>37</v>
      </c>
      <c r="M237" s="829">
        <v>45145</v>
      </c>
      <c r="N237" s="829">
        <v>45141</v>
      </c>
      <c r="O237" s="868"/>
      <c r="P237" s="869" t="s">
        <v>3679</v>
      </c>
      <c r="Q237" s="890"/>
      <c r="R237" s="775"/>
      <c r="S237" s="775"/>
      <c r="T237" s="775"/>
      <c r="U237" s="789"/>
      <c r="V237" s="794" t="s">
        <v>3701</v>
      </c>
      <c r="W237" s="791" t="s">
        <v>3574</v>
      </c>
      <c r="X237" s="819">
        <v>3.1477</v>
      </c>
      <c r="Y237" s="725">
        <f t="shared" si="118"/>
        <v>1397.5788</v>
      </c>
      <c r="Z237" s="832"/>
      <c r="AA237" s="775"/>
      <c r="AB237" s="775"/>
      <c r="AC237" s="832"/>
      <c r="AD237" s="832"/>
      <c r="AE237" s="836"/>
      <c r="AF237" s="696"/>
      <c r="AG237" s="776">
        <f>I237/3</f>
        <v>148</v>
      </c>
      <c r="AH237" s="776">
        <f>I237/3</f>
        <v>148</v>
      </c>
      <c r="AI237" s="776">
        <f>I237/3</f>
        <v>148</v>
      </c>
      <c r="AJ237" s="786"/>
      <c r="AK237" s="786"/>
      <c r="AL237" s="786"/>
      <c r="AM237" s="801"/>
      <c r="AN237" s="801"/>
      <c r="AO237" s="801"/>
      <c r="AP237" s="801"/>
      <c r="AQ237" s="801"/>
      <c r="AR237" s="801"/>
      <c r="AS237" s="801"/>
      <c r="AT237" s="801"/>
      <c r="AU237" s="801"/>
      <c r="AV237" s="801"/>
      <c r="AW237" s="801"/>
      <c r="AX237" s="801"/>
      <c r="AY237" s="786"/>
      <c r="AZ237" s="898"/>
      <c r="BA237" s="898"/>
      <c r="BB237" s="776"/>
      <c r="BC237" s="899"/>
      <c r="BD237" s="712"/>
      <c r="BE237" s="712"/>
    </row>
    <row r="238" s="693" customFormat="1" ht="31" customHeight="1" spans="1:57">
      <c r="A238" s="810">
        <v>45084</v>
      </c>
      <c r="B238" s="791" t="s">
        <v>209</v>
      </c>
      <c r="C238" s="789" t="s">
        <v>91</v>
      </c>
      <c r="D238" s="791">
        <v>4500106075</v>
      </c>
      <c r="E238" s="746" t="s">
        <v>3702</v>
      </c>
      <c r="F238" s="791" t="s">
        <v>3703</v>
      </c>
      <c r="G238" s="791" t="s">
        <v>3703</v>
      </c>
      <c r="H238" s="712" t="s">
        <v>2042</v>
      </c>
      <c r="I238" s="791">
        <v>1296</v>
      </c>
      <c r="J238" s="711">
        <v>0</v>
      </c>
      <c r="K238" s="711">
        <v>24</v>
      </c>
      <c r="L238" s="698">
        <f t="shared" ref="L238:L246" si="131">I238/K238</f>
        <v>54</v>
      </c>
      <c r="M238" s="829" t="s">
        <v>3677</v>
      </c>
      <c r="N238" s="829" t="s">
        <v>3704</v>
      </c>
      <c r="O238" s="694"/>
      <c r="P238" s="748" t="s">
        <v>1467</v>
      </c>
      <c r="Q238" s="848"/>
      <c r="R238" s="775" t="s">
        <v>3657</v>
      </c>
      <c r="S238" s="775" t="s">
        <v>2112</v>
      </c>
      <c r="T238" s="775" t="s">
        <v>3566</v>
      </c>
      <c r="U238" s="789" t="s">
        <v>3695</v>
      </c>
      <c r="V238" s="795" t="s">
        <v>3663</v>
      </c>
      <c r="W238" s="895" t="s">
        <v>975</v>
      </c>
      <c r="X238" s="819">
        <v>2.8346</v>
      </c>
      <c r="Y238" s="725">
        <f t="shared" ref="Y238:Y246" si="132">X238*I238</f>
        <v>3673.6416</v>
      </c>
      <c r="Z238" s="832"/>
      <c r="AA238" s="775" t="s">
        <v>63</v>
      </c>
      <c r="AB238" s="775" t="s">
        <v>38</v>
      </c>
      <c r="AC238" s="832"/>
      <c r="AD238" s="832"/>
      <c r="AE238" s="836"/>
      <c r="AF238" s="696"/>
      <c r="AG238" s="776"/>
      <c r="AH238" s="776"/>
      <c r="AI238" s="776">
        <f>I238</f>
        <v>1296</v>
      </c>
      <c r="AJ238" s="786"/>
      <c r="AK238" s="786"/>
      <c r="AL238" s="786"/>
      <c r="AM238" s="801"/>
      <c r="AN238" s="801"/>
      <c r="AO238" s="801"/>
      <c r="AP238" s="801">
        <f t="shared" ref="AP238:AP246" si="133">I238</f>
        <v>1296</v>
      </c>
      <c r="AQ238" s="801"/>
      <c r="AR238" s="801"/>
      <c r="AS238" s="801"/>
      <c r="AT238" s="801"/>
      <c r="AU238" s="801"/>
      <c r="AV238" s="801"/>
      <c r="AW238" s="801"/>
      <c r="AX238" s="801"/>
      <c r="AY238" s="786"/>
      <c r="AZ238" s="898"/>
      <c r="BA238" s="898">
        <f t="shared" ref="BA238:BA242" si="134">I238</f>
        <v>1296</v>
      </c>
      <c r="BB238" s="776"/>
      <c r="BC238" s="899"/>
      <c r="BD238" s="712" t="s">
        <v>3576</v>
      </c>
      <c r="BE238" s="712" t="s">
        <v>3576</v>
      </c>
    </row>
    <row r="239" s="693" customFormat="1" ht="31" customHeight="1" spans="1:255">
      <c r="A239" s="810">
        <v>45098</v>
      </c>
      <c r="B239" s="791" t="s">
        <v>1656</v>
      </c>
      <c r="C239" s="789" t="s">
        <v>91</v>
      </c>
      <c r="D239" s="791">
        <v>4500107164</v>
      </c>
      <c r="E239" s="746" t="s">
        <v>3705</v>
      </c>
      <c r="F239" s="791" t="s">
        <v>3703</v>
      </c>
      <c r="G239" s="712" t="s">
        <v>3671</v>
      </c>
      <c r="H239" s="789" t="s">
        <v>2042</v>
      </c>
      <c r="I239" s="711">
        <v>168</v>
      </c>
      <c r="J239" s="711">
        <v>0</v>
      </c>
      <c r="K239" s="698">
        <v>24</v>
      </c>
      <c r="L239" s="698">
        <f t="shared" si="131"/>
        <v>7</v>
      </c>
      <c r="M239" s="829" t="s">
        <v>3706</v>
      </c>
      <c r="N239" s="829" t="s">
        <v>3677</v>
      </c>
      <c r="O239" s="694"/>
      <c r="P239" s="848" t="s">
        <v>1467</v>
      </c>
      <c r="Q239" s="744"/>
      <c r="R239" s="744">
        <v>45098</v>
      </c>
      <c r="S239" s="775" t="s">
        <v>2112</v>
      </c>
      <c r="T239" s="744" t="s">
        <v>3566</v>
      </c>
      <c r="U239" s="789" t="s">
        <v>3695</v>
      </c>
      <c r="V239" s="716" t="s">
        <v>3707</v>
      </c>
      <c r="W239" s="819" t="s">
        <v>3539</v>
      </c>
      <c r="X239" s="725">
        <v>2.8165</v>
      </c>
      <c r="Y239" s="832">
        <f t="shared" si="132"/>
        <v>473.172</v>
      </c>
      <c r="Z239" s="775"/>
      <c r="AA239" s="775" t="s">
        <v>63</v>
      </c>
      <c r="AB239" s="832"/>
      <c r="AC239" s="832"/>
      <c r="AD239" s="836"/>
      <c r="AE239" s="696"/>
      <c r="AF239" s="786"/>
      <c r="AG239" s="776"/>
      <c r="AH239" s="776"/>
      <c r="AI239" s="786">
        <f>I239</f>
        <v>168</v>
      </c>
      <c r="AJ239" s="786"/>
      <c r="AK239" s="786"/>
      <c r="AL239" s="801"/>
      <c r="AM239" s="801"/>
      <c r="AN239" s="801"/>
      <c r="AO239" s="801"/>
      <c r="AP239" s="801">
        <f t="shared" si="133"/>
        <v>168</v>
      </c>
      <c r="AQ239" s="801"/>
      <c r="AR239" s="801"/>
      <c r="AS239" s="801"/>
      <c r="AT239" s="801"/>
      <c r="AU239" s="801"/>
      <c r="AV239" s="801"/>
      <c r="AW239" s="801"/>
      <c r="AX239" s="786"/>
      <c r="AY239" s="898"/>
      <c r="AZ239" s="898"/>
      <c r="BA239" s="898">
        <f t="shared" si="134"/>
        <v>168</v>
      </c>
      <c r="BB239" s="776"/>
      <c r="BC239" s="712"/>
      <c r="BD239" s="712" t="s">
        <v>3576</v>
      </c>
      <c r="BE239" s="712" t="s">
        <v>3576</v>
      </c>
      <c r="IT239" s="810"/>
      <c r="IU239" s="791"/>
    </row>
    <row r="240" s="693" customFormat="1" ht="31" customHeight="1" spans="1:57">
      <c r="A240" s="810">
        <v>45084</v>
      </c>
      <c r="B240" s="791" t="s">
        <v>209</v>
      </c>
      <c r="C240" s="789" t="s">
        <v>91</v>
      </c>
      <c r="D240" s="791">
        <v>4500106075</v>
      </c>
      <c r="E240" s="746" t="s">
        <v>3708</v>
      </c>
      <c r="F240" s="791" t="s">
        <v>3694</v>
      </c>
      <c r="G240" s="791" t="s">
        <v>3694</v>
      </c>
      <c r="H240" s="712" t="s">
        <v>2063</v>
      </c>
      <c r="I240" s="791">
        <v>144</v>
      </c>
      <c r="J240" s="711">
        <v>0</v>
      </c>
      <c r="K240" s="711">
        <v>24</v>
      </c>
      <c r="L240" s="698">
        <f t="shared" si="131"/>
        <v>6</v>
      </c>
      <c r="M240" s="829">
        <v>45135</v>
      </c>
      <c r="N240" s="829">
        <v>45131</v>
      </c>
      <c r="O240" s="694"/>
      <c r="P240" s="748" t="s">
        <v>1467</v>
      </c>
      <c r="Q240" s="848"/>
      <c r="R240" s="775" t="s">
        <v>3657</v>
      </c>
      <c r="S240" s="775" t="s">
        <v>2112</v>
      </c>
      <c r="T240" s="775" t="s">
        <v>3566</v>
      </c>
      <c r="U240" s="789" t="s">
        <v>3695</v>
      </c>
      <c r="V240" s="795" t="s">
        <v>3663</v>
      </c>
      <c r="W240" s="895" t="s">
        <v>975</v>
      </c>
      <c r="X240" s="819">
        <v>2.875</v>
      </c>
      <c r="Y240" s="725">
        <f t="shared" si="132"/>
        <v>414</v>
      </c>
      <c r="Z240" s="832"/>
      <c r="AA240" s="775" t="s">
        <v>63</v>
      </c>
      <c r="AB240" s="775" t="s">
        <v>38</v>
      </c>
      <c r="AC240" s="832"/>
      <c r="AD240" s="832"/>
      <c r="AE240" s="836"/>
      <c r="AF240" s="696"/>
      <c r="AG240" s="776"/>
      <c r="AH240" s="776">
        <f>I240</f>
        <v>144</v>
      </c>
      <c r="AI240" s="776"/>
      <c r="AJ240" s="786"/>
      <c r="AK240" s="786"/>
      <c r="AL240" s="786"/>
      <c r="AM240" s="801"/>
      <c r="AN240" s="801"/>
      <c r="AO240" s="801"/>
      <c r="AP240" s="801">
        <f t="shared" si="133"/>
        <v>144</v>
      </c>
      <c r="AQ240" s="801"/>
      <c r="AR240" s="801"/>
      <c r="AS240" s="801"/>
      <c r="AT240" s="801"/>
      <c r="AU240" s="801"/>
      <c r="AV240" s="801"/>
      <c r="AW240" s="801"/>
      <c r="AX240" s="801"/>
      <c r="AY240" s="786"/>
      <c r="AZ240" s="898"/>
      <c r="BA240" s="898">
        <f t="shared" si="134"/>
        <v>144</v>
      </c>
      <c r="BB240" s="776"/>
      <c r="BC240" s="899"/>
      <c r="BD240" s="712" t="s">
        <v>3576</v>
      </c>
      <c r="BE240" s="712" t="s">
        <v>3576</v>
      </c>
    </row>
    <row r="241" s="693" customFormat="1" ht="31" customHeight="1" spans="1:57">
      <c r="A241" s="810">
        <v>45097</v>
      </c>
      <c r="B241" s="791" t="s">
        <v>209</v>
      </c>
      <c r="C241" s="789" t="s">
        <v>91</v>
      </c>
      <c r="D241" s="791">
        <v>4500103039</v>
      </c>
      <c r="E241" s="746" t="s">
        <v>3709</v>
      </c>
      <c r="F241" s="711" t="s">
        <v>3694</v>
      </c>
      <c r="G241" s="711" t="s">
        <v>3694</v>
      </c>
      <c r="H241" s="712" t="s">
        <v>2063</v>
      </c>
      <c r="I241" s="791">
        <v>144</v>
      </c>
      <c r="J241" s="711">
        <v>0</v>
      </c>
      <c r="K241" s="711">
        <v>24</v>
      </c>
      <c r="L241" s="698">
        <f t="shared" si="131"/>
        <v>6</v>
      </c>
      <c r="M241" s="829">
        <v>45156</v>
      </c>
      <c r="N241" s="829">
        <v>45152</v>
      </c>
      <c r="O241" s="694"/>
      <c r="P241" s="748" t="s">
        <v>1467</v>
      </c>
      <c r="Q241" s="848"/>
      <c r="R241" s="744">
        <v>45098</v>
      </c>
      <c r="S241" s="775" t="s">
        <v>2112</v>
      </c>
      <c r="T241" s="744" t="s">
        <v>3566</v>
      </c>
      <c r="U241" s="789" t="s">
        <v>3695</v>
      </c>
      <c r="V241" s="794" t="s">
        <v>3663</v>
      </c>
      <c r="W241" s="789" t="s">
        <v>975</v>
      </c>
      <c r="X241" s="819">
        <v>2.8165</v>
      </c>
      <c r="Y241" s="725">
        <f t="shared" si="132"/>
        <v>405.576</v>
      </c>
      <c r="Z241" s="832"/>
      <c r="AA241" s="775" t="s">
        <v>63</v>
      </c>
      <c r="AB241" s="775"/>
      <c r="AC241" s="832"/>
      <c r="AD241" s="832"/>
      <c r="AE241" s="836"/>
      <c r="AF241" s="696"/>
      <c r="AG241" s="786"/>
      <c r="AH241" s="776">
        <f>I241</f>
        <v>144</v>
      </c>
      <c r="AI241" s="786"/>
      <c r="AJ241" s="786"/>
      <c r="AK241" s="786"/>
      <c r="AL241" s="786"/>
      <c r="AM241" s="801"/>
      <c r="AN241" s="801"/>
      <c r="AO241" s="801"/>
      <c r="AP241" s="801">
        <f t="shared" si="133"/>
        <v>144</v>
      </c>
      <c r="AQ241" s="801"/>
      <c r="AR241" s="801"/>
      <c r="AS241" s="801"/>
      <c r="AT241" s="801"/>
      <c r="AU241" s="801"/>
      <c r="AV241" s="801"/>
      <c r="AW241" s="801"/>
      <c r="AX241" s="801"/>
      <c r="AY241" s="786"/>
      <c r="AZ241" s="898"/>
      <c r="BA241" s="898">
        <f t="shared" si="134"/>
        <v>144</v>
      </c>
      <c r="BB241" s="776"/>
      <c r="BC241" s="899"/>
      <c r="BD241" s="712" t="s">
        <v>3576</v>
      </c>
      <c r="BE241" s="712" t="s">
        <v>3576</v>
      </c>
    </row>
    <row r="242" s="693" customFormat="1" ht="31" customHeight="1" spans="1:57">
      <c r="A242" s="810">
        <v>45085</v>
      </c>
      <c r="B242" s="789" t="s">
        <v>3710</v>
      </c>
      <c r="C242" s="789" t="s">
        <v>778</v>
      </c>
      <c r="D242" s="791">
        <v>4500106275</v>
      </c>
      <c r="E242" s="746" t="s">
        <v>3711</v>
      </c>
      <c r="F242" s="791" t="s">
        <v>3656</v>
      </c>
      <c r="G242" s="791" t="s">
        <v>3656</v>
      </c>
      <c r="H242" s="712" t="s">
        <v>2052</v>
      </c>
      <c r="I242" s="791">
        <v>240</v>
      </c>
      <c r="J242" s="711">
        <v>0</v>
      </c>
      <c r="K242" s="711">
        <v>24</v>
      </c>
      <c r="L242" s="698">
        <f t="shared" si="131"/>
        <v>10</v>
      </c>
      <c r="M242" s="829">
        <v>45127</v>
      </c>
      <c r="N242" s="829">
        <v>45124</v>
      </c>
      <c r="O242" s="694"/>
      <c r="P242" s="748" t="s">
        <v>3712</v>
      </c>
      <c r="Q242" s="848"/>
      <c r="R242" s="775" t="s">
        <v>3713</v>
      </c>
      <c r="S242" s="775" t="s">
        <v>58</v>
      </c>
      <c r="T242" s="775" t="s">
        <v>3714</v>
      </c>
      <c r="U242" s="789" t="s">
        <v>3715</v>
      </c>
      <c r="V242" s="795" t="s">
        <v>3716</v>
      </c>
      <c r="W242" s="791" t="s">
        <v>785</v>
      </c>
      <c r="X242" s="819">
        <v>2.981</v>
      </c>
      <c r="Y242" s="725">
        <f t="shared" si="132"/>
        <v>715.44</v>
      </c>
      <c r="Z242" s="832"/>
      <c r="AA242" s="775" t="s">
        <v>63</v>
      </c>
      <c r="AB242" s="775" t="s">
        <v>38</v>
      </c>
      <c r="AC242" s="832"/>
      <c r="AD242" s="832"/>
      <c r="AE242" s="836"/>
      <c r="AF242" s="696"/>
      <c r="AG242" s="776">
        <f>I242</f>
        <v>240</v>
      </c>
      <c r="AH242" s="776"/>
      <c r="AI242" s="776"/>
      <c r="AJ242" s="786"/>
      <c r="AK242" s="786"/>
      <c r="AL242" s="786"/>
      <c r="AM242" s="801"/>
      <c r="AN242" s="801"/>
      <c r="AO242" s="801"/>
      <c r="AP242" s="801">
        <f t="shared" si="133"/>
        <v>240</v>
      </c>
      <c r="AQ242" s="801"/>
      <c r="AR242" s="801"/>
      <c r="AS242" s="801"/>
      <c r="AT242" s="801"/>
      <c r="AU242" s="801"/>
      <c r="AV242" s="801"/>
      <c r="AW242" s="801"/>
      <c r="AX242" s="801"/>
      <c r="AY242" s="786"/>
      <c r="AZ242" s="898"/>
      <c r="BA242" s="898">
        <f t="shared" si="134"/>
        <v>240</v>
      </c>
      <c r="BB242" s="776"/>
      <c r="BC242" s="899"/>
      <c r="BD242" s="712" t="s">
        <v>3576</v>
      </c>
      <c r="BE242" s="712" t="s">
        <v>3576</v>
      </c>
    </row>
    <row r="243" s="693" customFormat="1" ht="31" customHeight="1" spans="1:57">
      <c r="A243" s="810">
        <v>45071</v>
      </c>
      <c r="B243" s="791" t="s">
        <v>2304</v>
      </c>
      <c r="C243" s="789" t="s">
        <v>258</v>
      </c>
      <c r="D243" s="791">
        <v>4500104936</v>
      </c>
      <c r="E243" s="746">
        <v>19486740</v>
      </c>
      <c r="F243" s="791" t="s">
        <v>3569</v>
      </c>
      <c r="G243" s="791" t="s">
        <v>3569</v>
      </c>
      <c r="H243" s="712" t="s">
        <v>2119</v>
      </c>
      <c r="I243" s="881">
        <v>168</v>
      </c>
      <c r="J243" s="711">
        <v>0</v>
      </c>
      <c r="K243" s="711">
        <v>12</v>
      </c>
      <c r="L243" s="698">
        <f t="shared" si="131"/>
        <v>14</v>
      </c>
      <c r="M243" s="829">
        <v>45117</v>
      </c>
      <c r="N243" s="829">
        <v>45113</v>
      </c>
      <c r="O243" s="694"/>
      <c r="P243" s="750" t="s">
        <v>3717</v>
      </c>
      <c r="Q243" s="848"/>
      <c r="R243" s="775">
        <v>45085</v>
      </c>
      <c r="S243" s="775" t="s">
        <v>2112</v>
      </c>
      <c r="T243" s="775">
        <v>45096</v>
      </c>
      <c r="U243" s="789" t="s">
        <v>3572</v>
      </c>
      <c r="V243" s="795" t="s">
        <v>3718</v>
      </c>
      <c r="W243" s="789" t="s">
        <v>3574</v>
      </c>
      <c r="X243" s="819">
        <v>3.1477</v>
      </c>
      <c r="Y243" s="725">
        <f t="shared" si="132"/>
        <v>528.8136</v>
      </c>
      <c r="Z243" s="832"/>
      <c r="AA243" s="775" t="s">
        <v>63</v>
      </c>
      <c r="AB243" s="775" t="s">
        <v>38</v>
      </c>
      <c r="AC243" s="832"/>
      <c r="AD243" s="832"/>
      <c r="AE243" s="836" t="s">
        <v>327</v>
      </c>
      <c r="AF243" s="696"/>
      <c r="AG243" s="776">
        <f t="shared" ref="AG243:AG246" si="135">I243/3</f>
        <v>56</v>
      </c>
      <c r="AH243" s="776">
        <f t="shared" ref="AH243:AH246" si="136">I243/3</f>
        <v>56</v>
      </c>
      <c r="AI243" s="776">
        <f t="shared" ref="AI243:AI246" si="137">I243/3</f>
        <v>56</v>
      </c>
      <c r="AJ243" s="786"/>
      <c r="AK243" s="786"/>
      <c r="AL243" s="786"/>
      <c r="AM243" s="801"/>
      <c r="AN243" s="801"/>
      <c r="AO243" s="801"/>
      <c r="AP243" s="801">
        <f t="shared" si="133"/>
        <v>168</v>
      </c>
      <c r="AQ243" s="801"/>
      <c r="AR243" s="801"/>
      <c r="AS243" s="801"/>
      <c r="AT243" s="801">
        <f t="shared" ref="AT243:AT246" si="138">I243</f>
        <v>168</v>
      </c>
      <c r="AU243" s="801"/>
      <c r="AV243" s="801"/>
      <c r="AW243" s="801"/>
      <c r="AX243" s="801"/>
      <c r="AY243" s="786"/>
      <c r="AZ243" s="898"/>
      <c r="BA243" s="898"/>
      <c r="BB243" s="776"/>
      <c r="BC243" s="899"/>
      <c r="BD243" s="712" t="s">
        <v>3576</v>
      </c>
      <c r="BE243" s="712" t="s">
        <v>3576</v>
      </c>
    </row>
    <row r="244" s="693" customFormat="1" ht="31" customHeight="1" spans="1:57">
      <c r="A244" s="810">
        <v>45071</v>
      </c>
      <c r="B244" s="791" t="s">
        <v>2297</v>
      </c>
      <c r="C244" s="789" t="s">
        <v>876</v>
      </c>
      <c r="D244" s="791">
        <v>4500104837</v>
      </c>
      <c r="E244" s="746">
        <v>19486739</v>
      </c>
      <c r="F244" s="791" t="s">
        <v>3569</v>
      </c>
      <c r="G244" s="791" t="s">
        <v>3569</v>
      </c>
      <c r="H244" s="712" t="s">
        <v>2119</v>
      </c>
      <c r="I244" s="881">
        <v>1212</v>
      </c>
      <c r="J244" s="711">
        <v>0</v>
      </c>
      <c r="K244" s="711">
        <v>12</v>
      </c>
      <c r="L244" s="698">
        <f t="shared" si="131"/>
        <v>101</v>
      </c>
      <c r="M244" s="829">
        <v>45117</v>
      </c>
      <c r="N244" s="829">
        <v>45113</v>
      </c>
      <c r="O244" s="694"/>
      <c r="P244" s="750" t="s">
        <v>3717</v>
      </c>
      <c r="Q244" s="848"/>
      <c r="R244" s="775">
        <v>45085</v>
      </c>
      <c r="S244" s="775" t="s">
        <v>2112</v>
      </c>
      <c r="T244" s="775">
        <v>45096</v>
      </c>
      <c r="U244" s="789" t="s">
        <v>3572</v>
      </c>
      <c r="V244" s="795" t="s">
        <v>3719</v>
      </c>
      <c r="W244" s="789" t="s">
        <v>3574</v>
      </c>
      <c r="X244" s="819">
        <v>3.0183</v>
      </c>
      <c r="Y244" s="725">
        <f t="shared" si="132"/>
        <v>3658.1796</v>
      </c>
      <c r="Z244" s="832"/>
      <c r="AA244" s="775" t="s">
        <v>63</v>
      </c>
      <c r="AB244" s="775" t="s">
        <v>38</v>
      </c>
      <c r="AC244" s="832"/>
      <c r="AD244" s="832"/>
      <c r="AE244" s="836" t="s">
        <v>327</v>
      </c>
      <c r="AF244" s="696"/>
      <c r="AG244" s="776">
        <f t="shared" si="135"/>
        <v>404</v>
      </c>
      <c r="AH244" s="776">
        <f t="shared" si="136"/>
        <v>404</v>
      </c>
      <c r="AI244" s="776">
        <f t="shared" si="137"/>
        <v>404</v>
      </c>
      <c r="AJ244" s="786"/>
      <c r="AK244" s="786"/>
      <c r="AL244" s="786"/>
      <c r="AM244" s="801"/>
      <c r="AN244" s="801"/>
      <c r="AO244" s="801"/>
      <c r="AP244" s="801">
        <f t="shared" si="133"/>
        <v>1212</v>
      </c>
      <c r="AQ244" s="801"/>
      <c r="AR244" s="801"/>
      <c r="AS244" s="801"/>
      <c r="AT244" s="801">
        <f t="shared" si="138"/>
        <v>1212</v>
      </c>
      <c r="AU244" s="801"/>
      <c r="AV244" s="801"/>
      <c r="AW244" s="801"/>
      <c r="AX244" s="801"/>
      <c r="AY244" s="786"/>
      <c r="AZ244" s="898"/>
      <c r="BA244" s="898"/>
      <c r="BB244" s="776"/>
      <c r="BC244" s="899"/>
      <c r="BD244" s="712" t="s">
        <v>3576</v>
      </c>
      <c r="BE244" s="712" t="s">
        <v>3576</v>
      </c>
    </row>
    <row r="245" s="693" customFormat="1" ht="31" customHeight="1" spans="1:57">
      <c r="A245" s="810">
        <v>45079</v>
      </c>
      <c r="B245" s="791" t="s">
        <v>2297</v>
      </c>
      <c r="C245" s="789" t="s">
        <v>876</v>
      </c>
      <c r="D245" s="791">
        <v>4500105467</v>
      </c>
      <c r="E245" s="746">
        <v>19498996</v>
      </c>
      <c r="F245" s="791" t="s">
        <v>3569</v>
      </c>
      <c r="G245" s="791" t="s">
        <v>3569</v>
      </c>
      <c r="H245" s="712" t="s">
        <v>2119</v>
      </c>
      <c r="I245" s="881">
        <v>852</v>
      </c>
      <c r="J245" s="711">
        <v>0</v>
      </c>
      <c r="K245" s="711">
        <v>12</v>
      </c>
      <c r="L245" s="698">
        <f t="shared" si="131"/>
        <v>71</v>
      </c>
      <c r="M245" s="829">
        <v>45124</v>
      </c>
      <c r="N245" s="829">
        <v>45120</v>
      </c>
      <c r="O245" s="694"/>
      <c r="P245" s="750" t="s">
        <v>3717</v>
      </c>
      <c r="Q245" s="848"/>
      <c r="R245" s="775">
        <v>45093</v>
      </c>
      <c r="S245" s="775" t="s">
        <v>2112</v>
      </c>
      <c r="T245" s="775" t="s">
        <v>3566</v>
      </c>
      <c r="U245" s="789" t="s">
        <v>3572</v>
      </c>
      <c r="V245" s="795" t="s">
        <v>3720</v>
      </c>
      <c r="W245" s="789" t="s">
        <v>3574</v>
      </c>
      <c r="X245" s="819">
        <v>3.1477</v>
      </c>
      <c r="Y245" s="725">
        <f t="shared" si="132"/>
        <v>2681.8404</v>
      </c>
      <c r="Z245" s="832"/>
      <c r="AA245" s="775" t="s">
        <v>63</v>
      </c>
      <c r="AB245" s="775" t="s">
        <v>38</v>
      </c>
      <c r="AC245" s="832"/>
      <c r="AD245" s="832"/>
      <c r="AE245" s="836" t="s">
        <v>327</v>
      </c>
      <c r="AF245" s="696"/>
      <c r="AG245" s="776">
        <f t="shared" si="135"/>
        <v>284</v>
      </c>
      <c r="AH245" s="776">
        <f t="shared" si="136"/>
        <v>284</v>
      </c>
      <c r="AI245" s="776">
        <f t="shared" si="137"/>
        <v>284</v>
      </c>
      <c r="AJ245" s="786"/>
      <c r="AK245" s="786"/>
      <c r="AL245" s="786"/>
      <c r="AM245" s="801"/>
      <c r="AN245" s="801"/>
      <c r="AO245" s="801"/>
      <c r="AP245" s="801">
        <f t="shared" si="133"/>
        <v>852</v>
      </c>
      <c r="AQ245" s="801"/>
      <c r="AR245" s="801"/>
      <c r="AS245" s="801"/>
      <c r="AT245" s="801">
        <f t="shared" si="138"/>
        <v>852</v>
      </c>
      <c r="AU245" s="801"/>
      <c r="AV245" s="801"/>
      <c r="AW245" s="801"/>
      <c r="AX245" s="801"/>
      <c r="AY245" s="786"/>
      <c r="AZ245" s="898"/>
      <c r="BA245" s="898"/>
      <c r="BB245" s="776"/>
      <c r="BC245" s="899"/>
      <c r="BD245" s="712" t="s">
        <v>3576</v>
      </c>
      <c r="BE245" s="712" t="s">
        <v>3576</v>
      </c>
    </row>
    <row r="246" s="693" customFormat="1" ht="31" customHeight="1" spans="1:57">
      <c r="A246" s="810">
        <v>45079</v>
      </c>
      <c r="B246" s="791" t="s">
        <v>2304</v>
      </c>
      <c r="C246" s="789" t="s">
        <v>258</v>
      </c>
      <c r="D246" s="791">
        <v>4500105471</v>
      </c>
      <c r="E246" s="696" t="s">
        <v>3721</v>
      </c>
      <c r="F246" s="791" t="s">
        <v>3569</v>
      </c>
      <c r="G246" s="791" t="s">
        <v>3569</v>
      </c>
      <c r="H246" s="712" t="s">
        <v>2119</v>
      </c>
      <c r="I246" s="881">
        <v>156</v>
      </c>
      <c r="J246" s="711">
        <v>0</v>
      </c>
      <c r="K246" s="711">
        <v>12</v>
      </c>
      <c r="L246" s="698">
        <f t="shared" si="131"/>
        <v>13</v>
      </c>
      <c r="M246" s="829">
        <v>45124</v>
      </c>
      <c r="N246" s="829">
        <v>45120</v>
      </c>
      <c r="O246" s="694"/>
      <c r="P246" s="750" t="s">
        <v>3717</v>
      </c>
      <c r="Q246" s="848"/>
      <c r="R246" s="775">
        <v>45093</v>
      </c>
      <c r="S246" s="775" t="s">
        <v>2112</v>
      </c>
      <c r="T246" s="775" t="s">
        <v>3566</v>
      </c>
      <c r="U246" s="789" t="s">
        <v>3572</v>
      </c>
      <c r="V246" s="795" t="s">
        <v>3722</v>
      </c>
      <c r="W246" s="789" t="s">
        <v>3574</v>
      </c>
      <c r="X246" s="819">
        <v>3.1477</v>
      </c>
      <c r="Y246" s="725">
        <f t="shared" si="132"/>
        <v>491.0412</v>
      </c>
      <c r="Z246" s="832"/>
      <c r="AA246" s="775" t="s">
        <v>63</v>
      </c>
      <c r="AB246" s="775" t="s">
        <v>38</v>
      </c>
      <c r="AC246" s="832"/>
      <c r="AD246" s="832"/>
      <c r="AE246" s="836" t="s">
        <v>327</v>
      </c>
      <c r="AF246" s="696"/>
      <c r="AG246" s="776">
        <f t="shared" si="135"/>
        <v>52</v>
      </c>
      <c r="AH246" s="776">
        <f t="shared" si="136"/>
        <v>52</v>
      </c>
      <c r="AI246" s="776">
        <f t="shared" si="137"/>
        <v>52</v>
      </c>
      <c r="AJ246" s="786"/>
      <c r="AK246" s="786"/>
      <c r="AL246" s="786"/>
      <c r="AM246" s="801"/>
      <c r="AN246" s="801"/>
      <c r="AO246" s="801"/>
      <c r="AP246" s="801">
        <f t="shared" si="133"/>
        <v>156</v>
      </c>
      <c r="AQ246" s="801"/>
      <c r="AR246" s="801"/>
      <c r="AS246" s="801"/>
      <c r="AT246" s="801">
        <f t="shared" si="138"/>
        <v>156</v>
      </c>
      <c r="AU246" s="801"/>
      <c r="AV246" s="801"/>
      <c r="AW246" s="801"/>
      <c r="AX246" s="801"/>
      <c r="AY246" s="786"/>
      <c r="AZ246" s="898"/>
      <c r="BA246" s="898"/>
      <c r="BB246" s="776"/>
      <c r="BC246" s="899"/>
      <c r="BD246" s="712" t="s">
        <v>3576</v>
      </c>
      <c r="BE246" s="712" t="s">
        <v>3576</v>
      </c>
    </row>
    <row r="247" s="694" customFormat="1" ht="31" customHeight="1" spans="1:57">
      <c r="A247" s="805">
        <v>45042</v>
      </c>
      <c r="B247" s="711" t="s">
        <v>2297</v>
      </c>
      <c r="C247" s="712" t="s">
        <v>876</v>
      </c>
      <c r="D247" s="711">
        <v>4500102108</v>
      </c>
      <c r="E247" s="698">
        <v>19442079</v>
      </c>
      <c r="F247" s="711" t="s">
        <v>3723</v>
      </c>
      <c r="G247" s="711" t="s">
        <v>3569</v>
      </c>
      <c r="H247" s="712" t="s">
        <v>2119</v>
      </c>
      <c r="I247" s="892">
        <v>468</v>
      </c>
      <c r="J247" s="711">
        <v>0</v>
      </c>
      <c r="K247" s="711">
        <v>12</v>
      </c>
      <c r="L247" s="698">
        <f t="shared" ref="L247:L262" si="139">I247/K247</f>
        <v>39</v>
      </c>
      <c r="M247" s="777">
        <v>45096</v>
      </c>
      <c r="N247" s="777">
        <v>45092</v>
      </c>
      <c r="O247" s="748"/>
      <c r="P247" s="750" t="s">
        <v>1480</v>
      </c>
      <c r="Q247" s="848" t="s">
        <v>3724</v>
      </c>
      <c r="R247" s="744">
        <v>45064</v>
      </c>
      <c r="S247" s="744" t="s">
        <v>2112</v>
      </c>
      <c r="T247" s="744">
        <v>45075</v>
      </c>
      <c r="U247" s="712" t="s">
        <v>3572</v>
      </c>
      <c r="V247" s="716" t="s">
        <v>3725</v>
      </c>
      <c r="W247" s="712" t="s">
        <v>3574</v>
      </c>
      <c r="X247" s="819">
        <v>3.0183</v>
      </c>
      <c r="Y247" s="725">
        <f t="shared" ref="Y247:Y264" si="140">X247*I247</f>
        <v>1412.5644</v>
      </c>
      <c r="Z247" s="778"/>
      <c r="AA247" s="744" t="s">
        <v>63</v>
      </c>
      <c r="AB247" s="744" t="s">
        <v>38</v>
      </c>
      <c r="AC247" s="778">
        <v>1512</v>
      </c>
      <c r="AD247" s="778">
        <f t="shared" ref="AD247:AD262" si="141">AC247-I247</f>
        <v>1044</v>
      </c>
      <c r="AE247" s="727" t="s">
        <v>327</v>
      </c>
      <c r="AG247" s="776">
        <f t="shared" ref="AG247:AG253" si="142">I247/3</f>
        <v>156</v>
      </c>
      <c r="AH247" s="776">
        <f t="shared" ref="AH247:AH253" si="143">I247/3</f>
        <v>156</v>
      </c>
      <c r="AI247" s="776">
        <f t="shared" ref="AI247:AI253" si="144">I247/3</f>
        <v>156</v>
      </c>
      <c r="AJ247" s="776"/>
      <c r="AK247" s="776"/>
      <c r="AL247" s="776"/>
      <c r="AM247" s="800"/>
      <c r="AN247" s="800"/>
      <c r="AO247" s="800"/>
      <c r="AP247" s="800">
        <f t="shared" ref="AP247:AP264" si="145">I247</f>
        <v>468</v>
      </c>
      <c r="AQ247" s="800"/>
      <c r="AR247" s="800"/>
      <c r="AS247" s="800"/>
      <c r="AT247" s="800">
        <f t="shared" ref="AT247:AT253" si="146">I247</f>
        <v>468</v>
      </c>
      <c r="AU247" s="800"/>
      <c r="AV247" s="800"/>
      <c r="AW247" s="800"/>
      <c r="AX247" s="800"/>
      <c r="AY247" s="776"/>
      <c r="AZ247" s="776"/>
      <c r="BA247" s="776"/>
      <c r="BB247" s="776"/>
      <c r="BC247" s="727"/>
      <c r="BD247" s="712" t="s">
        <v>3576</v>
      </c>
      <c r="BE247" s="712" t="s">
        <v>3576</v>
      </c>
    </row>
    <row r="248" s="693" customFormat="1" ht="31" customHeight="1" spans="1:57">
      <c r="A248" s="810">
        <v>45042</v>
      </c>
      <c r="B248" s="791" t="s">
        <v>2304</v>
      </c>
      <c r="C248" s="789" t="s">
        <v>258</v>
      </c>
      <c r="D248" s="791">
        <v>4500102110</v>
      </c>
      <c r="E248" s="746">
        <v>19442080</v>
      </c>
      <c r="F248" s="791" t="s">
        <v>3726</v>
      </c>
      <c r="G248" s="791" t="s">
        <v>3569</v>
      </c>
      <c r="H248" s="789" t="s">
        <v>2119</v>
      </c>
      <c r="I248" s="881">
        <v>36</v>
      </c>
      <c r="J248" s="791">
        <v>0</v>
      </c>
      <c r="K248" s="791">
        <v>12</v>
      </c>
      <c r="L248" s="746">
        <f t="shared" si="139"/>
        <v>3</v>
      </c>
      <c r="M248" s="829">
        <v>45096</v>
      </c>
      <c r="N248" s="829">
        <v>45092</v>
      </c>
      <c r="O248" s="868"/>
      <c r="P248" s="869" t="s">
        <v>1480</v>
      </c>
      <c r="Q248" s="890" t="s">
        <v>3727</v>
      </c>
      <c r="R248" s="775">
        <v>45064</v>
      </c>
      <c r="S248" s="775" t="s">
        <v>2112</v>
      </c>
      <c r="T248" s="775">
        <v>45075</v>
      </c>
      <c r="U248" s="789" t="s">
        <v>3572</v>
      </c>
      <c r="V248" s="795" t="s">
        <v>3728</v>
      </c>
      <c r="W248" s="789" t="s">
        <v>3574</v>
      </c>
      <c r="X248" s="751">
        <v>3.1477</v>
      </c>
      <c r="Y248" s="745">
        <f t="shared" si="140"/>
        <v>113.3172</v>
      </c>
      <c r="Z248" s="832"/>
      <c r="AA248" s="775" t="s">
        <v>63</v>
      </c>
      <c r="AB248" s="775" t="s">
        <v>38</v>
      </c>
      <c r="AC248" s="832">
        <v>36</v>
      </c>
      <c r="AD248" s="832">
        <f t="shared" si="141"/>
        <v>0</v>
      </c>
      <c r="AE248" s="836" t="s">
        <v>327</v>
      </c>
      <c r="AF248" s="696"/>
      <c r="AG248" s="786">
        <f t="shared" si="142"/>
        <v>12</v>
      </c>
      <c r="AH248" s="786">
        <f t="shared" si="143"/>
        <v>12</v>
      </c>
      <c r="AI248" s="786">
        <f t="shared" si="144"/>
        <v>12</v>
      </c>
      <c r="AJ248" s="786"/>
      <c r="AK248" s="786"/>
      <c r="AL248" s="786"/>
      <c r="AM248" s="801"/>
      <c r="AN248" s="801"/>
      <c r="AO248" s="801"/>
      <c r="AP248" s="801">
        <f t="shared" si="145"/>
        <v>36</v>
      </c>
      <c r="AQ248" s="801"/>
      <c r="AR248" s="801"/>
      <c r="AS248" s="801"/>
      <c r="AT248" s="801">
        <f t="shared" si="146"/>
        <v>36</v>
      </c>
      <c r="AU248" s="801"/>
      <c r="AV248" s="801"/>
      <c r="AW248" s="801"/>
      <c r="AX248" s="801"/>
      <c r="AY248" s="786"/>
      <c r="AZ248" s="898"/>
      <c r="BA248" s="898"/>
      <c r="BB248" s="786"/>
      <c r="BC248" s="899"/>
      <c r="BD248" s="789" t="s">
        <v>3576</v>
      </c>
      <c r="BE248" s="789" t="s">
        <v>3576</v>
      </c>
    </row>
    <row r="249" s="693" customFormat="1" ht="31" customHeight="1" spans="1:57">
      <c r="A249" s="810">
        <v>45063</v>
      </c>
      <c r="B249" s="791" t="s">
        <v>1486</v>
      </c>
      <c r="C249" s="789" t="s">
        <v>398</v>
      </c>
      <c r="D249" s="791">
        <v>4500103924</v>
      </c>
      <c r="E249" s="746" t="s">
        <v>3640</v>
      </c>
      <c r="F249" s="791" t="s">
        <v>3729</v>
      </c>
      <c r="G249" s="791" t="s">
        <v>3641</v>
      </c>
      <c r="H249" s="712" t="s">
        <v>3414</v>
      </c>
      <c r="I249" s="791">
        <v>96</v>
      </c>
      <c r="J249" s="711">
        <v>0</v>
      </c>
      <c r="K249" s="711">
        <v>8</v>
      </c>
      <c r="L249" s="698">
        <f t="shared" si="139"/>
        <v>12</v>
      </c>
      <c r="M249" s="829">
        <v>45093</v>
      </c>
      <c r="N249" s="829">
        <v>45089</v>
      </c>
      <c r="O249" s="868"/>
      <c r="P249" s="869" t="s">
        <v>1480</v>
      </c>
      <c r="Q249" s="890" t="s">
        <v>3730</v>
      </c>
      <c r="R249" s="775">
        <v>45070</v>
      </c>
      <c r="S249" s="775" t="s">
        <v>2112</v>
      </c>
      <c r="T249" s="775">
        <v>45076</v>
      </c>
      <c r="U249" s="789" t="s">
        <v>3644</v>
      </c>
      <c r="V249" s="795" t="s">
        <v>3645</v>
      </c>
      <c r="W249" s="789" t="s">
        <v>975</v>
      </c>
      <c r="X249" s="819">
        <v>9.9249</v>
      </c>
      <c r="Y249" s="725">
        <f t="shared" si="140"/>
        <v>952.7904</v>
      </c>
      <c r="Z249" s="832"/>
      <c r="AA249" s="775" t="s">
        <v>63</v>
      </c>
      <c r="AB249" s="775" t="s">
        <v>38</v>
      </c>
      <c r="AC249" s="832">
        <v>96</v>
      </c>
      <c r="AD249" s="832">
        <f t="shared" si="141"/>
        <v>0</v>
      </c>
      <c r="AE249" s="836"/>
      <c r="AF249" s="696"/>
      <c r="AG249" s="776">
        <f>I249</f>
        <v>96</v>
      </c>
      <c r="AH249" s="776">
        <f>I249</f>
        <v>96</v>
      </c>
      <c r="AI249" s="776">
        <f>I249</f>
        <v>96</v>
      </c>
      <c r="AJ249" s="786"/>
      <c r="AK249" s="786"/>
      <c r="AL249" s="786"/>
      <c r="AM249" s="801"/>
      <c r="AN249" s="801"/>
      <c r="AO249" s="801"/>
      <c r="AP249" s="801">
        <f>I249*3</f>
        <v>288</v>
      </c>
      <c r="AQ249" s="801"/>
      <c r="AR249" s="801"/>
      <c r="AS249" s="801"/>
      <c r="AT249" s="801"/>
      <c r="AU249" s="801"/>
      <c r="AV249" s="801"/>
      <c r="AW249" s="801">
        <f>I249*3</f>
        <v>288</v>
      </c>
      <c r="AX249" s="801"/>
      <c r="AY249" s="786"/>
      <c r="AZ249" s="898"/>
      <c r="BA249" s="898"/>
      <c r="BB249" s="776"/>
      <c r="BC249" s="899"/>
      <c r="BD249" s="712" t="s">
        <v>3576</v>
      </c>
      <c r="BE249" s="712" t="s">
        <v>3576</v>
      </c>
    </row>
    <row r="250" s="693" customFormat="1" ht="31" customHeight="1" spans="1:57">
      <c r="A250" s="810">
        <v>45061</v>
      </c>
      <c r="B250" s="789" t="s">
        <v>1937</v>
      </c>
      <c r="C250" s="712" t="s">
        <v>1938</v>
      </c>
      <c r="D250" s="791">
        <v>4500103216</v>
      </c>
      <c r="E250" s="789" t="s">
        <v>3731</v>
      </c>
      <c r="F250" s="791" t="s">
        <v>3732</v>
      </c>
      <c r="G250" s="791" t="s">
        <v>3569</v>
      </c>
      <c r="H250" s="712" t="s">
        <v>2119</v>
      </c>
      <c r="I250" s="881">
        <v>720</v>
      </c>
      <c r="J250" s="711">
        <v>0</v>
      </c>
      <c r="K250" s="711">
        <v>12</v>
      </c>
      <c r="L250" s="698">
        <f t="shared" si="139"/>
        <v>60</v>
      </c>
      <c r="M250" s="829" t="s">
        <v>3733</v>
      </c>
      <c r="N250" s="829" t="s">
        <v>3734</v>
      </c>
      <c r="O250" s="868"/>
      <c r="P250" s="869" t="s">
        <v>3735</v>
      </c>
      <c r="Q250" s="890" t="s">
        <v>3730</v>
      </c>
      <c r="R250" s="775">
        <v>45058</v>
      </c>
      <c r="S250" s="775" t="s">
        <v>58</v>
      </c>
      <c r="T250" s="775">
        <v>45064</v>
      </c>
      <c r="U250" s="789" t="s">
        <v>3681</v>
      </c>
      <c r="V250" s="795" t="s">
        <v>3736</v>
      </c>
      <c r="W250" s="791" t="s">
        <v>690</v>
      </c>
      <c r="X250" s="819">
        <v>2.9668</v>
      </c>
      <c r="Y250" s="725">
        <f t="shared" si="140"/>
        <v>2136.096</v>
      </c>
      <c r="Z250" s="832"/>
      <c r="AA250" s="775" t="s">
        <v>63</v>
      </c>
      <c r="AB250" s="775" t="s">
        <v>38</v>
      </c>
      <c r="AC250" s="832">
        <v>720</v>
      </c>
      <c r="AD250" s="832">
        <f t="shared" si="141"/>
        <v>0</v>
      </c>
      <c r="AE250" s="836" t="s">
        <v>327</v>
      </c>
      <c r="AF250" s="696"/>
      <c r="AG250" s="776">
        <f t="shared" si="142"/>
        <v>240</v>
      </c>
      <c r="AH250" s="776">
        <f t="shared" si="143"/>
        <v>240</v>
      </c>
      <c r="AI250" s="776">
        <f t="shared" si="144"/>
        <v>240</v>
      </c>
      <c r="AJ250" s="786"/>
      <c r="AK250" s="786"/>
      <c r="AL250" s="786"/>
      <c r="AM250" s="801"/>
      <c r="AN250" s="801"/>
      <c r="AO250" s="801"/>
      <c r="AP250" s="801">
        <f t="shared" si="145"/>
        <v>720</v>
      </c>
      <c r="AQ250" s="801"/>
      <c r="AR250" s="801"/>
      <c r="AS250" s="801"/>
      <c r="AT250" s="801">
        <f t="shared" si="146"/>
        <v>720</v>
      </c>
      <c r="AU250" s="801"/>
      <c r="AV250" s="801"/>
      <c r="AW250" s="801"/>
      <c r="AX250" s="801"/>
      <c r="AY250" s="786"/>
      <c r="AZ250" s="898"/>
      <c r="BA250" s="898"/>
      <c r="BB250" s="776"/>
      <c r="BC250" s="899"/>
      <c r="BD250" s="712" t="s">
        <v>3576</v>
      </c>
      <c r="BE250" s="712" t="s">
        <v>3576</v>
      </c>
    </row>
    <row r="251" s="693" customFormat="1" ht="31" customHeight="1" spans="1:57">
      <c r="A251" s="810">
        <v>45057</v>
      </c>
      <c r="B251" s="789" t="s">
        <v>2304</v>
      </c>
      <c r="C251" s="712" t="s">
        <v>258</v>
      </c>
      <c r="D251" s="791">
        <v>4500103370</v>
      </c>
      <c r="E251" s="789">
        <v>19450431</v>
      </c>
      <c r="F251" s="791" t="s">
        <v>3737</v>
      </c>
      <c r="G251" s="791" t="s">
        <v>3569</v>
      </c>
      <c r="H251" s="712" t="s">
        <v>2119</v>
      </c>
      <c r="I251" s="881">
        <v>180</v>
      </c>
      <c r="J251" s="711">
        <v>0</v>
      </c>
      <c r="K251" s="711">
        <v>12</v>
      </c>
      <c r="L251" s="698">
        <f t="shared" si="139"/>
        <v>15</v>
      </c>
      <c r="M251" s="829">
        <v>45103</v>
      </c>
      <c r="N251" s="829">
        <v>45099</v>
      </c>
      <c r="O251" s="868"/>
      <c r="P251" s="869" t="s">
        <v>3735</v>
      </c>
      <c r="Q251" s="896" t="s">
        <v>3730</v>
      </c>
      <c r="R251" s="775">
        <v>45072</v>
      </c>
      <c r="S251" s="775" t="s">
        <v>2112</v>
      </c>
      <c r="T251" s="775">
        <v>45082</v>
      </c>
      <c r="U251" s="789" t="s">
        <v>3572</v>
      </c>
      <c r="V251" s="795" t="s">
        <v>3738</v>
      </c>
      <c r="W251" s="791" t="s">
        <v>3574</v>
      </c>
      <c r="X251" s="819">
        <v>3.1477</v>
      </c>
      <c r="Y251" s="725">
        <f t="shared" si="140"/>
        <v>566.586</v>
      </c>
      <c r="Z251" s="832"/>
      <c r="AA251" s="775" t="s">
        <v>63</v>
      </c>
      <c r="AB251" s="775" t="s">
        <v>38</v>
      </c>
      <c r="AC251" s="832">
        <v>180</v>
      </c>
      <c r="AD251" s="832">
        <f t="shared" si="141"/>
        <v>0</v>
      </c>
      <c r="AE251" s="836" t="s">
        <v>327</v>
      </c>
      <c r="AF251" s="696"/>
      <c r="AG251" s="776">
        <f t="shared" si="142"/>
        <v>60</v>
      </c>
      <c r="AH251" s="776">
        <f t="shared" si="143"/>
        <v>60</v>
      </c>
      <c r="AI251" s="776">
        <f t="shared" si="144"/>
        <v>60</v>
      </c>
      <c r="AJ251" s="786"/>
      <c r="AK251" s="786"/>
      <c r="AL251" s="786"/>
      <c r="AM251" s="801"/>
      <c r="AN251" s="801"/>
      <c r="AO251" s="801"/>
      <c r="AP251" s="801">
        <f t="shared" si="145"/>
        <v>180</v>
      </c>
      <c r="AQ251" s="801"/>
      <c r="AR251" s="801"/>
      <c r="AS251" s="801"/>
      <c r="AT251" s="801">
        <f t="shared" si="146"/>
        <v>180</v>
      </c>
      <c r="AU251" s="801"/>
      <c r="AV251" s="801"/>
      <c r="AW251" s="801"/>
      <c r="AX251" s="801"/>
      <c r="AY251" s="786"/>
      <c r="AZ251" s="898"/>
      <c r="BA251" s="898"/>
      <c r="BB251" s="776"/>
      <c r="BC251" s="899"/>
      <c r="BD251" s="712" t="s">
        <v>3576</v>
      </c>
      <c r="BE251" s="712" t="s">
        <v>3576</v>
      </c>
    </row>
    <row r="252" s="693" customFormat="1" ht="31" customHeight="1" spans="1:57">
      <c r="A252" s="810">
        <v>45057</v>
      </c>
      <c r="B252" s="789" t="s">
        <v>2297</v>
      </c>
      <c r="C252" s="712" t="s">
        <v>876</v>
      </c>
      <c r="D252" s="791">
        <v>4500103368</v>
      </c>
      <c r="E252" s="789">
        <v>19450430</v>
      </c>
      <c r="F252" s="791" t="s">
        <v>3739</v>
      </c>
      <c r="G252" s="791" t="s">
        <v>3569</v>
      </c>
      <c r="H252" s="712" t="s">
        <v>2119</v>
      </c>
      <c r="I252" s="881">
        <v>828</v>
      </c>
      <c r="J252" s="711">
        <v>0</v>
      </c>
      <c r="K252" s="711">
        <v>12</v>
      </c>
      <c r="L252" s="698">
        <f t="shared" si="139"/>
        <v>69</v>
      </c>
      <c r="M252" s="829">
        <v>45103</v>
      </c>
      <c r="N252" s="829">
        <v>45099</v>
      </c>
      <c r="O252" s="868"/>
      <c r="P252" s="869" t="s">
        <v>3735</v>
      </c>
      <c r="Q252" s="896"/>
      <c r="R252" s="775">
        <v>45072</v>
      </c>
      <c r="S252" s="775" t="s">
        <v>2112</v>
      </c>
      <c r="T252" s="775">
        <v>45082</v>
      </c>
      <c r="U252" s="789" t="s">
        <v>3572</v>
      </c>
      <c r="V252" s="795" t="s">
        <v>3740</v>
      </c>
      <c r="W252" s="791" t="s">
        <v>3574</v>
      </c>
      <c r="X252" s="819">
        <v>3.1477</v>
      </c>
      <c r="Y252" s="725">
        <f t="shared" si="140"/>
        <v>2606.2956</v>
      </c>
      <c r="Z252" s="832"/>
      <c r="AA252" s="775" t="s">
        <v>63</v>
      </c>
      <c r="AB252" s="775" t="s">
        <v>38</v>
      </c>
      <c r="AC252" s="832">
        <v>828</v>
      </c>
      <c r="AD252" s="832">
        <f t="shared" si="141"/>
        <v>0</v>
      </c>
      <c r="AE252" s="836" t="s">
        <v>327</v>
      </c>
      <c r="AF252" s="696"/>
      <c r="AG252" s="776">
        <f t="shared" si="142"/>
        <v>276</v>
      </c>
      <c r="AH252" s="776">
        <f t="shared" si="143"/>
        <v>276</v>
      </c>
      <c r="AI252" s="776">
        <f t="shared" si="144"/>
        <v>276</v>
      </c>
      <c r="AJ252" s="786"/>
      <c r="AK252" s="786"/>
      <c r="AL252" s="786"/>
      <c r="AM252" s="801"/>
      <c r="AN252" s="801"/>
      <c r="AO252" s="801"/>
      <c r="AP252" s="801">
        <f t="shared" si="145"/>
        <v>828</v>
      </c>
      <c r="AQ252" s="801"/>
      <c r="AR252" s="801"/>
      <c r="AS252" s="801"/>
      <c r="AT252" s="801">
        <f t="shared" si="146"/>
        <v>828</v>
      </c>
      <c r="AU252" s="801"/>
      <c r="AV252" s="801"/>
      <c r="AW252" s="801"/>
      <c r="AX252" s="801"/>
      <c r="AY252" s="786"/>
      <c r="AZ252" s="898"/>
      <c r="BA252" s="898"/>
      <c r="BB252" s="776"/>
      <c r="BC252" s="899"/>
      <c r="BD252" s="712" t="s">
        <v>3576</v>
      </c>
      <c r="BE252" s="712" t="s">
        <v>3576</v>
      </c>
    </row>
    <row r="253" s="693" customFormat="1" ht="31" customHeight="1" spans="1:57">
      <c r="A253" s="810">
        <v>45065</v>
      </c>
      <c r="B253" s="791" t="s">
        <v>2297</v>
      </c>
      <c r="C253" s="789" t="s">
        <v>876</v>
      </c>
      <c r="D253" s="791">
        <v>4500104115</v>
      </c>
      <c r="E253" s="696">
        <v>19476936</v>
      </c>
      <c r="F253" s="791" t="s">
        <v>3741</v>
      </c>
      <c r="G253" s="791" t="s">
        <v>3569</v>
      </c>
      <c r="H253" s="712" t="s">
        <v>2119</v>
      </c>
      <c r="I253" s="791">
        <v>1020</v>
      </c>
      <c r="J253" s="711">
        <v>0</v>
      </c>
      <c r="K253" s="711">
        <v>12</v>
      </c>
      <c r="L253" s="698">
        <f t="shared" si="139"/>
        <v>85</v>
      </c>
      <c r="M253" s="829">
        <v>45110</v>
      </c>
      <c r="N253" s="829">
        <v>45106</v>
      </c>
      <c r="O253" s="868"/>
      <c r="P253" s="869" t="s">
        <v>3735</v>
      </c>
      <c r="Q253" s="890"/>
      <c r="R253" s="775">
        <v>45080</v>
      </c>
      <c r="S253" s="775" t="s">
        <v>2112</v>
      </c>
      <c r="T253" s="775">
        <v>45089</v>
      </c>
      <c r="U253" s="789" t="s">
        <v>3572</v>
      </c>
      <c r="V253" s="795" t="s">
        <v>3742</v>
      </c>
      <c r="W253" s="746" t="s">
        <v>3574</v>
      </c>
      <c r="X253" s="819">
        <v>3.0183</v>
      </c>
      <c r="Y253" s="725">
        <f t="shared" si="140"/>
        <v>3078.666</v>
      </c>
      <c r="Z253" s="832"/>
      <c r="AA253" s="775" t="s">
        <v>63</v>
      </c>
      <c r="AB253" s="775" t="s">
        <v>38</v>
      </c>
      <c r="AC253" s="832">
        <v>1020</v>
      </c>
      <c r="AD253" s="832">
        <f t="shared" si="141"/>
        <v>0</v>
      </c>
      <c r="AE253" s="836" t="s">
        <v>327</v>
      </c>
      <c r="AF253" s="696"/>
      <c r="AG253" s="786">
        <f t="shared" si="142"/>
        <v>340</v>
      </c>
      <c r="AH253" s="786">
        <f t="shared" si="143"/>
        <v>340</v>
      </c>
      <c r="AI253" s="776">
        <f t="shared" si="144"/>
        <v>340</v>
      </c>
      <c r="AJ253" s="786"/>
      <c r="AK253" s="786"/>
      <c r="AL253" s="786"/>
      <c r="AM253" s="801"/>
      <c r="AN253" s="801"/>
      <c r="AO253" s="801"/>
      <c r="AP253" s="801">
        <f t="shared" si="145"/>
        <v>1020</v>
      </c>
      <c r="AQ253" s="801"/>
      <c r="AR253" s="801"/>
      <c r="AS253" s="801"/>
      <c r="AT253" s="801">
        <f t="shared" si="146"/>
        <v>1020</v>
      </c>
      <c r="AU253" s="801"/>
      <c r="AV253" s="801"/>
      <c r="AW253" s="801"/>
      <c r="AX253" s="801"/>
      <c r="AY253" s="786"/>
      <c r="AZ253" s="898"/>
      <c r="BA253" s="898"/>
      <c r="BB253" s="776"/>
      <c r="BC253" s="899"/>
      <c r="BD253" s="712" t="s">
        <v>3576</v>
      </c>
      <c r="BE253" s="712" t="s">
        <v>3576</v>
      </c>
    </row>
    <row r="254" s="693" customFormat="1" ht="31" customHeight="1" spans="1:57">
      <c r="A254" s="810">
        <v>45063</v>
      </c>
      <c r="B254" s="791" t="s">
        <v>1486</v>
      </c>
      <c r="C254" s="789" t="s">
        <v>398</v>
      </c>
      <c r="D254" s="791">
        <v>4500103924</v>
      </c>
      <c r="E254" s="746" t="s">
        <v>3640</v>
      </c>
      <c r="F254" s="791" t="s">
        <v>3743</v>
      </c>
      <c r="G254" s="791" t="s">
        <v>3703</v>
      </c>
      <c r="H254" s="712" t="s">
        <v>2042</v>
      </c>
      <c r="I254" s="791">
        <v>528</v>
      </c>
      <c r="J254" s="711">
        <v>0</v>
      </c>
      <c r="K254" s="711">
        <v>24</v>
      </c>
      <c r="L254" s="698">
        <f t="shared" si="139"/>
        <v>22</v>
      </c>
      <c r="M254" s="829">
        <v>45093</v>
      </c>
      <c r="N254" s="829">
        <v>45089</v>
      </c>
      <c r="O254" s="868" t="s">
        <v>1467</v>
      </c>
      <c r="P254" s="869" t="s">
        <v>1480</v>
      </c>
      <c r="Q254" s="896" t="s">
        <v>3730</v>
      </c>
      <c r="R254" s="775" t="s">
        <v>3657</v>
      </c>
      <c r="S254" s="775" t="s">
        <v>2112</v>
      </c>
      <c r="T254" s="775">
        <v>45076</v>
      </c>
      <c r="U254" s="789" t="s">
        <v>3695</v>
      </c>
      <c r="V254" s="795" t="s">
        <v>3744</v>
      </c>
      <c r="W254" s="789" t="s">
        <v>975</v>
      </c>
      <c r="X254" s="819">
        <v>2.875</v>
      </c>
      <c r="Y254" s="725">
        <f t="shared" si="140"/>
        <v>1518</v>
      </c>
      <c r="Z254" s="832"/>
      <c r="AA254" s="775" t="s">
        <v>63</v>
      </c>
      <c r="AB254" s="775" t="s">
        <v>38</v>
      </c>
      <c r="AC254" s="832">
        <v>528</v>
      </c>
      <c r="AD254" s="832">
        <f t="shared" si="141"/>
        <v>0</v>
      </c>
      <c r="AE254" s="836"/>
      <c r="AF254" s="696"/>
      <c r="AG254" s="776"/>
      <c r="AH254" s="776"/>
      <c r="AI254" s="776">
        <f t="shared" ref="AI254:AI257" si="147">I254</f>
        <v>528</v>
      </c>
      <c r="AJ254" s="786"/>
      <c r="AK254" s="786"/>
      <c r="AL254" s="786"/>
      <c r="AM254" s="801"/>
      <c r="AN254" s="801"/>
      <c r="AO254" s="801"/>
      <c r="AP254" s="801">
        <f t="shared" si="145"/>
        <v>528</v>
      </c>
      <c r="AQ254" s="801"/>
      <c r="AR254" s="801"/>
      <c r="AS254" s="801"/>
      <c r="AT254" s="801"/>
      <c r="AU254" s="801"/>
      <c r="AV254" s="801"/>
      <c r="AW254" s="801"/>
      <c r="AX254" s="801"/>
      <c r="AY254" s="786"/>
      <c r="AZ254" s="898"/>
      <c r="BA254" s="898">
        <f t="shared" ref="BA254:BA262" si="148">I254</f>
        <v>528</v>
      </c>
      <c r="BB254" s="776"/>
      <c r="BC254" s="899"/>
      <c r="BD254" s="712" t="s">
        <v>3576</v>
      </c>
      <c r="BE254" s="712" t="s">
        <v>3576</v>
      </c>
    </row>
    <row r="255" s="693" customFormat="1" ht="31" customHeight="1" spans="1:57">
      <c r="A255" s="810">
        <v>45063</v>
      </c>
      <c r="B255" s="791" t="s">
        <v>1486</v>
      </c>
      <c r="C255" s="789" t="s">
        <v>398</v>
      </c>
      <c r="D255" s="791">
        <v>4500103924</v>
      </c>
      <c r="E255" s="746" t="s">
        <v>3640</v>
      </c>
      <c r="F255" s="791" t="s">
        <v>3745</v>
      </c>
      <c r="G255" s="791" t="s">
        <v>3703</v>
      </c>
      <c r="H255" s="712" t="s">
        <v>2042</v>
      </c>
      <c r="I255" s="791">
        <v>72</v>
      </c>
      <c r="J255" s="711">
        <v>0</v>
      </c>
      <c r="K255" s="711">
        <v>24</v>
      </c>
      <c r="L255" s="698">
        <f t="shared" si="139"/>
        <v>3</v>
      </c>
      <c r="M255" s="829">
        <v>45093</v>
      </c>
      <c r="N255" s="829">
        <v>45089</v>
      </c>
      <c r="O255" s="868" t="s">
        <v>1467</v>
      </c>
      <c r="P255" s="869" t="s">
        <v>1480</v>
      </c>
      <c r="Q255" s="896"/>
      <c r="R255" s="775" t="s">
        <v>3657</v>
      </c>
      <c r="S255" s="775" t="s">
        <v>2112</v>
      </c>
      <c r="T255" s="775">
        <v>45076</v>
      </c>
      <c r="U255" s="789" t="s">
        <v>3695</v>
      </c>
      <c r="V255" s="795" t="s">
        <v>3744</v>
      </c>
      <c r="W255" s="789" t="s">
        <v>975</v>
      </c>
      <c r="X255" s="819">
        <v>2.875</v>
      </c>
      <c r="Y255" s="725">
        <f t="shared" si="140"/>
        <v>207</v>
      </c>
      <c r="Z255" s="832"/>
      <c r="AA255" s="775" t="s">
        <v>63</v>
      </c>
      <c r="AB255" s="775" t="s">
        <v>38</v>
      </c>
      <c r="AC255" s="832">
        <v>72</v>
      </c>
      <c r="AD255" s="832">
        <f t="shared" si="141"/>
        <v>0</v>
      </c>
      <c r="AE255" s="836"/>
      <c r="AF255" s="696"/>
      <c r="AG255" s="776"/>
      <c r="AH255" s="776"/>
      <c r="AI255" s="776">
        <f t="shared" si="147"/>
        <v>72</v>
      </c>
      <c r="AJ255" s="786"/>
      <c r="AK255" s="786"/>
      <c r="AL255" s="786"/>
      <c r="AM255" s="801"/>
      <c r="AN255" s="801"/>
      <c r="AO255" s="801"/>
      <c r="AP255" s="801">
        <f t="shared" si="145"/>
        <v>72</v>
      </c>
      <c r="AQ255" s="801"/>
      <c r="AR255" s="801"/>
      <c r="AS255" s="801"/>
      <c r="AT255" s="801"/>
      <c r="AU255" s="801"/>
      <c r="AV255" s="801"/>
      <c r="AW255" s="801"/>
      <c r="AX255" s="801"/>
      <c r="AY255" s="786"/>
      <c r="AZ255" s="898"/>
      <c r="BA255" s="898">
        <f t="shared" si="148"/>
        <v>72</v>
      </c>
      <c r="BB255" s="776"/>
      <c r="BC255" s="899"/>
      <c r="BD255" s="712" t="s">
        <v>3576</v>
      </c>
      <c r="BE255" s="712" t="s">
        <v>3576</v>
      </c>
    </row>
    <row r="256" s="693" customFormat="1" ht="31" customHeight="1" spans="1:57">
      <c r="A256" s="810">
        <v>45063</v>
      </c>
      <c r="B256" s="791" t="s">
        <v>1486</v>
      </c>
      <c r="C256" s="789" t="s">
        <v>398</v>
      </c>
      <c r="D256" s="791">
        <v>4500103924</v>
      </c>
      <c r="E256" s="746" t="s">
        <v>3640</v>
      </c>
      <c r="F256" s="791" t="s">
        <v>3746</v>
      </c>
      <c r="G256" s="791" t="s">
        <v>3703</v>
      </c>
      <c r="H256" s="712" t="s">
        <v>2042</v>
      </c>
      <c r="I256" s="791">
        <v>24</v>
      </c>
      <c r="J256" s="711">
        <v>0</v>
      </c>
      <c r="K256" s="711">
        <v>24</v>
      </c>
      <c r="L256" s="698">
        <f t="shared" si="139"/>
        <v>1</v>
      </c>
      <c r="M256" s="829">
        <v>45093</v>
      </c>
      <c r="N256" s="829">
        <v>45089</v>
      </c>
      <c r="O256" s="868" t="s">
        <v>1467</v>
      </c>
      <c r="P256" s="869" t="s">
        <v>1480</v>
      </c>
      <c r="Q256" s="896"/>
      <c r="R256" s="775" t="s">
        <v>3657</v>
      </c>
      <c r="S256" s="775" t="s">
        <v>2112</v>
      </c>
      <c r="T256" s="775">
        <v>45076</v>
      </c>
      <c r="U256" s="789" t="s">
        <v>3695</v>
      </c>
      <c r="V256" s="795" t="s">
        <v>3744</v>
      </c>
      <c r="W256" s="789" t="s">
        <v>975</v>
      </c>
      <c r="X256" s="819">
        <v>2.875</v>
      </c>
      <c r="Y256" s="725">
        <f t="shared" si="140"/>
        <v>69</v>
      </c>
      <c r="Z256" s="832"/>
      <c r="AA256" s="775" t="s">
        <v>63</v>
      </c>
      <c r="AB256" s="775" t="s">
        <v>38</v>
      </c>
      <c r="AC256" s="832">
        <v>24</v>
      </c>
      <c r="AD256" s="832">
        <f t="shared" si="141"/>
        <v>0</v>
      </c>
      <c r="AE256" s="836"/>
      <c r="AF256" s="696"/>
      <c r="AG256" s="776"/>
      <c r="AH256" s="776"/>
      <c r="AI256" s="776">
        <f t="shared" si="147"/>
        <v>24</v>
      </c>
      <c r="AJ256" s="786"/>
      <c r="AK256" s="786"/>
      <c r="AL256" s="786"/>
      <c r="AM256" s="801"/>
      <c r="AN256" s="801"/>
      <c r="AO256" s="801"/>
      <c r="AP256" s="801">
        <f t="shared" si="145"/>
        <v>24</v>
      </c>
      <c r="AQ256" s="801"/>
      <c r="AR256" s="801"/>
      <c r="AS256" s="801"/>
      <c r="AT256" s="801"/>
      <c r="AU256" s="801"/>
      <c r="AV256" s="801"/>
      <c r="AW256" s="801"/>
      <c r="AX256" s="801"/>
      <c r="AY256" s="786"/>
      <c r="AZ256" s="898"/>
      <c r="BA256" s="898">
        <f t="shared" si="148"/>
        <v>24</v>
      </c>
      <c r="BB256" s="776"/>
      <c r="BC256" s="899"/>
      <c r="BD256" s="712" t="s">
        <v>3576</v>
      </c>
      <c r="BE256" s="712" t="s">
        <v>3576</v>
      </c>
    </row>
    <row r="257" s="693" customFormat="1" ht="31" customHeight="1" spans="1:57">
      <c r="A257" s="810">
        <v>45063</v>
      </c>
      <c r="B257" s="791" t="s">
        <v>1486</v>
      </c>
      <c r="C257" s="789" t="s">
        <v>398</v>
      </c>
      <c r="D257" s="791">
        <v>4500103923</v>
      </c>
      <c r="E257" s="746" t="s">
        <v>3747</v>
      </c>
      <c r="F257" s="791" t="s">
        <v>3748</v>
      </c>
      <c r="G257" s="791" t="s">
        <v>3703</v>
      </c>
      <c r="H257" s="712" t="s">
        <v>2042</v>
      </c>
      <c r="I257" s="791">
        <v>120</v>
      </c>
      <c r="J257" s="711">
        <v>0</v>
      </c>
      <c r="K257" s="711">
        <v>24</v>
      </c>
      <c r="L257" s="698">
        <f t="shared" si="139"/>
        <v>5</v>
      </c>
      <c r="M257" s="829">
        <v>45093</v>
      </c>
      <c r="N257" s="829">
        <v>45089</v>
      </c>
      <c r="O257" s="868" t="s">
        <v>1467</v>
      </c>
      <c r="P257" s="869" t="s">
        <v>1480</v>
      </c>
      <c r="Q257" s="896"/>
      <c r="R257" s="775" t="s">
        <v>3657</v>
      </c>
      <c r="S257" s="775" t="s">
        <v>2112</v>
      </c>
      <c r="T257" s="775">
        <v>45076</v>
      </c>
      <c r="U257" s="789" t="s">
        <v>3695</v>
      </c>
      <c r="V257" s="795" t="s">
        <v>3749</v>
      </c>
      <c r="W257" s="789" t="s">
        <v>975</v>
      </c>
      <c r="X257" s="819">
        <v>2.981</v>
      </c>
      <c r="Y257" s="725">
        <f t="shared" si="140"/>
        <v>357.72</v>
      </c>
      <c r="Z257" s="832"/>
      <c r="AA257" s="775" t="s">
        <v>63</v>
      </c>
      <c r="AB257" s="775" t="s">
        <v>38</v>
      </c>
      <c r="AC257" s="832">
        <v>120</v>
      </c>
      <c r="AD257" s="832">
        <f t="shared" si="141"/>
        <v>0</v>
      </c>
      <c r="AE257" s="836"/>
      <c r="AF257" s="696"/>
      <c r="AG257" s="776"/>
      <c r="AH257" s="776"/>
      <c r="AI257" s="776">
        <f t="shared" si="147"/>
        <v>120</v>
      </c>
      <c r="AJ257" s="786"/>
      <c r="AK257" s="786"/>
      <c r="AL257" s="786"/>
      <c r="AM257" s="801"/>
      <c r="AN257" s="801"/>
      <c r="AO257" s="801"/>
      <c r="AP257" s="801">
        <f t="shared" si="145"/>
        <v>120</v>
      </c>
      <c r="AQ257" s="801"/>
      <c r="AR257" s="801"/>
      <c r="AS257" s="801"/>
      <c r="AT257" s="801"/>
      <c r="AU257" s="801"/>
      <c r="AV257" s="801"/>
      <c r="AW257" s="801"/>
      <c r="AX257" s="801"/>
      <c r="AY257" s="786"/>
      <c r="AZ257" s="898"/>
      <c r="BA257" s="898">
        <f t="shared" si="148"/>
        <v>120</v>
      </c>
      <c r="BB257" s="776"/>
      <c r="BC257" s="899"/>
      <c r="BD257" s="712" t="s">
        <v>3576</v>
      </c>
      <c r="BE257" s="712" t="s">
        <v>3576</v>
      </c>
    </row>
    <row r="258" s="693" customFormat="1" ht="31" customHeight="1" spans="1:57">
      <c r="A258" s="810">
        <v>45063</v>
      </c>
      <c r="B258" s="791" t="s">
        <v>1486</v>
      </c>
      <c r="C258" s="789" t="s">
        <v>398</v>
      </c>
      <c r="D258" s="791">
        <v>4500103924</v>
      </c>
      <c r="E258" s="746" t="s">
        <v>3640</v>
      </c>
      <c r="F258" s="791" t="s">
        <v>3750</v>
      </c>
      <c r="G258" s="791" t="s">
        <v>3656</v>
      </c>
      <c r="H258" s="712" t="s">
        <v>2052</v>
      </c>
      <c r="I258" s="791">
        <v>624</v>
      </c>
      <c r="J258" s="711">
        <v>0</v>
      </c>
      <c r="K258" s="711">
        <v>24</v>
      </c>
      <c r="L258" s="698">
        <f t="shared" si="139"/>
        <v>26</v>
      </c>
      <c r="M258" s="829">
        <v>45093</v>
      </c>
      <c r="N258" s="829">
        <v>45089</v>
      </c>
      <c r="O258" s="868" t="s">
        <v>1467</v>
      </c>
      <c r="P258" s="869" t="s">
        <v>1480</v>
      </c>
      <c r="Q258" s="896"/>
      <c r="R258" s="775" t="s">
        <v>3657</v>
      </c>
      <c r="S258" s="775" t="s">
        <v>2112</v>
      </c>
      <c r="T258" s="775">
        <v>45076</v>
      </c>
      <c r="U258" s="789" t="s">
        <v>3695</v>
      </c>
      <c r="V258" s="795" t="s">
        <v>3744</v>
      </c>
      <c r="W258" s="789" t="s">
        <v>975</v>
      </c>
      <c r="X258" s="819">
        <v>2.776</v>
      </c>
      <c r="Y258" s="725">
        <f t="shared" si="140"/>
        <v>1732.224</v>
      </c>
      <c r="Z258" s="832"/>
      <c r="AA258" s="775" t="s">
        <v>63</v>
      </c>
      <c r="AB258" s="775" t="s">
        <v>38</v>
      </c>
      <c r="AC258" s="832">
        <v>624</v>
      </c>
      <c r="AD258" s="832">
        <f t="shared" si="141"/>
        <v>0</v>
      </c>
      <c r="AE258" s="836"/>
      <c r="AF258" s="696"/>
      <c r="AG258" s="776">
        <f t="shared" ref="AG258:AG260" si="149">I258</f>
        <v>624</v>
      </c>
      <c r="AH258" s="776"/>
      <c r="AI258" s="776"/>
      <c r="AJ258" s="786"/>
      <c r="AK258" s="786"/>
      <c r="AL258" s="786"/>
      <c r="AM258" s="801"/>
      <c r="AN258" s="801"/>
      <c r="AO258" s="801"/>
      <c r="AP258" s="801">
        <f t="shared" si="145"/>
        <v>624</v>
      </c>
      <c r="AQ258" s="801"/>
      <c r="AR258" s="801"/>
      <c r="AS258" s="801"/>
      <c r="AT258" s="801"/>
      <c r="AU258" s="801"/>
      <c r="AV258" s="801"/>
      <c r="AW258" s="801"/>
      <c r="AX258" s="801"/>
      <c r="AY258" s="786"/>
      <c r="AZ258" s="898"/>
      <c r="BA258" s="898">
        <f t="shared" si="148"/>
        <v>624</v>
      </c>
      <c r="BB258" s="776"/>
      <c r="BC258" s="899"/>
      <c r="BD258" s="712" t="s">
        <v>3576</v>
      </c>
      <c r="BE258" s="712" t="s">
        <v>3576</v>
      </c>
    </row>
    <row r="259" s="693" customFormat="1" ht="31" customHeight="1" spans="1:57">
      <c r="A259" s="810">
        <v>45063</v>
      </c>
      <c r="B259" s="791" t="s">
        <v>1486</v>
      </c>
      <c r="C259" s="789" t="s">
        <v>398</v>
      </c>
      <c r="D259" s="791">
        <v>4500103924</v>
      </c>
      <c r="E259" s="746" t="s">
        <v>3640</v>
      </c>
      <c r="F259" s="791" t="s">
        <v>3751</v>
      </c>
      <c r="G259" s="791" t="s">
        <v>3656</v>
      </c>
      <c r="H259" s="712" t="s">
        <v>2052</v>
      </c>
      <c r="I259" s="791">
        <v>984</v>
      </c>
      <c r="J259" s="711">
        <v>0</v>
      </c>
      <c r="K259" s="711">
        <v>24</v>
      </c>
      <c r="L259" s="698">
        <f t="shared" si="139"/>
        <v>41</v>
      </c>
      <c r="M259" s="829">
        <v>45093</v>
      </c>
      <c r="N259" s="829">
        <v>45089</v>
      </c>
      <c r="O259" s="868" t="s">
        <v>1467</v>
      </c>
      <c r="P259" s="869" t="s">
        <v>1480</v>
      </c>
      <c r="Q259" s="896"/>
      <c r="R259" s="775" t="s">
        <v>3657</v>
      </c>
      <c r="S259" s="775" t="s">
        <v>2112</v>
      </c>
      <c r="T259" s="775">
        <v>45076</v>
      </c>
      <c r="U259" s="789" t="s">
        <v>3695</v>
      </c>
      <c r="V259" s="795" t="s">
        <v>3744</v>
      </c>
      <c r="W259" s="789" t="s">
        <v>975</v>
      </c>
      <c r="X259" s="819">
        <v>2.8346</v>
      </c>
      <c r="Y259" s="725">
        <f t="shared" si="140"/>
        <v>2789.2464</v>
      </c>
      <c r="Z259" s="832"/>
      <c r="AA259" s="775" t="s">
        <v>63</v>
      </c>
      <c r="AB259" s="775" t="s">
        <v>38</v>
      </c>
      <c r="AC259" s="832">
        <v>984</v>
      </c>
      <c r="AD259" s="832">
        <f t="shared" si="141"/>
        <v>0</v>
      </c>
      <c r="AE259" s="836"/>
      <c r="AF259" s="696"/>
      <c r="AG259" s="776">
        <f t="shared" si="149"/>
        <v>984</v>
      </c>
      <c r="AH259" s="776"/>
      <c r="AI259" s="776"/>
      <c r="AJ259" s="786"/>
      <c r="AK259" s="786"/>
      <c r="AL259" s="786"/>
      <c r="AM259" s="801"/>
      <c r="AN259" s="801"/>
      <c r="AO259" s="801"/>
      <c r="AP259" s="801">
        <f t="shared" si="145"/>
        <v>984</v>
      </c>
      <c r="AQ259" s="801"/>
      <c r="AR259" s="801"/>
      <c r="AS259" s="801"/>
      <c r="AT259" s="801"/>
      <c r="AU259" s="801"/>
      <c r="AV259" s="801"/>
      <c r="AW259" s="801"/>
      <c r="AX259" s="801"/>
      <c r="AY259" s="786"/>
      <c r="AZ259" s="898"/>
      <c r="BA259" s="898">
        <f t="shared" si="148"/>
        <v>984</v>
      </c>
      <c r="BB259" s="776"/>
      <c r="BC259" s="899"/>
      <c r="BD259" s="712" t="s">
        <v>3576</v>
      </c>
      <c r="BE259" s="712" t="s">
        <v>3576</v>
      </c>
    </row>
    <row r="260" s="693" customFormat="1" ht="31" customHeight="1" spans="1:57">
      <c r="A260" s="810">
        <v>45063</v>
      </c>
      <c r="B260" s="791" t="s">
        <v>1486</v>
      </c>
      <c r="C260" s="789" t="s">
        <v>398</v>
      </c>
      <c r="D260" s="791">
        <v>4500103924</v>
      </c>
      <c r="E260" s="746" t="s">
        <v>3640</v>
      </c>
      <c r="F260" s="791" t="s">
        <v>3752</v>
      </c>
      <c r="G260" s="791" t="s">
        <v>3656</v>
      </c>
      <c r="H260" s="712" t="s">
        <v>2052</v>
      </c>
      <c r="I260" s="791">
        <v>576</v>
      </c>
      <c r="J260" s="711">
        <v>0</v>
      </c>
      <c r="K260" s="711">
        <v>24</v>
      </c>
      <c r="L260" s="698">
        <f t="shared" si="139"/>
        <v>24</v>
      </c>
      <c r="M260" s="829">
        <v>45093</v>
      </c>
      <c r="N260" s="829">
        <v>45089</v>
      </c>
      <c r="O260" s="868" t="s">
        <v>1467</v>
      </c>
      <c r="P260" s="869" t="s">
        <v>1480</v>
      </c>
      <c r="Q260" s="896"/>
      <c r="R260" s="775" t="s">
        <v>3657</v>
      </c>
      <c r="S260" s="775" t="s">
        <v>2112</v>
      </c>
      <c r="T260" s="775">
        <v>45076</v>
      </c>
      <c r="U260" s="789" t="s">
        <v>3695</v>
      </c>
      <c r="V260" s="795" t="s">
        <v>3744</v>
      </c>
      <c r="W260" s="789" t="s">
        <v>975</v>
      </c>
      <c r="X260" s="819">
        <v>2.875</v>
      </c>
      <c r="Y260" s="725">
        <f t="shared" si="140"/>
        <v>1656</v>
      </c>
      <c r="Z260" s="832"/>
      <c r="AA260" s="775" t="s">
        <v>63</v>
      </c>
      <c r="AB260" s="775" t="s">
        <v>38</v>
      </c>
      <c r="AC260" s="832">
        <v>576</v>
      </c>
      <c r="AD260" s="832">
        <f t="shared" si="141"/>
        <v>0</v>
      </c>
      <c r="AE260" s="836"/>
      <c r="AF260" s="696"/>
      <c r="AG260" s="776">
        <f t="shared" si="149"/>
        <v>576</v>
      </c>
      <c r="AH260" s="776"/>
      <c r="AI260" s="776"/>
      <c r="AJ260" s="786"/>
      <c r="AK260" s="786"/>
      <c r="AL260" s="786"/>
      <c r="AM260" s="801"/>
      <c r="AN260" s="801"/>
      <c r="AO260" s="801"/>
      <c r="AP260" s="801">
        <f t="shared" si="145"/>
        <v>576</v>
      </c>
      <c r="AQ260" s="801"/>
      <c r="AR260" s="801"/>
      <c r="AS260" s="801"/>
      <c r="AT260" s="801"/>
      <c r="AU260" s="801"/>
      <c r="AV260" s="801"/>
      <c r="AW260" s="801"/>
      <c r="AX260" s="801"/>
      <c r="AY260" s="786"/>
      <c r="AZ260" s="898"/>
      <c r="BA260" s="898">
        <f t="shared" si="148"/>
        <v>576</v>
      </c>
      <c r="BB260" s="776"/>
      <c r="BC260" s="899"/>
      <c r="BD260" s="712" t="s">
        <v>3576</v>
      </c>
      <c r="BE260" s="712" t="s">
        <v>3576</v>
      </c>
    </row>
    <row r="261" s="693" customFormat="1" ht="31" customHeight="1" spans="1:57">
      <c r="A261" s="810">
        <v>45065</v>
      </c>
      <c r="B261" s="791" t="s">
        <v>209</v>
      </c>
      <c r="C261" s="712" t="s">
        <v>91</v>
      </c>
      <c r="D261" s="791">
        <v>4500101967</v>
      </c>
      <c r="E261" s="746" t="s">
        <v>3652</v>
      </c>
      <c r="F261" s="791" t="s">
        <v>3753</v>
      </c>
      <c r="G261" s="791" t="s">
        <v>3694</v>
      </c>
      <c r="H261" s="712" t="s">
        <v>2063</v>
      </c>
      <c r="I261" s="881">
        <v>72</v>
      </c>
      <c r="J261" s="711">
        <v>0</v>
      </c>
      <c r="K261" s="711">
        <v>24</v>
      </c>
      <c r="L261" s="698">
        <f t="shared" si="139"/>
        <v>3</v>
      </c>
      <c r="M261" s="829">
        <v>45112</v>
      </c>
      <c r="N261" s="829">
        <v>45108</v>
      </c>
      <c r="O261" s="868" t="s">
        <v>1467</v>
      </c>
      <c r="P261" s="869" t="s">
        <v>3735</v>
      </c>
      <c r="Q261" s="896"/>
      <c r="R261" s="775" t="s">
        <v>3657</v>
      </c>
      <c r="S261" s="775" t="s">
        <v>2112</v>
      </c>
      <c r="T261" s="775" t="s">
        <v>3566</v>
      </c>
      <c r="U261" s="789" t="s">
        <v>3658</v>
      </c>
      <c r="V261" s="795" t="s">
        <v>3659</v>
      </c>
      <c r="W261" s="789" t="s">
        <v>975</v>
      </c>
      <c r="X261" s="819">
        <v>2.8165</v>
      </c>
      <c r="Y261" s="725">
        <f t="shared" si="140"/>
        <v>202.788</v>
      </c>
      <c r="Z261" s="832"/>
      <c r="AA261" s="775" t="s">
        <v>63</v>
      </c>
      <c r="AB261" s="775" t="s">
        <v>38</v>
      </c>
      <c r="AC261" s="832">
        <v>72</v>
      </c>
      <c r="AD261" s="832">
        <f t="shared" si="141"/>
        <v>0</v>
      </c>
      <c r="AE261" s="836"/>
      <c r="AF261" s="696"/>
      <c r="AG261" s="776"/>
      <c r="AH261" s="776">
        <f>I261</f>
        <v>72</v>
      </c>
      <c r="AI261" s="776"/>
      <c r="AJ261" s="786"/>
      <c r="AK261" s="786"/>
      <c r="AL261" s="786"/>
      <c r="AM261" s="801"/>
      <c r="AN261" s="801"/>
      <c r="AO261" s="801"/>
      <c r="AP261" s="801">
        <f t="shared" si="145"/>
        <v>72</v>
      </c>
      <c r="AQ261" s="801"/>
      <c r="AR261" s="801"/>
      <c r="AS261" s="801"/>
      <c r="AT261" s="801"/>
      <c r="AU261" s="801"/>
      <c r="AV261" s="801"/>
      <c r="AW261" s="801"/>
      <c r="AX261" s="801"/>
      <c r="AY261" s="786"/>
      <c r="AZ261" s="898"/>
      <c r="BA261" s="898">
        <f t="shared" si="148"/>
        <v>72</v>
      </c>
      <c r="BB261" s="776"/>
      <c r="BC261" s="899"/>
      <c r="BD261" s="712" t="s">
        <v>3576</v>
      </c>
      <c r="BE261" s="712" t="s">
        <v>3576</v>
      </c>
    </row>
    <row r="262" s="693" customFormat="1" ht="31" customHeight="1" spans="1:57">
      <c r="A262" s="810">
        <v>45065</v>
      </c>
      <c r="B262" s="791" t="s">
        <v>209</v>
      </c>
      <c r="C262" s="712" t="s">
        <v>91</v>
      </c>
      <c r="D262" s="791">
        <v>4500101967</v>
      </c>
      <c r="E262" s="746" t="s">
        <v>3652</v>
      </c>
      <c r="F262" s="791" t="s">
        <v>3754</v>
      </c>
      <c r="G262" s="791" t="s">
        <v>3703</v>
      </c>
      <c r="H262" s="712" t="s">
        <v>2042</v>
      </c>
      <c r="I262" s="881">
        <v>1152</v>
      </c>
      <c r="J262" s="711">
        <v>0</v>
      </c>
      <c r="K262" s="711">
        <v>24</v>
      </c>
      <c r="L262" s="698">
        <f t="shared" si="139"/>
        <v>48</v>
      </c>
      <c r="M262" s="829">
        <v>45112</v>
      </c>
      <c r="N262" s="829">
        <v>45108</v>
      </c>
      <c r="O262" s="868" t="s">
        <v>1467</v>
      </c>
      <c r="P262" s="869" t="s">
        <v>3735</v>
      </c>
      <c r="Q262" s="890"/>
      <c r="R262" s="775" t="s">
        <v>3657</v>
      </c>
      <c r="S262" s="775" t="s">
        <v>2112</v>
      </c>
      <c r="T262" s="775" t="s">
        <v>3566</v>
      </c>
      <c r="U262" s="789" t="s">
        <v>3658</v>
      </c>
      <c r="V262" s="795" t="s">
        <v>3659</v>
      </c>
      <c r="W262" s="789" t="s">
        <v>975</v>
      </c>
      <c r="X262" s="819">
        <v>2.8346</v>
      </c>
      <c r="Y262" s="725">
        <f t="shared" si="140"/>
        <v>3265.4592</v>
      </c>
      <c r="Z262" s="832"/>
      <c r="AA262" s="775" t="s">
        <v>63</v>
      </c>
      <c r="AB262" s="775" t="s">
        <v>38</v>
      </c>
      <c r="AC262" s="832">
        <v>1152</v>
      </c>
      <c r="AD262" s="832">
        <f t="shared" si="141"/>
        <v>0</v>
      </c>
      <c r="AE262" s="836" t="s">
        <v>327</v>
      </c>
      <c r="AF262" s="696"/>
      <c r="AG262" s="776"/>
      <c r="AH262" s="776"/>
      <c r="AI262" s="776">
        <f>I262</f>
        <v>1152</v>
      </c>
      <c r="AJ262" s="786"/>
      <c r="AK262" s="786"/>
      <c r="AL262" s="786"/>
      <c r="AM262" s="801"/>
      <c r="AN262" s="801"/>
      <c r="AO262" s="801"/>
      <c r="AP262" s="801">
        <f t="shared" si="145"/>
        <v>1152</v>
      </c>
      <c r="AQ262" s="801"/>
      <c r="AR262" s="801"/>
      <c r="AS262" s="801"/>
      <c r="AT262" s="801"/>
      <c r="AU262" s="801"/>
      <c r="AV262" s="801"/>
      <c r="AW262" s="801"/>
      <c r="AX262" s="801"/>
      <c r="AY262" s="786"/>
      <c r="AZ262" s="898"/>
      <c r="BA262" s="898">
        <f t="shared" si="148"/>
        <v>1152</v>
      </c>
      <c r="BB262" s="776"/>
      <c r="BC262" s="899"/>
      <c r="BD262" s="712" t="s">
        <v>3576</v>
      </c>
      <c r="BE262" s="712" t="s">
        <v>3576</v>
      </c>
    </row>
    <row r="263" s="693" customFormat="1" ht="31" customHeight="1" spans="1:61">
      <c r="A263" s="810">
        <v>45062</v>
      </c>
      <c r="B263" s="791" t="s">
        <v>3755</v>
      </c>
      <c r="C263" s="789" t="s">
        <v>91</v>
      </c>
      <c r="D263" s="791">
        <v>4500103902</v>
      </c>
      <c r="E263" s="746">
        <v>873553</v>
      </c>
      <c r="F263" s="791" t="s">
        <v>3756</v>
      </c>
      <c r="G263" s="711" t="s">
        <v>3569</v>
      </c>
      <c r="H263" s="712" t="s">
        <v>2119</v>
      </c>
      <c r="I263" s="881">
        <v>648</v>
      </c>
      <c r="J263" s="711">
        <v>0</v>
      </c>
      <c r="K263" s="711">
        <v>12</v>
      </c>
      <c r="L263" s="698">
        <f t="shared" ref="L263:L268" si="150">I263/K263</f>
        <v>54</v>
      </c>
      <c r="M263" s="829" t="s">
        <v>3757</v>
      </c>
      <c r="N263" s="829" t="s">
        <v>3758</v>
      </c>
      <c r="O263" s="868"/>
      <c r="P263" s="869" t="s">
        <v>39</v>
      </c>
      <c r="Q263" s="890"/>
      <c r="R263" s="775">
        <v>45097</v>
      </c>
      <c r="S263" s="775" t="s">
        <v>58</v>
      </c>
      <c r="T263" s="775">
        <v>45105</v>
      </c>
      <c r="U263" s="789" t="s">
        <v>3759</v>
      </c>
      <c r="V263" s="716" t="s">
        <v>3760</v>
      </c>
      <c r="W263" s="789" t="s">
        <v>839</v>
      </c>
      <c r="X263" s="819">
        <v>2.8374</v>
      </c>
      <c r="Y263" s="725">
        <f t="shared" si="140"/>
        <v>1838.6352</v>
      </c>
      <c r="Z263" s="832"/>
      <c r="AA263" s="775" t="s">
        <v>63</v>
      </c>
      <c r="AB263" s="775" t="s">
        <v>38</v>
      </c>
      <c r="AD263" s="832"/>
      <c r="AE263" s="836" t="s">
        <v>327</v>
      </c>
      <c r="AF263" s="696"/>
      <c r="AG263" s="776">
        <f>I263/3</f>
        <v>216</v>
      </c>
      <c r="AH263" s="776">
        <f>I263/3</f>
        <v>216</v>
      </c>
      <c r="AI263" s="776">
        <f>I263/3</f>
        <v>216</v>
      </c>
      <c r="AJ263" s="786"/>
      <c r="AK263" s="786"/>
      <c r="AL263" s="786"/>
      <c r="AM263" s="801"/>
      <c r="AN263" s="801"/>
      <c r="AO263" s="801"/>
      <c r="AP263" s="801">
        <f t="shared" si="145"/>
        <v>648</v>
      </c>
      <c r="AQ263" s="801"/>
      <c r="AR263" s="801"/>
      <c r="AS263" s="801"/>
      <c r="AT263" s="801"/>
      <c r="AU263" s="801">
        <f>I263</f>
        <v>648</v>
      </c>
      <c r="AV263" s="801"/>
      <c r="AW263" s="801"/>
      <c r="AX263" s="801"/>
      <c r="AY263" s="801"/>
      <c r="AZ263" s="801"/>
      <c r="BA263" s="801"/>
      <c r="BB263" s="786"/>
      <c r="BC263" s="801"/>
      <c r="BD263" s="898"/>
      <c r="BE263" s="898"/>
      <c r="BF263" s="776"/>
      <c r="BG263" s="899"/>
      <c r="BH263" s="712" t="s">
        <v>3576</v>
      </c>
      <c r="BI263" s="712" t="s">
        <v>3576</v>
      </c>
    </row>
    <row r="264" s="693" customFormat="1" ht="31" customHeight="1" spans="1:61">
      <c r="A264" s="810">
        <v>45062</v>
      </c>
      <c r="B264" s="791" t="s">
        <v>3755</v>
      </c>
      <c r="C264" s="789" t="s">
        <v>91</v>
      </c>
      <c r="D264" s="791">
        <v>4500103902</v>
      </c>
      <c r="E264" s="746">
        <v>873551</v>
      </c>
      <c r="F264" s="791" t="s">
        <v>3761</v>
      </c>
      <c r="G264" s="711" t="s">
        <v>3569</v>
      </c>
      <c r="H264" s="712" t="s">
        <v>2119</v>
      </c>
      <c r="I264" s="881">
        <v>1164</v>
      </c>
      <c r="J264" s="711">
        <v>0</v>
      </c>
      <c r="K264" s="711">
        <v>12</v>
      </c>
      <c r="L264" s="698">
        <f t="shared" si="150"/>
        <v>97</v>
      </c>
      <c r="M264" s="829" t="s">
        <v>3757</v>
      </c>
      <c r="N264" s="829" t="s">
        <v>3758</v>
      </c>
      <c r="O264" s="868"/>
      <c r="P264" s="869" t="s">
        <v>39</v>
      </c>
      <c r="Q264" s="890"/>
      <c r="R264" s="775">
        <v>45097</v>
      </c>
      <c r="S264" s="775" t="s">
        <v>58</v>
      </c>
      <c r="T264" s="775">
        <v>45105</v>
      </c>
      <c r="U264" s="789" t="s">
        <v>3759</v>
      </c>
      <c r="V264" s="716" t="s">
        <v>3762</v>
      </c>
      <c r="W264" s="789" t="s">
        <v>839</v>
      </c>
      <c r="X264" s="819">
        <v>2.9018</v>
      </c>
      <c r="Y264" s="725">
        <f t="shared" si="140"/>
        <v>3377.6952</v>
      </c>
      <c r="Z264" s="832"/>
      <c r="AA264" s="775" t="s">
        <v>3763</v>
      </c>
      <c r="AB264" s="856" t="s">
        <v>3764</v>
      </c>
      <c r="AC264" s="694"/>
      <c r="AD264" s="832"/>
      <c r="AE264" s="836" t="s">
        <v>327</v>
      </c>
      <c r="AF264" s="696"/>
      <c r="AG264" s="776">
        <f>I264/3</f>
        <v>388</v>
      </c>
      <c r="AH264" s="776">
        <f>I264/3</f>
        <v>388</v>
      </c>
      <c r="AI264" s="776">
        <f>I264/3</f>
        <v>388</v>
      </c>
      <c r="AJ264" s="786"/>
      <c r="AK264" s="786"/>
      <c r="AL264" s="786"/>
      <c r="AM264" s="801"/>
      <c r="AN264" s="801"/>
      <c r="AO264" s="801"/>
      <c r="AP264" s="801">
        <f t="shared" si="145"/>
        <v>1164</v>
      </c>
      <c r="AQ264" s="801"/>
      <c r="AR264" s="801"/>
      <c r="AS264" s="801"/>
      <c r="AT264" s="801"/>
      <c r="AU264" s="801">
        <f>I264</f>
        <v>1164</v>
      </c>
      <c r="AV264" s="801"/>
      <c r="AW264" s="801"/>
      <c r="AX264" s="801"/>
      <c r="AY264" s="801"/>
      <c r="AZ264" s="801"/>
      <c r="BA264" s="801"/>
      <c r="BB264" s="786"/>
      <c r="BC264" s="801"/>
      <c r="BD264" s="898"/>
      <c r="BE264" s="898"/>
      <c r="BF264" s="776"/>
      <c r="BG264" s="899"/>
      <c r="BH264" s="712" t="s">
        <v>3576</v>
      </c>
      <c r="BI264" s="712" t="s">
        <v>3576</v>
      </c>
    </row>
    <row r="265" s="693" customFormat="1" ht="31" customHeight="1" spans="1:61">
      <c r="A265" s="810">
        <v>45061</v>
      </c>
      <c r="B265" s="791" t="s">
        <v>90</v>
      </c>
      <c r="C265" s="789" t="s">
        <v>91</v>
      </c>
      <c r="D265" s="791">
        <v>4500103126</v>
      </c>
      <c r="E265" s="746">
        <v>4829843484</v>
      </c>
      <c r="F265" s="791" t="s">
        <v>3765</v>
      </c>
      <c r="G265" s="711" t="s">
        <v>3766</v>
      </c>
      <c r="H265" s="712" t="s">
        <v>2045</v>
      </c>
      <c r="I265" s="791">
        <v>1</v>
      </c>
      <c r="J265" s="711">
        <v>0</v>
      </c>
      <c r="K265" s="711">
        <v>1</v>
      </c>
      <c r="L265" s="698">
        <f t="shared" si="150"/>
        <v>1</v>
      </c>
      <c r="M265" s="829">
        <v>45169</v>
      </c>
      <c r="N265" s="829" t="s">
        <v>3767</v>
      </c>
      <c r="O265" s="868"/>
      <c r="P265" s="750"/>
      <c r="Q265" s="848"/>
      <c r="R265" s="744" t="s">
        <v>3768</v>
      </c>
      <c r="S265" s="744" t="s">
        <v>58</v>
      </c>
      <c r="T265" s="744">
        <v>45080</v>
      </c>
      <c r="U265" s="712" t="s">
        <v>3769</v>
      </c>
      <c r="V265" s="794" t="s">
        <v>3770</v>
      </c>
      <c r="W265" s="789" t="s">
        <v>101</v>
      </c>
      <c r="X265" s="751">
        <v>990.4412</v>
      </c>
      <c r="Y265" s="745">
        <f>I265*X265</f>
        <v>990.4412</v>
      </c>
      <c r="Z265" s="832"/>
      <c r="AA265" s="775" t="s">
        <v>63</v>
      </c>
      <c r="AB265" s="775" t="s">
        <v>38</v>
      </c>
      <c r="AC265" s="832"/>
      <c r="AD265" s="832"/>
      <c r="AE265" s="727"/>
      <c r="AF265" s="696"/>
      <c r="AG265" s="786"/>
      <c r="AH265" s="786"/>
      <c r="AI265" s="786"/>
      <c r="AJ265" s="786"/>
      <c r="AK265" s="786"/>
      <c r="AL265" s="786"/>
      <c r="AM265" s="801"/>
      <c r="AN265" s="801"/>
      <c r="AO265" s="801"/>
      <c r="AP265" s="801"/>
      <c r="AQ265" s="801"/>
      <c r="AR265" s="801"/>
      <c r="AS265" s="801"/>
      <c r="AT265" s="801"/>
      <c r="AU265" s="801"/>
      <c r="AV265" s="801"/>
      <c r="AW265" s="801"/>
      <c r="AX265" s="801"/>
      <c r="AY265" s="801"/>
      <c r="AZ265" s="801"/>
      <c r="BA265" s="801"/>
      <c r="BB265" s="786"/>
      <c r="BC265" s="801"/>
      <c r="BD265" s="898"/>
      <c r="BE265" s="898"/>
      <c r="BF265" s="776"/>
      <c r="BG265" s="727" t="s">
        <v>3771</v>
      </c>
      <c r="BH265" s="712" t="s">
        <v>3576</v>
      </c>
      <c r="BI265" s="712" t="s">
        <v>3576</v>
      </c>
    </row>
    <row r="266" s="693" customFormat="1" ht="31" customHeight="1" spans="1:61">
      <c r="A266" s="810">
        <v>45061</v>
      </c>
      <c r="B266" s="791" t="s">
        <v>90</v>
      </c>
      <c r="C266" s="789" t="s">
        <v>91</v>
      </c>
      <c r="D266" s="791">
        <v>4500103126</v>
      </c>
      <c r="E266" s="746">
        <v>4829843484</v>
      </c>
      <c r="F266" s="791" t="s">
        <v>3765</v>
      </c>
      <c r="G266" s="711" t="s">
        <v>2051</v>
      </c>
      <c r="H266" s="712" t="s">
        <v>2052</v>
      </c>
      <c r="I266" s="791">
        <v>320</v>
      </c>
      <c r="J266" s="711">
        <v>0</v>
      </c>
      <c r="K266" s="711">
        <v>2</v>
      </c>
      <c r="L266" s="698">
        <f t="shared" si="150"/>
        <v>160</v>
      </c>
      <c r="M266" s="829">
        <v>45169</v>
      </c>
      <c r="N266" s="829" t="s">
        <v>3767</v>
      </c>
      <c r="O266" s="868"/>
      <c r="P266" s="750"/>
      <c r="Q266" s="848"/>
      <c r="R266" s="744"/>
      <c r="S266" s="744" t="s">
        <v>58</v>
      </c>
      <c r="T266" s="744"/>
      <c r="U266" s="712" t="s">
        <v>3769</v>
      </c>
      <c r="V266" s="795"/>
      <c r="W266" s="789" t="s">
        <v>101</v>
      </c>
      <c r="X266" s="751">
        <v>0</v>
      </c>
      <c r="Y266" s="745">
        <v>0</v>
      </c>
      <c r="Z266" s="832"/>
      <c r="AA266" s="775" t="s">
        <v>63</v>
      </c>
      <c r="AB266" s="775" t="s">
        <v>38</v>
      </c>
      <c r="AC266" s="832"/>
      <c r="AD266" s="832"/>
      <c r="AE266" s="727"/>
      <c r="AF266" s="696"/>
      <c r="AG266" s="776">
        <f>I266</f>
        <v>320</v>
      </c>
      <c r="AH266" s="786"/>
      <c r="AI266" s="786"/>
      <c r="AJ266" s="786"/>
      <c r="AK266" s="786"/>
      <c r="AL266" s="786"/>
      <c r="AM266" s="801"/>
      <c r="AN266" s="801"/>
      <c r="AO266" s="801"/>
      <c r="AP266" s="801"/>
      <c r="AQ266" s="801">
        <f>I266</f>
        <v>320</v>
      </c>
      <c r="AR266" s="801"/>
      <c r="AS266" s="801"/>
      <c r="AT266" s="801"/>
      <c r="AU266" s="801"/>
      <c r="AV266" s="801"/>
      <c r="AW266" s="801"/>
      <c r="AX266" s="801"/>
      <c r="AY266" s="801"/>
      <c r="AZ266" s="801"/>
      <c r="BA266" s="801"/>
      <c r="BB266" s="786"/>
      <c r="BC266" s="801"/>
      <c r="BD266" s="898">
        <f>I266</f>
        <v>320</v>
      </c>
      <c r="BE266" s="898"/>
      <c r="BF266" s="776"/>
      <c r="BG266" s="727" t="s">
        <v>3771</v>
      </c>
      <c r="BH266" s="712" t="s">
        <v>3576</v>
      </c>
      <c r="BI266" s="712" t="s">
        <v>3576</v>
      </c>
    </row>
    <row r="267" s="693" customFormat="1" ht="31" customHeight="1" spans="1:61">
      <c r="A267" s="810">
        <v>45061</v>
      </c>
      <c r="B267" s="791" t="s">
        <v>90</v>
      </c>
      <c r="C267" s="789" t="s">
        <v>91</v>
      </c>
      <c r="D267" s="791">
        <v>4500103126</v>
      </c>
      <c r="E267" s="746">
        <v>4829843485</v>
      </c>
      <c r="F267" s="791" t="s">
        <v>3772</v>
      </c>
      <c r="G267" s="711" t="s">
        <v>3766</v>
      </c>
      <c r="H267" s="712" t="s">
        <v>2045</v>
      </c>
      <c r="I267" s="791">
        <v>1</v>
      </c>
      <c r="J267" s="711">
        <v>0</v>
      </c>
      <c r="K267" s="711">
        <v>1</v>
      </c>
      <c r="L267" s="698">
        <f t="shared" si="150"/>
        <v>1</v>
      </c>
      <c r="M267" s="829">
        <v>45169</v>
      </c>
      <c r="N267" s="829" t="s">
        <v>3767</v>
      </c>
      <c r="O267" s="868"/>
      <c r="P267" s="903"/>
      <c r="Q267" s="890"/>
      <c r="R267" s="906" t="s">
        <v>3768</v>
      </c>
      <c r="S267" s="775" t="s">
        <v>58</v>
      </c>
      <c r="T267" s="906">
        <v>45080</v>
      </c>
      <c r="U267" s="789" t="s">
        <v>3769</v>
      </c>
      <c r="V267" s="794" t="s">
        <v>3770</v>
      </c>
      <c r="W267" s="789" t="s">
        <v>101</v>
      </c>
      <c r="X267" s="751">
        <v>1010.3554</v>
      </c>
      <c r="Y267" s="745">
        <f>I267*X267</f>
        <v>1010.3554</v>
      </c>
      <c r="Z267" s="832"/>
      <c r="AA267" s="775" t="s">
        <v>63</v>
      </c>
      <c r="AB267" s="775" t="s">
        <v>38</v>
      </c>
      <c r="AC267" s="832"/>
      <c r="AD267" s="832"/>
      <c r="AE267" s="727"/>
      <c r="AF267" s="696"/>
      <c r="AG267" s="786"/>
      <c r="AH267" s="786"/>
      <c r="AI267" s="786"/>
      <c r="AJ267" s="786"/>
      <c r="AK267" s="786"/>
      <c r="AL267" s="786"/>
      <c r="AM267" s="801"/>
      <c r="AN267" s="801"/>
      <c r="AO267" s="801"/>
      <c r="AP267" s="801"/>
      <c r="AQ267" s="801"/>
      <c r="AR267" s="801"/>
      <c r="AS267" s="801"/>
      <c r="AT267" s="801"/>
      <c r="AU267" s="801"/>
      <c r="AV267" s="801"/>
      <c r="AW267" s="801"/>
      <c r="AX267" s="801"/>
      <c r="AY267" s="801"/>
      <c r="AZ267" s="801"/>
      <c r="BA267" s="801"/>
      <c r="BB267" s="786"/>
      <c r="BC267" s="801"/>
      <c r="BD267" s="898"/>
      <c r="BE267" s="898"/>
      <c r="BF267" s="776"/>
      <c r="BG267" s="727" t="s">
        <v>3771</v>
      </c>
      <c r="BH267" s="712" t="s">
        <v>3576</v>
      </c>
      <c r="BI267" s="712" t="s">
        <v>3576</v>
      </c>
    </row>
    <row r="268" s="693" customFormat="1" ht="31" customHeight="1" spans="1:61">
      <c r="A268" s="810">
        <v>45061</v>
      </c>
      <c r="B268" s="791" t="s">
        <v>90</v>
      </c>
      <c r="C268" s="789" t="s">
        <v>91</v>
      </c>
      <c r="D268" s="791">
        <v>4500103126</v>
      </c>
      <c r="E268" s="746">
        <v>4829843485</v>
      </c>
      <c r="F268" s="791" t="s">
        <v>3772</v>
      </c>
      <c r="G268" s="711" t="s">
        <v>2051</v>
      </c>
      <c r="H268" s="712" t="s">
        <v>2052</v>
      </c>
      <c r="I268" s="791">
        <v>320</v>
      </c>
      <c r="J268" s="711">
        <v>0</v>
      </c>
      <c r="K268" s="711">
        <v>2</v>
      </c>
      <c r="L268" s="698">
        <f t="shared" si="150"/>
        <v>160</v>
      </c>
      <c r="M268" s="829">
        <v>45169</v>
      </c>
      <c r="N268" s="829" t="s">
        <v>3767</v>
      </c>
      <c r="O268" s="868"/>
      <c r="P268" s="869"/>
      <c r="Q268" s="890"/>
      <c r="R268" s="775"/>
      <c r="S268" s="775" t="s">
        <v>58</v>
      </c>
      <c r="T268" s="775"/>
      <c r="U268" s="789" t="s">
        <v>3769</v>
      </c>
      <c r="V268" s="795"/>
      <c r="W268" s="789" t="s">
        <v>101</v>
      </c>
      <c r="X268" s="751">
        <v>0</v>
      </c>
      <c r="Y268" s="745">
        <v>0</v>
      </c>
      <c r="Z268" s="832"/>
      <c r="AA268" s="775" t="s">
        <v>63</v>
      </c>
      <c r="AB268" s="775" t="s">
        <v>38</v>
      </c>
      <c r="AC268" s="832"/>
      <c r="AD268" s="832"/>
      <c r="AE268" s="727"/>
      <c r="AF268" s="696"/>
      <c r="AG268" s="776">
        <f>I268</f>
        <v>320</v>
      </c>
      <c r="AH268" s="786"/>
      <c r="AI268" s="786"/>
      <c r="AJ268" s="786"/>
      <c r="AK268" s="786"/>
      <c r="AL268" s="786"/>
      <c r="AM268" s="801"/>
      <c r="AN268" s="801"/>
      <c r="AO268" s="801"/>
      <c r="AP268" s="801"/>
      <c r="AQ268" s="801">
        <f>I268</f>
        <v>320</v>
      </c>
      <c r="AR268" s="801"/>
      <c r="AS268" s="801"/>
      <c r="AT268" s="801"/>
      <c r="AU268" s="801"/>
      <c r="AV268" s="801"/>
      <c r="AW268" s="801"/>
      <c r="AX268" s="801"/>
      <c r="AY268" s="801"/>
      <c r="AZ268" s="801"/>
      <c r="BA268" s="801"/>
      <c r="BB268" s="786"/>
      <c r="BC268" s="801"/>
      <c r="BD268" s="898">
        <f>I268</f>
        <v>320</v>
      </c>
      <c r="BE268" s="898"/>
      <c r="BF268" s="776"/>
      <c r="BG268" s="727" t="s">
        <v>3771</v>
      </c>
      <c r="BH268" s="712" t="s">
        <v>3576</v>
      </c>
      <c r="BI268" s="712" t="s">
        <v>3576</v>
      </c>
    </row>
    <row r="269" s="693" customFormat="1" ht="31" customHeight="1" spans="1:61">
      <c r="A269" s="810">
        <v>45077</v>
      </c>
      <c r="B269" s="789" t="s">
        <v>3773</v>
      </c>
      <c r="C269" s="789" t="s">
        <v>1169</v>
      </c>
      <c r="D269" s="791">
        <v>4500105413</v>
      </c>
      <c r="E269" s="746">
        <v>300482738</v>
      </c>
      <c r="F269" s="791" t="s">
        <v>3774</v>
      </c>
      <c r="G269" s="791" t="s">
        <v>3569</v>
      </c>
      <c r="H269" s="712" t="s">
        <v>2119</v>
      </c>
      <c r="I269" s="881">
        <v>720</v>
      </c>
      <c r="J269" s="711">
        <v>0</v>
      </c>
      <c r="K269" s="711">
        <v>12</v>
      </c>
      <c r="L269" s="698">
        <f t="shared" ref="L269:L308" si="151">I269/K269</f>
        <v>60</v>
      </c>
      <c r="M269" s="829" t="s">
        <v>3775</v>
      </c>
      <c r="N269" s="829" t="s">
        <v>3776</v>
      </c>
      <c r="O269" s="868" t="s">
        <v>3777</v>
      </c>
      <c r="P269" s="869" t="s">
        <v>1480</v>
      </c>
      <c r="Q269" s="890" t="s">
        <v>3778</v>
      </c>
      <c r="R269" s="775">
        <v>45097</v>
      </c>
      <c r="S269" s="775" t="s">
        <v>58</v>
      </c>
      <c r="T269" s="775">
        <v>45098</v>
      </c>
      <c r="U269" s="789" t="s">
        <v>3779</v>
      </c>
      <c r="V269" s="795" t="s">
        <v>3780</v>
      </c>
      <c r="W269" s="791" t="s">
        <v>3781</v>
      </c>
      <c r="X269" s="819">
        <v>2.9668</v>
      </c>
      <c r="Y269" s="725">
        <f t="shared" ref="Y269:Y271" si="152">X269*I269</f>
        <v>2136.096</v>
      </c>
      <c r="Z269" s="832"/>
      <c r="AA269" s="775" t="s">
        <v>63</v>
      </c>
      <c r="AB269" s="775" t="s">
        <v>38</v>
      </c>
      <c r="AC269" s="856" t="s">
        <v>3782</v>
      </c>
      <c r="AD269" s="832" t="e">
        <f>AC269-I269</f>
        <v>#VALUE!</v>
      </c>
      <c r="AE269" s="836" t="s">
        <v>327</v>
      </c>
      <c r="AF269" s="696"/>
      <c r="AG269" s="776">
        <f>I269/3</f>
        <v>240</v>
      </c>
      <c r="AH269" s="776">
        <f>I269/3</f>
        <v>240</v>
      </c>
      <c r="AI269" s="776">
        <f>I269/3</f>
        <v>240</v>
      </c>
      <c r="AJ269" s="786"/>
      <c r="AK269" s="786"/>
      <c r="AL269" s="786"/>
      <c r="AM269" s="801"/>
      <c r="AN269" s="801"/>
      <c r="AO269" s="801"/>
      <c r="AP269" s="801">
        <f>I269</f>
        <v>720</v>
      </c>
      <c r="AQ269" s="801"/>
      <c r="AR269" s="801"/>
      <c r="AS269" s="801"/>
      <c r="AT269" s="801"/>
      <c r="AU269" s="801"/>
      <c r="AV269" s="801"/>
      <c r="AW269" s="801"/>
      <c r="AX269" s="801"/>
      <c r="AY269" s="801">
        <f>I269</f>
        <v>720</v>
      </c>
      <c r="AZ269" s="801"/>
      <c r="BA269" s="801"/>
      <c r="BB269" s="786"/>
      <c r="BC269" s="801"/>
      <c r="BD269" s="898"/>
      <c r="BE269" s="898"/>
      <c r="BF269" s="776"/>
      <c r="BG269" s="899"/>
      <c r="BH269" s="712" t="s">
        <v>3576</v>
      </c>
      <c r="BI269" s="712" t="s">
        <v>3576</v>
      </c>
    </row>
    <row r="270" s="693" customFormat="1" ht="31" customHeight="1" spans="1:61">
      <c r="A270" s="810">
        <v>45103</v>
      </c>
      <c r="B270" s="789" t="s">
        <v>3783</v>
      </c>
      <c r="C270" s="789" t="s">
        <v>2362</v>
      </c>
      <c r="D270" s="791">
        <v>4500104388</v>
      </c>
      <c r="E270" s="696"/>
      <c r="F270" s="791" t="s">
        <v>3784</v>
      </c>
      <c r="G270" s="711" t="s">
        <v>3569</v>
      </c>
      <c r="H270" s="712" t="s">
        <v>2119</v>
      </c>
      <c r="I270" s="881">
        <v>804</v>
      </c>
      <c r="J270" s="711">
        <v>0</v>
      </c>
      <c r="K270" s="711">
        <v>12</v>
      </c>
      <c r="L270" s="698">
        <f t="shared" si="151"/>
        <v>67</v>
      </c>
      <c r="M270" s="829">
        <v>45146</v>
      </c>
      <c r="N270" s="829">
        <v>45142</v>
      </c>
      <c r="O270" s="868" t="s">
        <v>3785</v>
      </c>
      <c r="P270" s="868"/>
      <c r="Q270" s="890"/>
      <c r="R270" s="775">
        <v>45106</v>
      </c>
      <c r="S270" s="775" t="s">
        <v>58</v>
      </c>
      <c r="T270" s="775" t="s">
        <v>3786</v>
      </c>
      <c r="U270" s="789" t="s">
        <v>3787</v>
      </c>
      <c r="V270" s="794" t="s">
        <v>3788</v>
      </c>
      <c r="W270" s="791" t="s">
        <v>120</v>
      </c>
      <c r="X270" s="819">
        <v>3.1765</v>
      </c>
      <c r="Y270" s="725">
        <f t="shared" si="152"/>
        <v>2553.906</v>
      </c>
      <c r="Z270" s="832"/>
      <c r="AA270" s="775" t="s">
        <v>63</v>
      </c>
      <c r="AB270" s="775" t="s">
        <v>38</v>
      </c>
      <c r="AC270" s="832" t="s">
        <v>3782</v>
      </c>
      <c r="AD270" s="832"/>
      <c r="AE270" s="836" t="s">
        <v>327</v>
      </c>
      <c r="AF270" s="696"/>
      <c r="AG270" s="776">
        <f>I270/3</f>
        <v>268</v>
      </c>
      <c r="AH270" s="776">
        <f>I270/3</f>
        <v>268</v>
      </c>
      <c r="AI270" s="776">
        <f>I270/3</f>
        <v>268</v>
      </c>
      <c r="AJ270" s="786"/>
      <c r="AK270" s="786"/>
      <c r="AL270" s="786"/>
      <c r="AM270" s="801"/>
      <c r="AN270" s="801"/>
      <c r="AO270" s="801"/>
      <c r="AP270" s="801">
        <f>I270</f>
        <v>804</v>
      </c>
      <c r="AQ270" s="801"/>
      <c r="AR270" s="801"/>
      <c r="AS270" s="801"/>
      <c r="AT270" s="801"/>
      <c r="AU270" s="801">
        <f>I270</f>
        <v>804</v>
      </c>
      <c r="AV270" s="801"/>
      <c r="AW270" s="801"/>
      <c r="AX270" s="801"/>
      <c r="AY270" s="801"/>
      <c r="AZ270" s="801"/>
      <c r="BA270" s="801"/>
      <c r="BB270" s="786"/>
      <c r="BC270" s="801"/>
      <c r="BD270" s="898"/>
      <c r="BE270" s="898"/>
      <c r="BF270" s="776"/>
      <c r="BG270" s="899"/>
      <c r="BH270" s="712" t="s">
        <v>3576</v>
      </c>
      <c r="BI270" s="712" t="s">
        <v>3576</v>
      </c>
    </row>
    <row r="271" s="693" customFormat="1" ht="31" customHeight="1" spans="1:61">
      <c r="A271" s="810">
        <v>45072</v>
      </c>
      <c r="B271" s="791" t="s">
        <v>90</v>
      </c>
      <c r="C271" s="789" t="s">
        <v>91</v>
      </c>
      <c r="D271" s="791">
        <v>4500105063</v>
      </c>
      <c r="E271" s="746">
        <v>4329901836</v>
      </c>
      <c r="F271" s="791" t="s">
        <v>3789</v>
      </c>
      <c r="G271" s="791" t="s">
        <v>3766</v>
      </c>
      <c r="H271" s="712" t="s">
        <v>2045</v>
      </c>
      <c r="I271" s="791">
        <v>2</v>
      </c>
      <c r="J271" s="711">
        <v>0</v>
      </c>
      <c r="K271" s="711">
        <v>1</v>
      </c>
      <c r="L271" s="698">
        <f t="shared" si="151"/>
        <v>2</v>
      </c>
      <c r="M271" s="829">
        <v>45127</v>
      </c>
      <c r="N271" s="829">
        <v>45182</v>
      </c>
      <c r="O271" s="748" t="s">
        <v>2195</v>
      </c>
      <c r="P271" s="869" t="s">
        <v>1480</v>
      </c>
      <c r="Q271" s="890"/>
      <c r="R271" s="906" t="s">
        <v>3768</v>
      </c>
      <c r="S271" s="775"/>
      <c r="T271" s="906">
        <v>45080</v>
      </c>
      <c r="U271" s="907" t="s">
        <v>3790</v>
      </c>
      <c r="V271" s="794" t="s">
        <v>3770</v>
      </c>
      <c r="W271" s="791" t="s">
        <v>101</v>
      </c>
      <c r="X271" s="819">
        <v>949.0332</v>
      </c>
      <c r="Y271" s="725">
        <f t="shared" si="152"/>
        <v>1898.0664</v>
      </c>
      <c r="Z271" s="832"/>
      <c r="AA271" s="775" t="s">
        <v>63</v>
      </c>
      <c r="AB271" s="775" t="s">
        <v>38</v>
      </c>
      <c r="AC271" s="908">
        <v>640</v>
      </c>
      <c r="AD271" s="908">
        <f t="shared" ref="AD271:AD275" si="153">AC271-I272</f>
        <v>0</v>
      </c>
      <c r="AE271" s="909"/>
      <c r="AF271" s="696"/>
      <c r="AG271" s="776"/>
      <c r="AH271" s="776"/>
      <c r="AI271" s="776"/>
      <c r="AJ271" s="786"/>
      <c r="AK271" s="786"/>
      <c r="AL271" s="786"/>
      <c r="AM271" s="801"/>
      <c r="AN271" s="801"/>
      <c r="AO271" s="801"/>
      <c r="AP271" s="801"/>
      <c r="AQ271" s="801"/>
      <c r="AR271" s="801"/>
      <c r="AS271" s="801"/>
      <c r="AT271" s="801"/>
      <c r="AU271" s="801"/>
      <c r="AV271" s="801"/>
      <c r="AW271" s="801"/>
      <c r="AX271" s="801"/>
      <c r="AY271" s="801"/>
      <c r="AZ271" s="801"/>
      <c r="BA271" s="801"/>
      <c r="BB271" s="786"/>
      <c r="BC271" s="801"/>
      <c r="BD271" s="898"/>
      <c r="BE271" s="898"/>
      <c r="BF271" s="776"/>
      <c r="BG271" s="727" t="s">
        <v>3771</v>
      </c>
      <c r="BH271" s="712" t="s">
        <v>3576</v>
      </c>
      <c r="BI271" s="712" t="s">
        <v>3576</v>
      </c>
    </row>
    <row r="272" s="693" customFormat="1" ht="31" customHeight="1" spans="1:61">
      <c r="A272" s="810">
        <v>45072</v>
      </c>
      <c r="B272" s="791" t="s">
        <v>90</v>
      </c>
      <c r="C272" s="789" t="s">
        <v>91</v>
      </c>
      <c r="D272" s="791">
        <v>4500105063</v>
      </c>
      <c r="E272" s="746">
        <v>4329901836</v>
      </c>
      <c r="F272" s="791" t="s">
        <v>3789</v>
      </c>
      <c r="G272" s="711" t="s">
        <v>2051</v>
      </c>
      <c r="H272" s="712" t="s">
        <v>2052</v>
      </c>
      <c r="I272" s="791">
        <v>640</v>
      </c>
      <c r="J272" s="711">
        <v>0</v>
      </c>
      <c r="K272" s="711">
        <v>2</v>
      </c>
      <c r="L272" s="698">
        <f t="shared" si="151"/>
        <v>320</v>
      </c>
      <c r="M272" s="829">
        <v>45127</v>
      </c>
      <c r="N272" s="829">
        <v>45182</v>
      </c>
      <c r="O272" s="748"/>
      <c r="P272" s="869" t="s">
        <v>1480</v>
      </c>
      <c r="Q272" s="890"/>
      <c r="R272" s="775"/>
      <c r="S272" s="775" t="s">
        <v>58</v>
      </c>
      <c r="T272" s="775"/>
      <c r="U272" s="789"/>
      <c r="V272" s="795"/>
      <c r="W272" s="791" t="s">
        <v>101</v>
      </c>
      <c r="X272" s="819">
        <v>0</v>
      </c>
      <c r="Y272" s="725">
        <v>0</v>
      </c>
      <c r="Z272" s="832"/>
      <c r="AA272" s="775" t="s">
        <v>63</v>
      </c>
      <c r="AB272" s="775" t="s">
        <v>38</v>
      </c>
      <c r="AC272" s="832"/>
      <c r="AD272" s="832"/>
      <c r="AE272" s="836"/>
      <c r="AF272" s="696"/>
      <c r="AG272" s="776">
        <f t="shared" ref="AG272:AG276" si="154">I272</f>
        <v>640</v>
      </c>
      <c r="AH272" s="776"/>
      <c r="AI272" s="776"/>
      <c r="AJ272" s="786"/>
      <c r="AK272" s="786"/>
      <c r="AL272" s="786"/>
      <c r="AM272" s="801"/>
      <c r="AN272" s="801"/>
      <c r="AO272" s="801"/>
      <c r="AP272" s="801"/>
      <c r="AQ272" s="801">
        <f t="shared" ref="AQ272:AQ276" si="155">I272</f>
        <v>640</v>
      </c>
      <c r="AR272" s="801"/>
      <c r="AS272" s="801"/>
      <c r="AT272" s="801"/>
      <c r="AU272" s="801"/>
      <c r="AV272" s="801"/>
      <c r="AW272" s="801"/>
      <c r="AX272" s="801"/>
      <c r="AY272" s="801"/>
      <c r="AZ272" s="801"/>
      <c r="BA272" s="801"/>
      <c r="BB272" s="786"/>
      <c r="BC272" s="801"/>
      <c r="BD272" s="898">
        <f t="shared" ref="BD272:BD276" si="156">I272</f>
        <v>640</v>
      </c>
      <c r="BE272" s="898"/>
      <c r="BF272" s="776"/>
      <c r="BG272" s="727" t="s">
        <v>3771</v>
      </c>
      <c r="BH272" s="712" t="s">
        <v>3576</v>
      </c>
      <c r="BI272" s="712" t="s">
        <v>3576</v>
      </c>
    </row>
    <row r="273" s="693" customFormat="1" ht="31" customHeight="1" spans="1:61">
      <c r="A273" s="810">
        <v>45072</v>
      </c>
      <c r="B273" s="791" t="s">
        <v>90</v>
      </c>
      <c r="C273" s="789" t="s">
        <v>91</v>
      </c>
      <c r="D273" s="791">
        <v>4500105064</v>
      </c>
      <c r="E273" s="746">
        <v>4329901838</v>
      </c>
      <c r="F273" s="791" t="s">
        <v>3791</v>
      </c>
      <c r="G273" s="791" t="s">
        <v>3766</v>
      </c>
      <c r="H273" s="712" t="s">
        <v>2045</v>
      </c>
      <c r="I273" s="791">
        <v>4</v>
      </c>
      <c r="J273" s="711">
        <v>0</v>
      </c>
      <c r="K273" s="711">
        <v>1</v>
      </c>
      <c r="L273" s="698">
        <f t="shared" si="151"/>
        <v>4</v>
      </c>
      <c r="M273" s="829">
        <v>45141</v>
      </c>
      <c r="N273" s="829" t="s">
        <v>3767</v>
      </c>
      <c r="O273" s="904"/>
      <c r="P273" s="903"/>
      <c r="Q273" s="890"/>
      <c r="R273" s="906" t="s">
        <v>3768</v>
      </c>
      <c r="S273" s="775"/>
      <c r="T273" s="906">
        <v>45080</v>
      </c>
      <c r="U273" s="907" t="s">
        <v>3790</v>
      </c>
      <c r="V273" s="794" t="s">
        <v>3792</v>
      </c>
      <c r="W273" s="791" t="s">
        <v>101</v>
      </c>
      <c r="X273" s="819">
        <v>936.8514</v>
      </c>
      <c r="Y273" s="725">
        <f t="shared" ref="Y273:Y277" si="157">X273*I273</f>
        <v>3747.4056</v>
      </c>
      <c r="Z273" s="832"/>
      <c r="AA273" s="775" t="s">
        <v>63</v>
      </c>
      <c r="AB273" s="775" t="s">
        <v>38</v>
      </c>
      <c r="AC273" s="908">
        <f>1276+4</f>
        <v>1280</v>
      </c>
      <c r="AD273" s="908">
        <f t="shared" si="153"/>
        <v>0</v>
      </c>
      <c r="AE273" s="727"/>
      <c r="AF273" s="696"/>
      <c r="AG273" s="776"/>
      <c r="AH273" s="786"/>
      <c r="AI273" s="786"/>
      <c r="AJ273" s="786"/>
      <c r="AK273" s="786"/>
      <c r="AL273" s="786"/>
      <c r="AM273" s="801"/>
      <c r="AN273" s="801"/>
      <c r="AO273" s="801"/>
      <c r="AP273" s="801"/>
      <c r="AQ273" s="801"/>
      <c r="AR273" s="801"/>
      <c r="AS273" s="801"/>
      <c r="AT273" s="801"/>
      <c r="AU273" s="801"/>
      <c r="AV273" s="801"/>
      <c r="AW273" s="801"/>
      <c r="AX273" s="801"/>
      <c r="AY273" s="801"/>
      <c r="AZ273" s="801"/>
      <c r="BA273" s="801"/>
      <c r="BB273" s="786"/>
      <c r="BC273" s="801"/>
      <c r="BD273" s="898"/>
      <c r="BE273" s="898"/>
      <c r="BF273" s="776"/>
      <c r="BG273" s="727" t="s">
        <v>3771</v>
      </c>
      <c r="BH273" s="712" t="s">
        <v>3576</v>
      </c>
      <c r="BI273" s="712" t="s">
        <v>3576</v>
      </c>
    </row>
    <row r="274" s="693" customFormat="1" ht="31" customHeight="1" spans="1:61">
      <c r="A274" s="810">
        <v>45072</v>
      </c>
      <c r="B274" s="791" t="s">
        <v>90</v>
      </c>
      <c r="C274" s="789" t="s">
        <v>91</v>
      </c>
      <c r="D274" s="791">
        <v>4500105064</v>
      </c>
      <c r="E274" s="746">
        <v>4329901838</v>
      </c>
      <c r="F274" s="791" t="s">
        <v>3791</v>
      </c>
      <c r="G274" s="711" t="s">
        <v>2051</v>
      </c>
      <c r="H274" s="712" t="s">
        <v>2052</v>
      </c>
      <c r="I274" s="711">
        <v>1280</v>
      </c>
      <c r="J274" s="711">
        <v>0</v>
      </c>
      <c r="K274" s="711">
        <v>2</v>
      </c>
      <c r="L274" s="698">
        <f t="shared" si="151"/>
        <v>640</v>
      </c>
      <c r="M274" s="829">
        <v>45141</v>
      </c>
      <c r="N274" s="829" t="s">
        <v>3767</v>
      </c>
      <c r="O274" s="868"/>
      <c r="P274" s="869"/>
      <c r="Q274" s="890"/>
      <c r="R274" s="775"/>
      <c r="S274" s="775" t="s">
        <v>58</v>
      </c>
      <c r="T274" s="775"/>
      <c r="U274" s="789"/>
      <c r="V274" s="794"/>
      <c r="W274" s="791" t="s">
        <v>101</v>
      </c>
      <c r="X274" s="819">
        <v>0</v>
      </c>
      <c r="Y274" s="725">
        <v>0</v>
      </c>
      <c r="Z274" s="832"/>
      <c r="AA274" s="775" t="s">
        <v>63</v>
      </c>
      <c r="AB274" s="775" t="s">
        <v>38</v>
      </c>
      <c r="AC274" s="832"/>
      <c r="AD274" s="832"/>
      <c r="AE274" s="727"/>
      <c r="AF274" s="696"/>
      <c r="AG274" s="776">
        <f t="shared" si="154"/>
        <v>1280</v>
      </c>
      <c r="AH274" s="786"/>
      <c r="AI274" s="786"/>
      <c r="AJ274" s="786"/>
      <c r="AK274" s="786"/>
      <c r="AL274" s="786"/>
      <c r="AM274" s="801"/>
      <c r="AN274" s="801"/>
      <c r="AO274" s="801"/>
      <c r="AP274" s="801"/>
      <c r="AQ274" s="801">
        <f t="shared" si="155"/>
        <v>1280</v>
      </c>
      <c r="AR274" s="801"/>
      <c r="AS274" s="801"/>
      <c r="AT274" s="801"/>
      <c r="AU274" s="801"/>
      <c r="AV274" s="801"/>
      <c r="AW274" s="801"/>
      <c r="AX274" s="801"/>
      <c r="AY274" s="801"/>
      <c r="AZ274" s="801"/>
      <c r="BA274" s="801"/>
      <c r="BB274" s="786"/>
      <c r="BC274" s="801"/>
      <c r="BD274" s="898">
        <f t="shared" si="156"/>
        <v>1280</v>
      </c>
      <c r="BE274" s="898"/>
      <c r="BF274" s="776"/>
      <c r="BG274" s="727" t="s">
        <v>3771</v>
      </c>
      <c r="BH274" s="712" t="s">
        <v>3576</v>
      </c>
      <c r="BI274" s="712" t="s">
        <v>3576</v>
      </c>
    </row>
    <row r="275" s="693" customFormat="1" ht="31" customHeight="1" spans="1:61">
      <c r="A275" s="810">
        <v>45072</v>
      </c>
      <c r="B275" s="791" t="s">
        <v>90</v>
      </c>
      <c r="C275" s="789" t="s">
        <v>91</v>
      </c>
      <c r="D275" s="791">
        <v>4500105064</v>
      </c>
      <c r="E275" s="746">
        <v>4329901839</v>
      </c>
      <c r="F275" s="791" t="s">
        <v>3793</v>
      </c>
      <c r="G275" s="791" t="s">
        <v>3766</v>
      </c>
      <c r="H275" s="712" t="s">
        <v>2045</v>
      </c>
      <c r="I275" s="791">
        <v>4</v>
      </c>
      <c r="J275" s="711">
        <v>0</v>
      </c>
      <c r="K275" s="711">
        <v>1</v>
      </c>
      <c r="L275" s="698">
        <f t="shared" si="151"/>
        <v>4</v>
      </c>
      <c r="M275" s="829">
        <v>45141</v>
      </c>
      <c r="N275" s="829" t="s">
        <v>3767</v>
      </c>
      <c r="O275" s="904"/>
      <c r="P275" s="903"/>
      <c r="Q275" s="890"/>
      <c r="R275" s="906" t="s">
        <v>3768</v>
      </c>
      <c r="S275" s="775"/>
      <c r="T275" s="906">
        <v>45080</v>
      </c>
      <c r="U275" s="907" t="s">
        <v>3790</v>
      </c>
      <c r="V275" s="794" t="s">
        <v>3792</v>
      </c>
      <c r="W275" s="791" t="s">
        <v>101</v>
      </c>
      <c r="X275" s="819">
        <v>936.8514</v>
      </c>
      <c r="Y275" s="725">
        <f t="shared" si="157"/>
        <v>3747.4056</v>
      </c>
      <c r="Z275" s="832"/>
      <c r="AA275" s="775" t="s">
        <v>63</v>
      </c>
      <c r="AB275" s="775" t="s">
        <v>38</v>
      </c>
      <c r="AC275" s="908">
        <v>1280</v>
      </c>
      <c r="AD275" s="908">
        <f t="shared" si="153"/>
        <v>0</v>
      </c>
      <c r="AE275" s="727"/>
      <c r="AF275" s="696"/>
      <c r="AG275" s="776"/>
      <c r="AH275" s="786"/>
      <c r="AI275" s="786"/>
      <c r="AJ275" s="786"/>
      <c r="AK275" s="786"/>
      <c r="AL275" s="786"/>
      <c r="AM275" s="801"/>
      <c r="AN275" s="801"/>
      <c r="AO275" s="801"/>
      <c r="AP275" s="801"/>
      <c r="AQ275" s="801"/>
      <c r="AR275" s="801"/>
      <c r="AS275" s="801"/>
      <c r="AT275" s="801"/>
      <c r="AU275" s="801"/>
      <c r="AV275" s="801"/>
      <c r="AW275" s="801"/>
      <c r="AX275" s="801"/>
      <c r="AY275" s="801"/>
      <c r="AZ275" s="801"/>
      <c r="BA275" s="801"/>
      <c r="BB275" s="786"/>
      <c r="BC275" s="801"/>
      <c r="BD275" s="898"/>
      <c r="BE275" s="898"/>
      <c r="BF275" s="776"/>
      <c r="BG275" s="727" t="s">
        <v>3771</v>
      </c>
      <c r="BH275" s="712" t="s">
        <v>3576</v>
      </c>
      <c r="BI275" s="712" t="s">
        <v>3576</v>
      </c>
    </row>
    <row r="276" s="693" customFormat="1" ht="31" customHeight="1" spans="1:61">
      <c r="A276" s="810">
        <v>45072</v>
      </c>
      <c r="B276" s="791" t="s">
        <v>90</v>
      </c>
      <c r="C276" s="789" t="s">
        <v>91</v>
      </c>
      <c r="D276" s="791">
        <v>4500105064</v>
      </c>
      <c r="E276" s="746">
        <v>4329901839</v>
      </c>
      <c r="F276" s="791" t="s">
        <v>3793</v>
      </c>
      <c r="G276" s="711" t="s">
        <v>2051</v>
      </c>
      <c r="H276" s="712" t="s">
        <v>2052</v>
      </c>
      <c r="I276" s="791">
        <v>1280</v>
      </c>
      <c r="J276" s="711">
        <v>0</v>
      </c>
      <c r="K276" s="711">
        <v>2</v>
      </c>
      <c r="L276" s="698">
        <f t="shared" si="151"/>
        <v>640</v>
      </c>
      <c r="M276" s="829">
        <v>45141</v>
      </c>
      <c r="N276" s="829" t="s">
        <v>3767</v>
      </c>
      <c r="O276" s="868"/>
      <c r="P276" s="869"/>
      <c r="Q276" s="890"/>
      <c r="R276" s="775"/>
      <c r="S276" s="775" t="s">
        <v>58</v>
      </c>
      <c r="T276" s="775"/>
      <c r="U276" s="789"/>
      <c r="V276" s="794"/>
      <c r="W276" s="791" t="s">
        <v>101</v>
      </c>
      <c r="X276" s="819">
        <v>0</v>
      </c>
      <c r="Y276" s="725">
        <v>0</v>
      </c>
      <c r="Z276" s="832"/>
      <c r="AA276" s="775" t="s">
        <v>63</v>
      </c>
      <c r="AB276" s="775" t="s">
        <v>38</v>
      </c>
      <c r="AC276" s="832"/>
      <c r="AD276" s="832"/>
      <c r="AE276" s="727"/>
      <c r="AF276" s="696"/>
      <c r="AG276" s="776">
        <f t="shared" si="154"/>
        <v>1280</v>
      </c>
      <c r="AH276" s="786"/>
      <c r="AI276" s="786"/>
      <c r="AJ276" s="786"/>
      <c r="AK276" s="786"/>
      <c r="AL276" s="786"/>
      <c r="AM276" s="801"/>
      <c r="AN276" s="801"/>
      <c r="AO276" s="801"/>
      <c r="AP276" s="801"/>
      <c r="AQ276" s="801">
        <f t="shared" si="155"/>
        <v>1280</v>
      </c>
      <c r="AR276" s="801"/>
      <c r="AS276" s="801"/>
      <c r="AT276" s="801"/>
      <c r="AU276" s="801"/>
      <c r="AV276" s="801"/>
      <c r="AW276" s="801"/>
      <c r="AX276" s="801"/>
      <c r="AY276" s="801"/>
      <c r="AZ276" s="801"/>
      <c r="BA276" s="801"/>
      <c r="BB276" s="786"/>
      <c r="BC276" s="801"/>
      <c r="BD276" s="898">
        <f t="shared" si="156"/>
        <v>1280</v>
      </c>
      <c r="BE276" s="898"/>
      <c r="BF276" s="776"/>
      <c r="BG276" s="727" t="s">
        <v>3771</v>
      </c>
      <c r="BH276" s="712" t="s">
        <v>3576</v>
      </c>
      <c r="BI276" s="712" t="s">
        <v>3576</v>
      </c>
    </row>
    <row r="277" s="693" customFormat="1" ht="31" customHeight="1" spans="1:61">
      <c r="A277" s="810">
        <v>45072</v>
      </c>
      <c r="B277" s="791" t="s">
        <v>90</v>
      </c>
      <c r="C277" s="789" t="s">
        <v>91</v>
      </c>
      <c r="D277" s="791">
        <v>4500105064</v>
      </c>
      <c r="E277" s="746">
        <v>4329901840</v>
      </c>
      <c r="F277" s="791" t="s">
        <v>3794</v>
      </c>
      <c r="G277" s="791" t="s">
        <v>3766</v>
      </c>
      <c r="H277" s="712" t="s">
        <v>2045</v>
      </c>
      <c r="I277" s="791">
        <v>2</v>
      </c>
      <c r="J277" s="711">
        <v>0</v>
      </c>
      <c r="K277" s="711">
        <v>1</v>
      </c>
      <c r="L277" s="698">
        <f t="shared" si="151"/>
        <v>2</v>
      </c>
      <c r="M277" s="829">
        <v>45141</v>
      </c>
      <c r="N277" s="829" t="s">
        <v>3767</v>
      </c>
      <c r="O277" s="904"/>
      <c r="P277" s="903"/>
      <c r="Q277" s="890"/>
      <c r="R277" s="906" t="s">
        <v>3768</v>
      </c>
      <c r="S277" s="775"/>
      <c r="T277" s="906">
        <v>45080</v>
      </c>
      <c r="U277" s="907" t="s">
        <v>3790</v>
      </c>
      <c r="V277" s="794" t="s">
        <v>3792</v>
      </c>
      <c r="W277" s="791" t="s">
        <v>101</v>
      </c>
      <c r="X277" s="819">
        <v>936.8514</v>
      </c>
      <c r="Y277" s="725">
        <f t="shared" si="157"/>
        <v>1873.7028</v>
      </c>
      <c r="Z277" s="832"/>
      <c r="AA277" s="775" t="s">
        <v>63</v>
      </c>
      <c r="AB277" s="775" t="s">
        <v>38</v>
      </c>
      <c r="AC277" s="908">
        <v>640</v>
      </c>
      <c r="AD277" s="908">
        <f t="shared" ref="AD277:AD281" si="158">AC277-I278</f>
        <v>0</v>
      </c>
      <c r="AE277" s="727"/>
      <c r="AF277" s="696"/>
      <c r="AG277" s="776"/>
      <c r="AH277" s="786"/>
      <c r="AI277" s="786"/>
      <c r="AJ277" s="786"/>
      <c r="AK277" s="786"/>
      <c r="AL277" s="786"/>
      <c r="AM277" s="801"/>
      <c r="AN277" s="801"/>
      <c r="AO277" s="801"/>
      <c r="AP277" s="801"/>
      <c r="AQ277" s="801"/>
      <c r="AR277" s="801"/>
      <c r="AS277" s="801"/>
      <c r="AT277" s="801"/>
      <c r="AU277" s="801"/>
      <c r="AV277" s="801"/>
      <c r="AW277" s="801"/>
      <c r="AX277" s="801"/>
      <c r="AY277" s="801"/>
      <c r="AZ277" s="801"/>
      <c r="BA277" s="801"/>
      <c r="BB277" s="786"/>
      <c r="BC277" s="801"/>
      <c r="BD277" s="898"/>
      <c r="BE277" s="898"/>
      <c r="BF277" s="776"/>
      <c r="BG277" s="727" t="s">
        <v>3771</v>
      </c>
      <c r="BH277" s="712" t="s">
        <v>3576</v>
      </c>
      <c r="BI277" s="712" t="s">
        <v>3576</v>
      </c>
    </row>
    <row r="278" s="693" customFormat="1" ht="31" customHeight="1" spans="1:61">
      <c r="A278" s="810">
        <v>45072</v>
      </c>
      <c r="B278" s="791" t="s">
        <v>90</v>
      </c>
      <c r="C278" s="789" t="s">
        <v>91</v>
      </c>
      <c r="D278" s="791">
        <v>4500105064</v>
      </c>
      <c r="E278" s="746">
        <v>4329901840</v>
      </c>
      <c r="F278" s="791" t="s">
        <v>3794</v>
      </c>
      <c r="G278" s="711" t="s">
        <v>2051</v>
      </c>
      <c r="H278" s="712" t="s">
        <v>2052</v>
      </c>
      <c r="I278" s="791">
        <v>640</v>
      </c>
      <c r="J278" s="711">
        <v>0</v>
      </c>
      <c r="K278" s="711">
        <v>2</v>
      </c>
      <c r="L278" s="698">
        <f t="shared" si="151"/>
        <v>320</v>
      </c>
      <c r="M278" s="829">
        <v>45141</v>
      </c>
      <c r="N278" s="829" t="s">
        <v>3767</v>
      </c>
      <c r="O278" s="868"/>
      <c r="P278" s="869"/>
      <c r="Q278" s="890"/>
      <c r="R278" s="775"/>
      <c r="S278" s="775" t="s">
        <v>58</v>
      </c>
      <c r="T278" s="775"/>
      <c r="U278" s="789"/>
      <c r="V278" s="794"/>
      <c r="W278" s="791" t="s">
        <v>101</v>
      </c>
      <c r="X278" s="819">
        <v>0</v>
      </c>
      <c r="Y278" s="725">
        <v>0</v>
      </c>
      <c r="Z278" s="832"/>
      <c r="AA278" s="775" t="s">
        <v>63</v>
      </c>
      <c r="AB278" s="775" t="s">
        <v>38</v>
      </c>
      <c r="AC278" s="832"/>
      <c r="AD278" s="832"/>
      <c r="AE278" s="727"/>
      <c r="AF278" s="696"/>
      <c r="AG278" s="776">
        <f>I278</f>
        <v>640</v>
      </c>
      <c r="AH278" s="786"/>
      <c r="AI278" s="786"/>
      <c r="AJ278" s="786"/>
      <c r="AK278" s="786"/>
      <c r="AL278" s="786"/>
      <c r="AM278" s="801"/>
      <c r="AN278" s="801"/>
      <c r="AO278" s="801"/>
      <c r="AP278" s="801"/>
      <c r="AQ278" s="801">
        <f t="shared" ref="AQ278:AQ282" si="159">I278</f>
        <v>640</v>
      </c>
      <c r="AR278" s="801"/>
      <c r="AS278" s="801"/>
      <c r="AT278" s="801"/>
      <c r="AU278" s="801"/>
      <c r="AV278" s="801"/>
      <c r="AW278" s="801"/>
      <c r="AX278" s="801"/>
      <c r="AY278" s="801"/>
      <c r="AZ278" s="801"/>
      <c r="BA278" s="801"/>
      <c r="BB278" s="786"/>
      <c r="BC278" s="801"/>
      <c r="BD278" s="898">
        <f t="shared" ref="BD278:BD282" si="160">I278</f>
        <v>640</v>
      </c>
      <c r="BE278" s="898"/>
      <c r="BF278" s="776"/>
      <c r="BG278" s="727" t="s">
        <v>3771</v>
      </c>
      <c r="BH278" s="712" t="s">
        <v>3576</v>
      </c>
      <c r="BI278" s="712" t="s">
        <v>3576</v>
      </c>
    </row>
    <row r="279" s="693" customFormat="1" ht="31" customHeight="1" spans="1:61">
      <c r="A279" s="810">
        <v>45072</v>
      </c>
      <c r="B279" s="791" t="s">
        <v>90</v>
      </c>
      <c r="C279" s="789" t="s">
        <v>91</v>
      </c>
      <c r="D279" s="791">
        <v>4500105064</v>
      </c>
      <c r="E279" s="746">
        <v>4329901841</v>
      </c>
      <c r="F279" s="791" t="s">
        <v>3795</v>
      </c>
      <c r="G279" s="791" t="s">
        <v>3766</v>
      </c>
      <c r="H279" s="712" t="s">
        <v>2045</v>
      </c>
      <c r="I279" s="791">
        <v>2</v>
      </c>
      <c r="J279" s="711">
        <v>0</v>
      </c>
      <c r="K279" s="711">
        <v>1</v>
      </c>
      <c r="L279" s="698">
        <f t="shared" si="151"/>
        <v>2</v>
      </c>
      <c r="M279" s="829">
        <v>45141</v>
      </c>
      <c r="N279" s="829" t="s">
        <v>3767</v>
      </c>
      <c r="O279" s="904"/>
      <c r="P279" s="903"/>
      <c r="Q279" s="890"/>
      <c r="R279" s="906" t="s">
        <v>3768</v>
      </c>
      <c r="S279" s="775"/>
      <c r="T279" s="906">
        <v>45080</v>
      </c>
      <c r="U279" s="907" t="s">
        <v>3790</v>
      </c>
      <c r="V279" s="794" t="s">
        <v>3792</v>
      </c>
      <c r="W279" s="791" t="s">
        <v>101</v>
      </c>
      <c r="X279" s="819">
        <v>936.8514</v>
      </c>
      <c r="Y279" s="725">
        <f t="shared" ref="Y279:Y283" si="161">X279*I279</f>
        <v>1873.7028</v>
      </c>
      <c r="Z279" s="832"/>
      <c r="AA279" s="775" t="s">
        <v>63</v>
      </c>
      <c r="AB279" s="775" t="s">
        <v>38</v>
      </c>
      <c r="AC279" s="908">
        <v>640</v>
      </c>
      <c r="AD279" s="908">
        <f t="shared" si="158"/>
        <v>0</v>
      </c>
      <c r="AE279" s="727"/>
      <c r="AF279" s="696"/>
      <c r="AG279" s="776"/>
      <c r="AH279" s="786"/>
      <c r="AI279" s="786"/>
      <c r="AJ279" s="786"/>
      <c r="AK279" s="786"/>
      <c r="AL279" s="786"/>
      <c r="AM279" s="801"/>
      <c r="AN279" s="801"/>
      <c r="AO279" s="801"/>
      <c r="AP279" s="801"/>
      <c r="AQ279" s="801"/>
      <c r="AR279" s="801"/>
      <c r="AS279" s="801"/>
      <c r="AT279" s="801"/>
      <c r="AU279" s="801"/>
      <c r="AV279" s="801"/>
      <c r="AW279" s="801"/>
      <c r="AX279" s="801"/>
      <c r="AY279" s="801"/>
      <c r="AZ279" s="801"/>
      <c r="BA279" s="801"/>
      <c r="BB279" s="786"/>
      <c r="BC279" s="801"/>
      <c r="BD279" s="898"/>
      <c r="BE279" s="898"/>
      <c r="BF279" s="776"/>
      <c r="BG279" s="727" t="s">
        <v>3771</v>
      </c>
      <c r="BH279" s="712" t="s">
        <v>3576</v>
      </c>
      <c r="BI279" s="712" t="s">
        <v>3576</v>
      </c>
    </row>
    <row r="280" s="693" customFormat="1" ht="31" customHeight="1" spans="1:61">
      <c r="A280" s="810">
        <v>45072</v>
      </c>
      <c r="B280" s="791" t="s">
        <v>90</v>
      </c>
      <c r="C280" s="789" t="s">
        <v>91</v>
      </c>
      <c r="D280" s="791">
        <v>4500105064</v>
      </c>
      <c r="E280" s="746">
        <v>4329901841</v>
      </c>
      <c r="F280" s="791" t="s">
        <v>3795</v>
      </c>
      <c r="G280" s="711" t="s">
        <v>2051</v>
      </c>
      <c r="H280" s="712" t="s">
        <v>2052</v>
      </c>
      <c r="I280" s="791">
        <v>640</v>
      </c>
      <c r="J280" s="711">
        <v>0</v>
      </c>
      <c r="K280" s="711">
        <v>2</v>
      </c>
      <c r="L280" s="698">
        <f t="shared" si="151"/>
        <v>320</v>
      </c>
      <c r="M280" s="829">
        <v>45141</v>
      </c>
      <c r="N280" s="829" t="s">
        <v>3767</v>
      </c>
      <c r="O280" s="868"/>
      <c r="P280" s="869"/>
      <c r="Q280" s="890"/>
      <c r="R280" s="775"/>
      <c r="S280" s="775" t="s">
        <v>58</v>
      </c>
      <c r="T280" s="775"/>
      <c r="U280" s="789"/>
      <c r="V280" s="794"/>
      <c r="W280" s="791" t="s">
        <v>101</v>
      </c>
      <c r="X280" s="819">
        <v>0</v>
      </c>
      <c r="Y280" s="725">
        <v>0</v>
      </c>
      <c r="Z280" s="832"/>
      <c r="AA280" s="775" t="s">
        <v>63</v>
      </c>
      <c r="AB280" s="775" t="s">
        <v>38</v>
      </c>
      <c r="AC280" s="832"/>
      <c r="AD280" s="832"/>
      <c r="AE280" s="727"/>
      <c r="AF280" s="696"/>
      <c r="AG280" s="776">
        <f>I280</f>
        <v>640</v>
      </c>
      <c r="AH280" s="786"/>
      <c r="AI280" s="786"/>
      <c r="AJ280" s="786"/>
      <c r="AK280" s="786"/>
      <c r="AL280" s="786"/>
      <c r="AM280" s="801"/>
      <c r="AN280" s="801"/>
      <c r="AO280" s="801"/>
      <c r="AP280" s="801"/>
      <c r="AQ280" s="801">
        <f t="shared" si="159"/>
        <v>640</v>
      </c>
      <c r="AR280" s="801"/>
      <c r="AS280" s="801"/>
      <c r="AT280" s="801"/>
      <c r="AU280" s="801"/>
      <c r="AV280" s="801"/>
      <c r="AW280" s="801"/>
      <c r="AX280" s="801"/>
      <c r="AY280" s="801"/>
      <c r="AZ280" s="801"/>
      <c r="BA280" s="801"/>
      <c r="BB280" s="786"/>
      <c r="BC280" s="801"/>
      <c r="BD280" s="898">
        <f t="shared" si="160"/>
        <v>640</v>
      </c>
      <c r="BE280" s="898"/>
      <c r="BF280" s="776"/>
      <c r="BG280" s="727" t="s">
        <v>3771</v>
      </c>
      <c r="BH280" s="712" t="s">
        <v>3576</v>
      </c>
      <c r="BI280" s="712" t="s">
        <v>3576</v>
      </c>
    </row>
    <row r="281" s="693" customFormat="1" ht="31" customHeight="1" spans="1:61">
      <c r="A281" s="810">
        <v>45072</v>
      </c>
      <c r="B281" s="791" t="s">
        <v>90</v>
      </c>
      <c r="C281" s="789" t="s">
        <v>91</v>
      </c>
      <c r="D281" s="791">
        <v>4500105064</v>
      </c>
      <c r="E281" s="746">
        <v>4329901844</v>
      </c>
      <c r="F281" s="791" t="s">
        <v>3796</v>
      </c>
      <c r="G281" s="711" t="s">
        <v>3797</v>
      </c>
      <c r="H281" s="712" t="s">
        <v>2060</v>
      </c>
      <c r="I281" s="791">
        <v>2</v>
      </c>
      <c r="J281" s="711">
        <v>0</v>
      </c>
      <c r="K281" s="711">
        <v>1</v>
      </c>
      <c r="L281" s="698">
        <f t="shared" si="151"/>
        <v>2</v>
      </c>
      <c r="M281" s="829">
        <v>45141</v>
      </c>
      <c r="N281" s="829" t="s">
        <v>3767</v>
      </c>
      <c r="O281" s="904"/>
      <c r="P281" s="903"/>
      <c r="Q281" s="890"/>
      <c r="R281" s="906" t="s">
        <v>3768</v>
      </c>
      <c r="S281" s="775"/>
      <c r="T281" s="906">
        <v>45080</v>
      </c>
      <c r="U281" s="907" t="s">
        <v>3790</v>
      </c>
      <c r="V281" s="794" t="s">
        <v>3792</v>
      </c>
      <c r="W281" s="791" t="s">
        <v>101</v>
      </c>
      <c r="X281" s="819">
        <v>1010.3554</v>
      </c>
      <c r="Y281" s="725">
        <f t="shared" si="161"/>
        <v>2020.7108</v>
      </c>
      <c r="Z281" s="832"/>
      <c r="AA281" s="775" t="s">
        <v>63</v>
      </c>
      <c r="AB281" s="775" t="s">
        <v>38</v>
      </c>
      <c r="AC281" s="908">
        <v>640</v>
      </c>
      <c r="AD281" s="908">
        <f t="shared" si="158"/>
        <v>0</v>
      </c>
      <c r="AE281" s="909"/>
      <c r="AF281" s="696"/>
      <c r="AG281" s="776"/>
      <c r="AH281" s="786"/>
      <c r="AI281" s="786"/>
      <c r="AJ281" s="786"/>
      <c r="AK281" s="786"/>
      <c r="AL281" s="786"/>
      <c r="AM281" s="801"/>
      <c r="AN281" s="801"/>
      <c r="AO281" s="801"/>
      <c r="AP281" s="801"/>
      <c r="AQ281" s="801"/>
      <c r="AR281" s="801"/>
      <c r="AS281" s="801"/>
      <c r="AT281" s="801"/>
      <c r="AU281" s="801"/>
      <c r="AV281" s="801"/>
      <c r="AW281" s="801"/>
      <c r="AX281" s="801"/>
      <c r="AY281" s="801"/>
      <c r="AZ281" s="801"/>
      <c r="BA281" s="801"/>
      <c r="BB281" s="786"/>
      <c r="BC281" s="801"/>
      <c r="BD281" s="898"/>
      <c r="BE281" s="898"/>
      <c r="BF281" s="776"/>
      <c r="BG281" s="727" t="s">
        <v>3771</v>
      </c>
      <c r="BH281" s="712" t="s">
        <v>3576</v>
      </c>
      <c r="BI281" s="712" t="s">
        <v>3576</v>
      </c>
    </row>
    <row r="282" s="693" customFormat="1" ht="31" customHeight="1" spans="1:61">
      <c r="A282" s="810">
        <v>45072</v>
      </c>
      <c r="B282" s="791" t="s">
        <v>90</v>
      </c>
      <c r="C282" s="789" t="s">
        <v>91</v>
      </c>
      <c r="D282" s="791">
        <v>4500105064</v>
      </c>
      <c r="E282" s="746">
        <v>4329901844</v>
      </c>
      <c r="F282" s="791" t="s">
        <v>3796</v>
      </c>
      <c r="G282" s="711" t="s">
        <v>2062</v>
      </c>
      <c r="H282" s="712" t="s">
        <v>2063</v>
      </c>
      <c r="I282" s="791">
        <v>640</v>
      </c>
      <c r="J282" s="711">
        <v>0</v>
      </c>
      <c r="K282" s="711">
        <v>2</v>
      </c>
      <c r="L282" s="698">
        <f t="shared" si="151"/>
        <v>320</v>
      </c>
      <c r="M282" s="829">
        <v>45141</v>
      </c>
      <c r="N282" s="829" t="s">
        <v>3767</v>
      </c>
      <c r="O282" s="868"/>
      <c r="P282" s="869"/>
      <c r="Q282" s="890"/>
      <c r="R282" s="775"/>
      <c r="S282" s="775" t="s">
        <v>58</v>
      </c>
      <c r="T282" s="775"/>
      <c r="U282" s="789"/>
      <c r="V282" s="794"/>
      <c r="W282" s="791" t="s">
        <v>101</v>
      </c>
      <c r="X282" s="819">
        <v>0</v>
      </c>
      <c r="Y282" s="725">
        <v>0</v>
      </c>
      <c r="Z282" s="832"/>
      <c r="AA282" s="775" t="s">
        <v>63</v>
      </c>
      <c r="AB282" s="775" t="s">
        <v>38</v>
      </c>
      <c r="AC282" s="832"/>
      <c r="AD282" s="832"/>
      <c r="AE282" s="836"/>
      <c r="AF282" s="696"/>
      <c r="AG282" s="776"/>
      <c r="AH282" s="854">
        <f>I282</f>
        <v>640</v>
      </c>
      <c r="AI282" s="786"/>
      <c r="AJ282" s="786"/>
      <c r="AK282" s="786"/>
      <c r="AL282" s="786"/>
      <c r="AM282" s="801"/>
      <c r="AN282" s="801"/>
      <c r="AO282" s="801"/>
      <c r="AP282" s="801"/>
      <c r="AQ282" s="801">
        <f t="shared" si="159"/>
        <v>640</v>
      </c>
      <c r="AR282" s="801"/>
      <c r="AS282" s="801"/>
      <c r="AT282" s="801"/>
      <c r="AU282" s="801"/>
      <c r="AV282" s="801"/>
      <c r="AW282" s="801"/>
      <c r="AX282" s="801"/>
      <c r="AY282" s="801"/>
      <c r="AZ282" s="801"/>
      <c r="BA282" s="801"/>
      <c r="BB282" s="786"/>
      <c r="BC282" s="801"/>
      <c r="BD282" s="898">
        <f t="shared" si="160"/>
        <v>640</v>
      </c>
      <c r="BE282" s="898"/>
      <c r="BF282" s="776"/>
      <c r="BG282" s="727" t="s">
        <v>3771</v>
      </c>
      <c r="BH282" s="712" t="s">
        <v>3576</v>
      </c>
      <c r="BI282" s="712" t="s">
        <v>3576</v>
      </c>
    </row>
    <row r="283" s="693" customFormat="1" ht="31" customHeight="1" spans="1:61">
      <c r="A283" s="810">
        <v>45061</v>
      </c>
      <c r="B283" s="791" t="s">
        <v>90</v>
      </c>
      <c r="C283" s="789" t="s">
        <v>91</v>
      </c>
      <c r="D283" s="791">
        <v>4500103125</v>
      </c>
      <c r="E283" s="746">
        <v>4829843482</v>
      </c>
      <c r="F283" s="791" t="s">
        <v>3798</v>
      </c>
      <c r="G283" s="711" t="s">
        <v>3766</v>
      </c>
      <c r="H283" s="712" t="s">
        <v>2045</v>
      </c>
      <c r="I283" s="791">
        <v>3</v>
      </c>
      <c r="J283" s="711">
        <v>0</v>
      </c>
      <c r="K283" s="711">
        <v>1</v>
      </c>
      <c r="L283" s="698">
        <f t="shared" si="151"/>
        <v>3</v>
      </c>
      <c r="M283" s="829">
        <v>45141</v>
      </c>
      <c r="N283" s="829" t="s">
        <v>3767</v>
      </c>
      <c r="O283" s="904"/>
      <c r="P283" s="903"/>
      <c r="Q283" s="890"/>
      <c r="R283" s="906" t="s">
        <v>3768</v>
      </c>
      <c r="S283" s="775" t="s">
        <v>58</v>
      </c>
      <c r="T283" s="906">
        <v>45080</v>
      </c>
      <c r="U283" s="789" t="s">
        <v>3769</v>
      </c>
      <c r="V283" s="794" t="s">
        <v>3770</v>
      </c>
      <c r="W283" s="789" t="s">
        <v>101</v>
      </c>
      <c r="X283" s="751">
        <v>968.9474</v>
      </c>
      <c r="Y283" s="745">
        <f t="shared" si="161"/>
        <v>2906.8422</v>
      </c>
      <c r="Z283" s="832"/>
      <c r="AA283" s="775" t="s">
        <v>63</v>
      </c>
      <c r="AB283" s="775" t="s">
        <v>38</v>
      </c>
      <c r="AC283" s="908">
        <v>960</v>
      </c>
      <c r="AD283" s="908">
        <f>AC283-I284</f>
        <v>0</v>
      </c>
      <c r="AE283" s="727"/>
      <c r="AF283" s="696"/>
      <c r="AG283" s="786"/>
      <c r="AH283" s="786"/>
      <c r="AI283" s="786"/>
      <c r="AJ283" s="786"/>
      <c r="AK283" s="786"/>
      <c r="AL283" s="786"/>
      <c r="AM283" s="801"/>
      <c r="AN283" s="801"/>
      <c r="AO283" s="801"/>
      <c r="AP283" s="801"/>
      <c r="AQ283" s="801"/>
      <c r="AR283" s="801"/>
      <c r="AS283" s="801"/>
      <c r="AT283" s="801"/>
      <c r="AU283" s="801"/>
      <c r="AV283" s="801"/>
      <c r="AW283" s="801"/>
      <c r="AX283" s="801"/>
      <c r="AY283" s="801"/>
      <c r="AZ283" s="801"/>
      <c r="BA283" s="801"/>
      <c r="BB283" s="786"/>
      <c r="BC283" s="801"/>
      <c r="BD283" s="898"/>
      <c r="BE283" s="898"/>
      <c r="BF283" s="776"/>
      <c r="BG283" s="727" t="s">
        <v>3771</v>
      </c>
      <c r="BH283" s="712" t="s">
        <v>3576</v>
      </c>
      <c r="BI283" s="712" t="s">
        <v>3576</v>
      </c>
    </row>
    <row r="284" s="693" customFormat="1" ht="31" customHeight="1" spans="1:61">
      <c r="A284" s="810">
        <v>45061</v>
      </c>
      <c r="B284" s="791" t="s">
        <v>90</v>
      </c>
      <c r="C284" s="789" t="s">
        <v>91</v>
      </c>
      <c r="D284" s="791">
        <v>4500103125</v>
      </c>
      <c r="E284" s="746">
        <v>4829843482</v>
      </c>
      <c r="F284" s="791" t="s">
        <v>3798</v>
      </c>
      <c r="G284" s="711" t="s">
        <v>2051</v>
      </c>
      <c r="H284" s="712" t="s">
        <v>2052</v>
      </c>
      <c r="I284" s="791">
        <v>960</v>
      </c>
      <c r="J284" s="711">
        <v>0</v>
      </c>
      <c r="K284" s="711">
        <v>2</v>
      </c>
      <c r="L284" s="698">
        <f t="shared" si="151"/>
        <v>480</v>
      </c>
      <c r="M284" s="829">
        <v>45141</v>
      </c>
      <c r="N284" s="829" t="s">
        <v>3767</v>
      </c>
      <c r="O284" s="868"/>
      <c r="P284" s="869"/>
      <c r="Q284" s="890"/>
      <c r="R284" s="775"/>
      <c r="S284" s="775" t="s">
        <v>58</v>
      </c>
      <c r="T284" s="775"/>
      <c r="U284" s="789" t="s">
        <v>3769</v>
      </c>
      <c r="V284" s="795"/>
      <c r="W284" s="789" t="s">
        <v>101</v>
      </c>
      <c r="X284" s="751">
        <v>0</v>
      </c>
      <c r="Y284" s="745">
        <v>0</v>
      </c>
      <c r="Z284" s="832"/>
      <c r="AA284" s="775" t="s">
        <v>63</v>
      </c>
      <c r="AB284" s="775" t="s">
        <v>38</v>
      </c>
      <c r="AC284" s="832"/>
      <c r="AD284" s="832"/>
      <c r="AE284" s="727"/>
      <c r="AF284" s="696"/>
      <c r="AG284" s="776">
        <f>I284</f>
        <v>960</v>
      </c>
      <c r="AH284" s="786"/>
      <c r="AI284" s="786"/>
      <c r="AJ284" s="786"/>
      <c r="AK284" s="786"/>
      <c r="AL284" s="786"/>
      <c r="AM284" s="801"/>
      <c r="AN284" s="801"/>
      <c r="AO284" s="801"/>
      <c r="AP284" s="801"/>
      <c r="AQ284" s="801">
        <f t="shared" ref="AQ284:AQ308" si="162">I284</f>
        <v>960</v>
      </c>
      <c r="AR284" s="801"/>
      <c r="AS284" s="801"/>
      <c r="AT284" s="801"/>
      <c r="AU284" s="801"/>
      <c r="AV284" s="801"/>
      <c r="AW284" s="801"/>
      <c r="AX284" s="801"/>
      <c r="AY284" s="801"/>
      <c r="AZ284" s="801"/>
      <c r="BA284" s="801"/>
      <c r="BB284" s="786"/>
      <c r="BC284" s="801"/>
      <c r="BD284" s="898">
        <f>I284</f>
        <v>960</v>
      </c>
      <c r="BE284" s="898"/>
      <c r="BF284" s="776"/>
      <c r="BG284" s="727" t="s">
        <v>3771</v>
      </c>
      <c r="BH284" s="712" t="s">
        <v>3576</v>
      </c>
      <c r="BI284" s="712" t="s">
        <v>3576</v>
      </c>
    </row>
    <row r="285" s="693" customFormat="1" ht="31" customHeight="1" spans="1:61">
      <c r="A285" s="810">
        <v>45061</v>
      </c>
      <c r="B285" s="791" t="s">
        <v>90</v>
      </c>
      <c r="C285" s="789" t="s">
        <v>91</v>
      </c>
      <c r="D285" s="791">
        <v>4500103125</v>
      </c>
      <c r="E285" s="746">
        <v>4829843483</v>
      </c>
      <c r="F285" s="791" t="s">
        <v>3799</v>
      </c>
      <c r="G285" s="711" t="s">
        <v>3766</v>
      </c>
      <c r="H285" s="712" t="s">
        <v>2045</v>
      </c>
      <c r="I285" s="791">
        <v>1</v>
      </c>
      <c r="J285" s="711">
        <v>0</v>
      </c>
      <c r="K285" s="711">
        <v>1</v>
      </c>
      <c r="L285" s="698">
        <f t="shared" si="151"/>
        <v>1</v>
      </c>
      <c r="M285" s="829">
        <v>45141</v>
      </c>
      <c r="N285" s="829" t="s">
        <v>3767</v>
      </c>
      <c r="O285" s="904"/>
      <c r="P285" s="903"/>
      <c r="Q285" s="890"/>
      <c r="R285" s="906" t="s">
        <v>3768</v>
      </c>
      <c r="S285" s="775" t="s">
        <v>58</v>
      </c>
      <c r="T285" s="906">
        <v>45080</v>
      </c>
      <c r="U285" s="789" t="s">
        <v>3769</v>
      </c>
      <c r="V285" s="794" t="s">
        <v>3770</v>
      </c>
      <c r="W285" s="789" t="s">
        <v>101</v>
      </c>
      <c r="X285" s="751">
        <v>968.9474</v>
      </c>
      <c r="Y285" s="745">
        <f>I285*X285</f>
        <v>968.9474</v>
      </c>
      <c r="Z285" s="832"/>
      <c r="AA285" s="775" t="s">
        <v>63</v>
      </c>
      <c r="AB285" s="775" t="s">
        <v>38</v>
      </c>
      <c r="AC285" s="908">
        <v>320</v>
      </c>
      <c r="AD285" s="908">
        <f>AC285-I286</f>
        <v>0</v>
      </c>
      <c r="AE285" s="727"/>
      <c r="AF285" s="696"/>
      <c r="AG285" s="786"/>
      <c r="AH285" s="786"/>
      <c r="AI285" s="786"/>
      <c r="AJ285" s="786"/>
      <c r="AK285" s="786"/>
      <c r="AL285" s="786"/>
      <c r="AM285" s="801"/>
      <c r="AN285" s="801"/>
      <c r="AO285" s="801"/>
      <c r="AP285" s="801"/>
      <c r="AQ285" s="801"/>
      <c r="AR285" s="801"/>
      <c r="AS285" s="801"/>
      <c r="AT285" s="801"/>
      <c r="AU285" s="801"/>
      <c r="AV285" s="801"/>
      <c r="AW285" s="801"/>
      <c r="AX285" s="801"/>
      <c r="AY285" s="801"/>
      <c r="AZ285" s="801"/>
      <c r="BA285" s="801"/>
      <c r="BB285" s="786"/>
      <c r="BC285" s="801"/>
      <c r="BD285" s="898"/>
      <c r="BE285" s="898"/>
      <c r="BF285" s="776"/>
      <c r="BG285" s="727" t="s">
        <v>3771</v>
      </c>
      <c r="BH285" s="712" t="s">
        <v>3576</v>
      </c>
      <c r="BI285" s="712" t="s">
        <v>3576</v>
      </c>
    </row>
    <row r="286" s="693" customFormat="1" ht="31" customHeight="1" spans="1:61">
      <c r="A286" s="810">
        <v>45061</v>
      </c>
      <c r="B286" s="791" t="s">
        <v>90</v>
      </c>
      <c r="C286" s="789" t="s">
        <v>91</v>
      </c>
      <c r="D286" s="791">
        <v>4500103125</v>
      </c>
      <c r="E286" s="746">
        <v>4829843483</v>
      </c>
      <c r="F286" s="791" t="s">
        <v>3799</v>
      </c>
      <c r="G286" s="711" t="s">
        <v>2051</v>
      </c>
      <c r="H286" s="712" t="s">
        <v>2052</v>
      </c>
      <c r="I286" s="791">
        <v>320</v>
      </c>
      <c r="J286" s="711">
        <v>0</v>
      </c>
      <c r="K286" s="711">
        <v>2</v>
      </c>
      <c r="L286" s="698">
        <f t="shared" si="151"/>
        <v>160</v>
      </c>
      <c r="M286" s="829">
        <v>45141</v>
      </c>
      <c r="N286" s="829" t="s">
        <v>3767</v>
      </c>
      <c r="O286" s="868"/>
      <c r="P286" s="869"/>
      <c r="Q286" s="890"/>
      <c r="R286" s="775"/>
      <c r="S286" s="775" t="s">
        <v>58</v>
      </c>
      <c r="T286" s="775"/>
      <c r="U286" s="789" t="s">
        <v>3769</v>
      </c>
      <c r="V286" s="795"/>
      <c r="W286" s="789" t="s">
        <v>101</v>
      </c>
      <c r="X286" s="751">
        <v>0</v>
      </c>
      <c r="Y286" s="745">
        <v>0</v>
      </c>
      <c r="Z286" s="832"/>
      <c r="AA286" s="775" t="s">
        <v>63</v>
      </c>
      <c r="AB286" s="775" t="s">
        <v>38</v>
      </c>
      <c r="AC286" s="832"/>
      <c r="AD286" s="832"/>
      <c r="AE286" s="727"/>
      <c r="AF286" s="696"/>
      <c r="AG286" s="776">
        <f>I286</f>
        <v>320</v>
      </c>
      <c r="AH286" s="786"/>
      <c r="AI286" s="786"/>
      <c r="AJ286" s="786"/>
      <c r="AK286" s="786"/>
      <c r="AL286" s="786"/>
      <c r="AM286" s="801"/>
      <c r="AN286" s="801"/>
      <c r="AO286" s="801"/>
      <c r="AP286" s="801"/>
      <c r="AQ286" s="801">
        <f t="shared" si="162"/>
        <v>320</v>
      </c>
      <c r="AR286" s="801"/>
      <c r="AS286" s="801"/>
      <c r="AT286" s="801"/>
      <c r="AU286" s="801"/>
      <c r="AV286" s="801"/>
      <c r="AW286" s="801"/>
      <c r="AX286" s="801"/>
      <c r="AY286" s="801"/>
      <c r="AZ286" s="801"/>
      <c r="BA286" s="801"/>
      <c r="BB286" s="786"/>
      <c r="BC286" s="801"/>
      <c r="BD286" s="898">
        <f>I286</f>
        <v>320</v>
      </c>
      <c r="BE286" s="898"/>
      <c r="BF286" s="776"/>
      <c r="BG286" s="727" t="s">
        <v>3771</v>
      </c>
      <c r="BH286" s="712" t="s">
        <v>3576</v>
      </c>
      <c r="BI286" s="712" t="s">
        <v>3576</v>
      </c>
    </row>
    <row r="287" s="693" customFormat="1" ht="31" customHeight="1" spans="1:61">
      <c r="A287" s="810">
        <v>45105</v>
      </c>
      <c r="B287" s="789" t="s">
        <v>2154</v>
      </c>
      <c r="C287" s="789" t="s">
        <v>258</v>
      </c>
      <c r="D287" s="791">
        <v>4500107489</v>
      </c>
      <c r="E287" s="746">
        <v>11028</v>
      </c>
      <c r="F287" s="791" t="s">
        <v>3800</v>
      </c>
      <c r="G287" s="711" t="s">
        <v>3569</v>
      </c>
      <c r="H287" s="712" t="s">
        <v>2119</v>
      </c>
      <c r="I287" s="881">
        <v>1500</v>
      </c>
      <c r="J287" s="711">
        <v>0</v>
      </c>
      <c r="K287" s="711">
        <v>12</v>
      </c>
      <c r="L287" s="698">
        <f t="shared" si="151"/>
        <v>125</v>
      </c>
      <c r="M287" s="829">
        <v>45141</v>
      </c>
      <c r="N287" s="829" t="s">
        <v>3801</v>
      </c>
      <c r="O287" s="868" t="s">
        <v>3802</v>
      </c>
      <c r="P287" s="868"/>
      <c r="Q287" s="890"/>
      <c r="R287" s="775">
        <v>45114</v>
      </c>
      <c r="S287" s="775" t="s">
        <v>58</v>
      </c>
      <c r="T287" s="775" t="s">
        <v>58</v>
      </c>
      <c r="U287" s="789" t="s">
        <v>3803</v>
      </c>
      <c r="V287" s="794" t="s">
        <v>3804</v>
      </c>
      <c r="W287" s="791" t="s">
        <v>1987</v>
      </c>
      <c r="X287" s="819">
        <v>2.9018</v>
      </c>
      <c r="Y287" s="725">
        <f t="shared" ref="Y287:Y308" si="163">X287*I287</f>
        <v>4352.7</v>
      </c>
      <c r="Z287" s="832"/>
      <c r="AA287" s="775" t="s">
        <v>63</v>
      </c>
      <c r="AB287" s="775" t="s">
        <v>38</v>
      </c>
      <c r="AC287" s="832" t="s">
        <v>3782</v>
      </c>
      <c r="AD287" s="832"/>
      <c r="AE287" s="836" t="s">
        <v>58</v>
      </c>
      <c r="AF287" s="696"/>
      <c r="AG287" s="776">
        <f t="shared" ref="AG287:AG308" si="164">I287/3</f>
        <v>500</v>
      </c>
      <c r="AH287" s="776">
        <f t="shared" ref="AH287:AH308" si="165">I287/3</f>
        <v>500</v>
      </c>
      <c r="AI287" s="776">
        <f t="shared" ref="AI287:AI308" si="166">I287/3</f>
        <v>500</v>
      </c>
      <c r="AJ287" s="786"/>
      <c r="AK287" s="786"/>
      <c r="AL287" s="786"/>
      <c r="AM287" s="801"/>
      <c r="AN287" s="801"/>
      <c r="AO287" s="801"/>
      <c r="AP287" s="801"/>
      <c r="AQ287" s="801">
        <f t="shared" si="162"/>
        <v>1500</v>
      </c>
      <c r="AR287" s="801"/>
      <c r="AS287" s="801"/>
      <c r="AT287" s="801"/>
      <c r="AU287" s="801"/>
      <c r="AV287" s="801">
        <f t="shared" ref="AV287:AV308" si="167">I287</f>
        <v>1500</v>
      </c>
      <c r="AW287" s="801"/>
      <c r="AX287" s="801"/>
      <c r="AY287" s="801"/>
      <c r="AZ287" s="801"/>
      <c r="BA287" s="801"/>
      <c r="BB287" s="786"/>
      <c r="BC287" s="801"/>
      <c r="BD287" s="898"/>
      <c r="BE287" s="898"/>
      <c r="BF287" s="776"/>
      <c r="BG287" s="727" t="s">
        <v>3771</v>
      </c>
      <c r="BH287" s="712" t="s">
        <v>3576</v>
      </c>
      <c r="BI287" s="712" t="s">
        <v>3576</v>
      </c>
    </row>
    <row r="288" s="693" customFormat="1" ht="31" customHeight="1" spans="1:61">
      <c r="A288" s="810">
        <v>45057</v>
      </c>
      <c r="B288" s="791" t="s">
        <v>230</v>
      </c>
      <c r="C288" s="789" t="s">
        <v>91</v>
      </c>
      <c r="D288" s="791">
        <v>4500103369</v>
      </c>
      <c r="E288" s="746">
        <v>60084296</v>
      </c>
      <c r="F288" s="791" t="s">
        <v>3805</v>
      </c>
      <c r="G288" s="791" t="s">
        <v>3569</v>
      </c>
      <c r="H288" s="712" t="s">
        <v>2119</v>
      </c>
      <c r="I288" s="881">
        <v>6660</v>
      </c>
      <c r="J288" s="711">
        <v>0</v>
      </c>
      <c r="K288" s="711">
        <v>12</v>
      </c>
      <c r="L288" s="698">
        <f t="shared" si="151"/>
        <v>555</v>
      </c>
      <c r="M288" s="829" t="s">
        <v>3806</v>
      </c>
      <c r="N288" s="829" t="s">
        <v>3807</v>
      </c>
      <c r="O288" s="868" t="s">
        <v>3802</v>
      </c>
      <c r="P288" s="868"/>
      <c r="Q288" s="848"/>
      <c r="R288" s="744">
        <v>45078</v>
      </c>
      <c r="S288" s="744" t="s">
        <v>58</v>
      </c>
      <c r="T288" s="744">
        <v>45097</v>
      </c>
      <c r="U288" s="712" t="s">
        <v>235</v>
      </c>
      <c r="V288" s="795" t="s">
        <v>3808</v>
      </c>
      <c r="W288" s="789" t="s">
        <v>3630</v>
      </c>
      <c r="X288" s="819">
        <v>2.761</v>
      </c>
      <c r="Y288" s="725">
        <f t="shared" si="163"/>
        <v>18388.26</v>
      </c>
      <c r="Z288" s="832"/>
      <c r="AA288" s="775" t="s">
        <v>63</v>
      </c>
      <c r="AB288" s="775" t="s">
        <v>38</v>
      </c>
      <c r="AC288" s="856">
        <f>2364</f>
        <v>2364</v>
      </c>
      <c r="AD288" s="832">
        <f t="shared" ref="AD288:AD292" si="168">AC288-I288</f>
        <v>-4296</v>
      </c>
      <c r="AE288" s="836" t="s">
        <v>327</v>
      </c>
      <c r="AF288" s="696"/>
      <c r="AG288" s="776">
        <f t="shared" si="164"/>
        <v>2220</v>
      </c>
      <c r="AH288" s="776">
        <f t="shared" si="165"/>
        <v>2220</v>
      </c>
      <c r="AI288" s="776">
        <f t="shared" si="166"/>
        <v>2220</v>
      </c>
      <c r="AJ288" s="786"/>
      <c r="AK288" s="786"/>
      <c r="AL288" s="786"/>
      <c r="AM288" s="801"/>
      <c r="AN288" s="801"/>
      <c r="AO288" s="801"/>
      <c r="AP288" s="801"/>
      <c r="AQ288" s="801">
        <f t="shared" si="162"/>
        <v>6660</v>
      </c>
      <c r="AR288" s="801"/>
      <c r="AS288" s="801"/>
      <c r="AT288" s="801"/>
      <c r="AU288" s="801"/>
      <c r="AV288" s="801">
        <f t="shared" si="167"/>
        <v>6660</v>
      </c>
      <c r="AW288" s="801"/>
      <c r="AX288" s="801"/>
      <c r="AY288" s="801"/>
      <c r="AZ288" s="801"/>
      <c r="BA288" s="801"/>
      <c r="BB288" s="786"/>
      <c r="BC288" s="801"/>
      <c r="BD288" s="898"/>
      <c r="BE288" s="898"/>
      <c r="BF288" s="776"/>
      <c r="BG288" s="727" t="s">
        <v>3771</v>
      </c>
      <c r="BH288" s="712" t="s">
        <v>3576</v>
      </c>
      <c r="BI288" s="712" t="s">
        <v>3576</v>
      </c>
    </row>
    <row r="289" s="693" customFormat="1" ht="31" customHeight="1" spans="1:61">
      <c r="A289" s="810">
        <v>45033</v>
      </c>
      <c r="B289" s="791" t="s">
        <v>133</v>
      </c>
      <c r="C289" s="789" t="s">
        <v>91</v>
      </c>
      <c r="D289" s="791">
        <v>4500100883</v>
      </c>
      <c r="E289" s="746">
        <v>951940</v>
      </c>
      <c r="F289" s="791" t="s">
        <v>3809</v>
      </c>
      <c r="G289" s="791" t="s">
        <v>3569</v>
      </c>
      <c r="H289" s="712" t="s">
        <v>2119</v>
      </c>
      <c r="I289" s="881">
        <v>3504</v>
      </c>
      <c r="J289" s="711">
        <v>0</v>
      </c>
      <c r="K289" s="711">
        <v>12</v>
      </c>
      <c r="L289" s="698">
        <f t="shared" si="151"/>
        <v>292</v>
      </c>
      <c r="M289" s="829" t="s">
        <v>3810</v>
      </c>
      <c r="N289" s="829" t="s">
        <v>3811</v>
      </c>
      <c r="O289" s="868"/>
      <c r="P289" s="869" t="s">
        <v>1480</v>
      </c>
      <c r="Q289" s="848"/>
      <c r="R289" s="744">
        <v>45086</v>
      </c>
      <c r="S289" s="744" t="s">
        <v>58</v>
      </c>
      <c r="T289" s="744">
        <v>45097</v>
      </c>
      <c r="U289" s="712" t="s">
        <v>137</v>
      </c>
      <c r="V289" s="795" t="s">
        <v>3812</v>
      </c>
      <c r="W289" s="789" t="s">
        <v>139</v>
      </c>
      <c r="X289" s="819">
        <v>2.8015</v>
      </c>
      <c r="Y289" s="725">
        <f t="shared" si="163"/>
        <v>9816.456</v>
      </c>
      <c r="Z289" s="832"/>
      <c r="AA289" s="775" t="s">
        <v>63</v>
      </c>
      <c r="AB289" s="775" t="s">
        <v>38</v>
      </c>
      <c r="AC289" s="832">
        <f>1512+1992</f>
        <v>3504</v>
      </c>
      <c r="AD289" s="832">
        <f t="shared" si="168"/>
        <v>0</v>
      </c>
      <c r="AE289" s="836" t="s">
        <v>327</v>
      </c>
      <c r="AF289" s="696"/>
      <c r="AG289" s="776">
        <f t="shared" si="164"/>
        <v>1168</v>
      </c>
      <c r="AH289" s="776">
        <f t="shared" si="165"/>
        <v>1168</v>
      </c>
      <c r="AI289" s="776">
        <f t="shared" si="166"/>
        <v>1168</v>
      </c>
      <c r="AJ289" s="786"/>
      <c r="AK289" s="786"/>
      <c r="AL289" s="786"/>
      <c r="AM289" s="801"/>
      <c r="AN289" s="801"/>
      <c r="AO289" s="801"/>
      <c r="AP289" s="801"/>
      <c r="AQ289" s="801">
        <f t="shared" si="162"/>
        <v>3504</v>
      </c>
      <c r="AR289" s="801"/>
      <c r="AS289" s="801"/>
      <c r="AT289" s="801"/>
      <c r="AU289" s="801"/>
      <c r="AV289" s="801">
        <f t="shared" si="167"/>
        <v>3504</v>
      </c>
      <c r="AW289" s="801"/>
      <c r="AX289" s="801"/>
      <c r="AY289" s="801"/>
      <c r="AZ289" s="801"/>
      <c r="BA289" s="801"/>
      <c r="BB289" s="786"/>
      <c r="BC289" s="801"/>
      <c r="BD289" s="898"/>
      <c r="BE289" s="898"/>
      <c r="BF289" s="776"/>
      <c r="BG289" s="727" t="s">
        <v>3771</v>
      </c>
      <c r="BH289" s="712" t="s">
        <v>3576</v>
      </c>
      <c r="BI289" s="712" t="s">
        <v>3576</v>
      </c>
    </row>
    <row r="290" s="693" customFormat="1" ht="31" customHeight="1" spans="1:61">
      <c r="A290" s="810">
        <v>45033</v>
      </c>
      <c r="B290" s="791" t="s">
        <v>133</v>
      </c>
      <c r="C290" s="789" t="s">
        <v>91</v>
      </c>
      <c r="D290" s="791">
        <v>4500100885</v>
      </c>
      <c r="E290" s="746">
        <v>951961</v>
      </c>
      <c r="F290" s="791" t="s">
        <v>3813</v>
      </c>
      <c r="G290" s="791" t="s">
        <v>3569</v>
      </c>
      <c r="H290" s="712" t="s">
        <v>2119</v>
      </c>
      <c r="I290" s="881">
        <v>2196</v>
      </c>
      <c r="J290" s="711">
        <v>0</v>
      </c>
      <c r="K290" s="711">
        <v>12</v>
      </c>
      <c r="L290" s="698">
        <f t="shared" si="151"/>
        <v>183</v>
      </c>
      <c r="M290" s="829" t="s">
        <v>3810</v>
      </c>
      <c r="N290" s="829" t="s">
        <v>3811</v>
      </c>
      <c r="O290" s="868"/>
      <c r="P290" s="869" t="s">
        <v>1480</v>
      </c>
      <c r="Q290" s="848"/>
      <c r="R290" s="744">
        <v>45086</v>
      </c>
      <c r="S290" s="744" t="s">
        <v>58</v>
      </c>
      <c r="T290" s="744">
        <v>45097</v>
      </c>
      <c r="U290" s="712" t="s">
        <v>137</v>
      </c>
      <c r="V290" s="795" t="s">
        <v>3812</v>
      </c>
      <c r="W290" s="789" t="s">
        <v>139</v>
      </c>
      <c r="X290" s="819">
        <v>2.829</v>
      </c>
      <c r="Y290" s="725">
        <f t="shared" si="163"/>
        <v>6212.484</v>
      </c>
      <c r="Z290" s="832"/>
      <c r="AA290" s="775" t="s">
        <v>63</v>
      </c>
      <c r="AB290" s="775" t="s">
        <v>38</v>
      </c>
      <c r="AC290" s="832">
        <f>1488+708</f>
        <v>2196</v>
      </c>
      <c r="AD290" s="832">
        <f t="shared" si="168"/>
        <v>0</v>
      </c>
      <c r="AE290" s="836" t="s">
        <v>327</v>
      </c>
      <c r="AF290" s="696"/>
      <c r="AG290" s="776">
        <f t="shared" si="164"/>
        <v>732</v>
      </c>
      <c r="AH290" s="776">
        <f t="shared" si="165"/>
        <v>732</v>
      </c>
      <c r="AI290" s="776">
        <f t="shared" si="166"/>
        <v>732</v>
      </c>
      <c r="AJ290" s="786"/>
      <c r="AK290" s="786"/>
      <c r="AL290" s="786"/>
      <c r="AM290" s="801"/>
      <c r="AN290" s="801"/>
      <c r="AO290" s="801"/>
      <c r="AP290" s="801"/>
      <c r="AQ290" s="801">
        <f t="shared" si="162"/>
        <v>2196</v>
      </c>
      <c r="AR290" s="801"/>
      <c r="AS290" s="801"/>
      <c r="AT290" s="801"/>
      <c r="AU290" s="801"/>
      <c r="AV290" s="801">
        <f t="shared" si="167"/>
        <v>2196</v>
      </c>
      <c r="AW290" s="801"/>
      <c r="AX290" s="801"/>
      <c r="AY290" s="801"/>
      <c r="AZ290" s="801"/>
      <c r="BA290" s="801"/>
      <c r="BB290" s="786"/>
      <c r="BC290" s="801"/>
      <c r="BD290" s="898"/>
      <c r="BE290" s="898"/>
      <c r="BF290" s="776"/>
      <c r="BG290" s="727" t="s">
        <v>3771</v>
      </c>
      <c r="BH290" s="712" t="s">
        <v>3576</v>
      </c>
      <c r="BI290" s="712" t="s">
        <v>3576</v>
      </c>
    </row>
    <row r="291" s="693" customFormat="1" ht="31" customHeight="1" spans="1:61">
      <c r="A291" s="810">
        <v>45033</v>
      </c>
      <c r="B291" s="791" t="s">
        <v>133</v>
      </c>
      <c r="C291" s="789" t="s">
        <v>91</v>
      </c>
      <c r="D291" s="791">
        <v>4500100937</v>
      </c>
      <c r="E291" s="746">
        <v>952032</v>
      </c>
      <c r="F291" s="791" t="s">
        <v>3814</v>
      </c>
      <c r="G291" s="791" t="s">
        <v>3569</v>
      </c>
      <c r="H291" s="712" t="s">
        <v>2119</v>
      </c>
      <c r="I291" s="881">
        <v>3996</v>
      </c>
      <c r="J291" s="711">
        <v>0</v>
      </c>
      <c r="K291" s="711">
        <v>12</v>
      </c>
      <c r="L291" s="698">
        <f t="shared" si="151"/>
        <v>333</v>
      </c>
      <c r="M291" s="829" t="s">
        <v>3810</v>
      </c>
      <c r="N291" s="829" t="s">
        <v>3811</v>
      </c>
      <c r="O291" s="868"/>
      <c r="P291" s="869" t="s">
        <v>1480</v>
      </c>
      <c r="Q291" s="848"/>
      <c r="R291" s="744">
        <v>45086</v>
      </c>
      <c r="S291" s="744" t="s">
        <v>58</v>
      </c>
      <c r="T291" s="744">
        <v>45097</v>
      </c>
      <c r="U291" s="712" t="s">
        <v>137</v>
      </c>
      <c r="V291" s="795" t="s">
        <v>3812</v>
      </c>
      <c r="W291" s="789" t="s">
        <v>139</v>
      </c>
      <c r="X291" s="819">
        <v>2.8015</v>
      </c>
      <c r="Y291" s="725">
        <f t="shared" si="163"/>
        <v>11194.794</v>
      </c>
      <c r="Z291" s="832"/>
      <c r="AA291" s="775" t="s">
        <v>63</v>
      </c>
      <c r="AB291" s="775" t="s">
        <v>38</v>
      </c>
      <c r="AC291" s="832">
        <f>3996</f>
        <v>3996</v>
      </c>
      <c r="AD291" s="832">
        <f t="shared" si="168"/>
        <v>0</v>
      </c>
      <c r="AE291" s="836" t="s">
        <v>327</v>
      </c>
      <c r="AF291" s="696"/>
      <c r="AG291" s="776">
        <f t="shared" si="164"/>
        <v>1332</v>
      </c>
      <c r="AH291" s="776">
        <f t="shared" si="165"/>
        <v>1332</v>
      </c>
      <c r="AI291" s="776">
        <f t="shared" si="166"/>
        <v>1332</v>
      </c>
      <c r="AJ291" s="786"/>
      <c r="AK291" s="786"/>
      <c r="AL291" s="786"/>
      <c r="AM291" s="801"/>
      <c r="AN291" s="801"/>
      <c r="AO291" s="801"/>
      <c r="AP291" s="801"/>
      <c r="AQ291" s="801">
        <f t="shared" si="162"/>
        <v>3996</v>
      </c>
      <c r="AR291" s="801"/>
      <c r="AS291" s="801"/>
      <c r="AT291" s="801"/>
      <c r="AU291" s="801"/>
      <c r="AV291" s="801">
        <f t="shared" si="167"/>
        <v>3996</v>
      </c>
      <c r="AW291" s="801"/>
      <c r="AX291" s="801"/>
      <c r="AY291" s="801"/>
      <c r="AZ291" s="801"/>
      <c r="BA291" s="801"/>
      <c r="BB291" s="786"/>
      <c r="BC291" s="801"/>
      <c r="BD291" s="898"/>
      <c r="BE291" s="898"/>
      <c r="BF291" s="776"/>
      <c r="BG291" s="727" t="s">
        <v>3771</v>
      </c>
      <c r="BH291" s="712" t="s">
        <v>3576</v>
      </c>
      <c r="BI291" s="712" t="s">
        <v>3576</v>
      </c>
    </row>
    <row r="292" s="693" customFormat="1" ht="31" customHeight="1" spans="1:61">
      <c r="A292" s="810">
        <v>45033</v>
      </c>
      <c r="B292" s="791" t="s">
        <v>133</v>
      </c>
      <c r="C292" s="789" t="s">
        <v>91</v>
      </c>
      <c r="D292" s="791">
        <v>4500100938</v>
      </c>
      <c r="E292" s="746">
        <v>952044</v>
      </c>
      <c r="F292" s="791" t="s">
        <v>3815</v>
      </c>
      <c r="G292" s="791" t="s">
        <v>3569</v>
      </c>
      <c r="H292" s="712" t="s">
        <v>2119</v>
      </c>
      <c r="I292" s="881">
        <v>2796</v>
      </c>
      <c r="J292" s="711">
        <v>0</v>
      </c>
      <c r="K292" s="711">
        <v>12</v>
      </c>
      <c r="L292" s="698">
        <f t="shared" si="151"/>
        <v>233</v>
      </c>
      <c r="M292" s="829" t="s">
        <v>3810</v>
      </c>
      <c r="N292" s="829" t="s">
        <v>3807</v>
      </c>
      <c r="O292" s="868"/>
      <c r="P292" s="869" t="s">
        <v>1480</v>
      </c>
      <c r="Q292" s="848"/>
      <c r="R292" s="744">
        <v>45086</v>
      </c>
      <c r="S292" s="744" t="s">
        <v>58</v>
      </c>
      <c r="T292" s="744">
        <v>45097</v>
      </c>
      <c r="U292" s="712" t="s">
        <v>137</v>
      </c>
      <c r="V292" s="795" t="s">
        <v>3816</v>
      </c>
      <c r="W292" s="789" t="s">
        <v>139</v>
      </c>
      <c r="X292" s="819">
        <v>2.829</v>
      </c>
      <c r="Y292" s="725">
        <f t="shared" si="163"/>
        <v>7909.884</v>
      </c>
      <c r="Z292" s="832"/>
      <c r="AA292" s="775" t="s">
        <v>63</v>
      </c>
      <c r="AB292" s="775" t="s">
        <v>38</v>
      </c>
      <c r="AC292" s="832">
        <v>2796</v>
      </c>
      <c r="AD292" s="832">
        <f t="shared" si="168"/>
        <v>0</v>
      </c>
      <c r="AE292" s="836" t="s">
        <v>327</v>
      </c>
      <c r="AF292" s="696"/>
      <c r="AG292" s="776">
        <f t="shared" si="164"/>
        <v>932</v>
      </c>
      <c r="AH292" s="776">
        <f t="shared" si="165"/>
        <v>932</v>
      </c>
      <c r="AI292" s="776">
        <f t="shared" si="166"/>
        <v>932</v>
      </c>
      <c r="AJ292" s="786"/>
      <c r="AK292" s="786"/>
      <c r="AL292" s="786"/>
      <c r="AM292" s="801"/>
      <c r="AN292" s="801"/>
      <c r="AO292" s="801"/>
      <c r="AP292" s="801"/>
      <c r="AQ292" s="801">
        <f t="shared" si="162"/>
        <v>2796</v>
      </c>
      <c r="AR292" s="801"/>
      <c r="AS292" s="801"/>
      <c r="AT292" s="801"/>
      <c r="AU292" s="801"/>
      <c r="AV292" s="801">
        <f t="shared" si="167"/>
        <v>2796</v>
      </c>
      <c r="AW292" s="801"/>
      <c r="AX292" s="801"/>
      <c r="AY292" s="801"/>
      <c r="AZ292" s="801"/>
      <c r="BA292" s="801"/>
      <c r="BB292" s="786"/>
      <c r="BC292" s="801"/>
      <c r="BD292" s="898"/>
      <c r="BE292" s="898"/>
      <c r="BF292" s="776"/>
      <c r="BG292" s="727" t="s">
        <v>3771</v>
      </c>
      <c r="BH292" s="712" t="s">
        <v>3576</v>
      </c>
      <c r="BI292" s="712" t="s">
        <v>3576</v>
      </c>
    </row>
    <row r="293" s="693" customFormat="1" ht="31" customHeight="1" spans="1:61">
      <c r="A293" s="810">
        <v>45211</v>
      </c>
      <c r="B293" s="791" t="s">
        <v>1097</v>
      </c>
      <c r="C293" s="789" t="s">
        <v>91</v>
      </c>
      <c r="D293" s="791">
        <v>4500115596</v>
      </c>
      <c r="E293" s="746">
        <v>1316382</v>
      </c>
      <c r="F293" s="791" t="s">
        <v>3817</v>
      </c>
      <c r="G293" s="791" t="s">
        <v>2079</v>
      </c>
      <c r="H293" s="712" t="s">
        <v>2080</v>
      </c>
      <c r="I293" s="881">
        <v>786</v>
      </c>
      <c r="J293" s="711">
        <v>0</v>
      </c>
      <c r="K293" s="711">
        <v>6</v>
      </c>
      <c r="L293" s="698">
        <f t="shared" si="151"/>
        <v>131</v>
      </c>
      <c r="M293" s="829">
        <v>45264</v>
      </c>
      <c r="N293" s="829" t="s">
        <v>3818</v>
      </c>
      <c r="O293" s="868" t="s">
        <v>3819</v>
      </c>
      <c r="P293" s="869"/>
      <c r="Q293" s="848"/>
      <c r="R293" s="744" t="s">
        <v>1427</v>
      </c>
      <c r="S293" s="744" t="s">
        <v>58</v>
      </c>
      <c r="T293" s="744" t="s">
        <v>3303</v>
      </c>
      <c r="U293" s="712" t="s">
        <v>3820</v>
      </c>
      <c r="V293" s="716" t="s">
        <v>3821</v>
      </c>
      <c r="W293" s="789" t="s">
        <v>1105</v>
      </c>
      <c r="X293" s="819">
        <v>2.9291</v>
      </c>
      <c r="Y293" s="725">
        <f t="shared" si="163"/>
        <v>2302.2726</v>
      </c>
      <c r="Z293" s="832"/>
      <c r="AA293" s="775" t="s">
        <v>63</v>
      </c>
      <c r="AB293" s="775" t="s">
        <v>2040</v>
      </c>
      <c r="AC293" s="694"/>
      <c r="AD293" s="832"/>
      <c r="AE293" s="836"/>
      <c r="AF293" s="696"/>
      <c r="AG293" s="776">
        <f t="shared" si="164"/>
        <v>262</v>
      </c>
      <c r="AH293" s="776">
        <f t="shared" si="165"/>
        <v>262</v>
      </c>
      <c r="AI293" s="776">
        <f t="shared" si="166"/>
        <v>262</v>
      </c>
      <c r="AJ293" s="786"/>
      <c r="AK293" s="786"/>
      <c r="AL293" s="786"/>
      <c r="AM293" s="801"/>
      <c r="AN293" s="801"/>
      <c r="AO293" s="801"/>
      <c r="AP293" s="801"/>
      <c r="AQ293" s="801">
        <f t="shared" si="162"/>
        <v>786</v>
      </c>
      <c r="AR293" s="801"/>
      <c r="AS293" s="801"/>
      <c r="AT293" s="801"/>
      <c r="AU293" s="801"/>
      <c r="AV293" s="801">
        <f t="shared" si="167"/>
        <v>786</v>
      </c>
      <c r="AW293" s="801"/>
      <c r="AX293" s="801"/>
      <c r="AY293" s="801"/>
      <c r="AZ293" s="801"/>
      <c r="BA293" s="801"/>
      <c r="BB293" s="786"/>
      <c r="BC293" s="801"/>
      <c r="BD293" s="898"/>
      <c r="BE293" s="898"/>
      <c r="BF293" s="776"/>
      <c r="BG293" s="727" t="s">
        <v>3771</v>
      </c>
      <c r="BH293" s="712"/>
      <c r="BI293" s="712"/>
    </row>
    <row r="294" s="693" customFormat="1" ht="31" customHeight="1" spans="1:59">
      <c r="A294" s="810">
        <v>45211</v>
      </c>
      <c r="B294" s="791" t="s">
        <v>1097</v>
      </c>
      <c r="C294" s="789" t="s">
        <v>91</v>
      </c>
      <c r="D294" s="791">
        <v>4500115596</v>
      </c>
      <c r="E294" s="746">
        <v>5640273</v>
      </c>
      <c r="F294" s="791" t="s">
        <v>3822</v>
      </c>
      <c r="G294" s="712" t="s">
        <v>2079</v>
      </c>
      <c r="H294" s="881" t="s">
        <v>2080</v>
      </c>
      <c r="I294" s="711">
        <v>6</v>
      </c>
      <c r="J294" s="711">
        <v>0</v>
      </c>
      <c r="K294" s="698">
        <v>6</v>
      </c>
      <c r="L294" s="829">
        <f t="shared" si="151"/>
        <v>1</v>
      </c>
      <c r="M294" s="829">
        <v>45285</v>
      </c>
      <c r="N294" s="868" t="s">
        <v>3823</v>
      </c>
      <c r="O294" s="869"/>
      <c r="P294" s="848"/>
      <c r="Q294" s="744"/>
      <c r="R294" s="744" t="s">
        <v>1427</v>
      </c>
      <c r="S294" s="744" t="s">
        <v>58</v>
      </c>
      <c r="T294" s="712" t="s">
        <v>3303</v>
      </c>
      <c r="U294" s="716" t="s">
        <v>3820</v>
      </c>
      <c r="V294" s="789" t="s">
        <v>3821</v>
      </c>
      <c r="W294" s="819" t="s">
        <v>1105</v>
      </c>
      <c r="X294" s="725">
        <v>2.9291</v>
      </c>
      <c r="Y294" s="832">
        <f t="shared" si="163"/>
        <v>17.5746</v>
      </c>
      <c r="Z294" s="775"/>
      <c r="AA294" s="775" t="s">
        <v>63</v>
      </c>
      <c r="AB294" s="694"/>
      <c r="AC294" s="832"/>
      <c r="AD294" s="836"/>
      <c r="AE294" s="696"/>
      <c r="AF294" s="776"/>
      <c r="AG294" s="776">
        <f t="shared" si="164"/>
        <v>2</v>
      </c>
      <c r="AH294" s="776">
        <f t="shared" si="165"/>
        <v>2</v>
      </c>
      <c r="AI294" s="786">
        <f t="shared" si="166"/>
        <v>2</v>
      </c>
      <c r="AJ294" s="786"/>
      <c r="AK294" s="786"/>
      <c r="AL294" s="801"/>
      <c r="AM294" s="801"/>
      <c r="AN294" s="801"/>
      <c r="AO294" s="801"/>
      <c r="AP294" s="801"/>
      <c r="AQ294" s="801">
        <f t="shared" si="162"/>
        <v>6</v>
      </c>
      <c r="AR294" s="801"/>
      <c r="AS294" s="801"/>
      <c r="AT294" s="801"/>
      <c r="AU294" s="801"/>
      <c r="AV294" s="801">
        <f t="shared" si="167"/>
        <v>6</v>
      </c>
      <c r="AW294" s="801"/>
      <c r="AX294" s="801"/>
      <c r="AY294" s="801"/>
      <c r="AZ294" s="801"/>
      <c r="BA294" s="786"/>
      <c r="BB294" s="801"/>
      <c r="BC294" s="898"/>
      <c r="BD294" s="898"/>
      <c r="BE294" s="776"/>
      <c r="BF294" s="727"/>
      <c r="BG294" s="693" t="s">
        <v>3771</v>
      </c>
    </row>
    <row r="295" s="693" customFormat="1" ht="31" customHeight="1" spans="1:59">
      <c r="A295" s="810">
        <v>45211</v>
      </c>
      <c r="B295" s="791" t="s">
        <v>1097</v>
      </c>
      <c r="C295" s="789" t="s">
        <v>91</v>
      </c>
      <c r="D295" s="791">
        <v>4500115596</v>
      </c>
      <c r="E295" s="746">
        <v>9140864</v>
      </c>
      <c r="F295" s="791" t="s">
        <v>3824</v>
      </c>
      <c r="G295" s="712" t="s">
        <v>2079</v>
      </c>
      <c r="H295" s="881" t="s">
        <v>2080</v>
      </c>
      <c r="I295" s="711">
        <v>24</v>
      </c>
      <c r="J295" s="711">
        <v>0</v>
      </c>
      <c r="K295" s="698">
        <v>6</v>
      </c>
      <c r="L295" s="829">
        <f t="shared" si="151"/>
        <v>4</v>
      </c>
      <c r="M295" s="829">
        <v>45285</v>
      </c>
      <c r="N295" s="868" t="s">
        <v>3823</v>
      </c>
      <c r="O295" s="869"/>
      <c r="P295" s="848"/>
      <c r="Q295" s="744"/>
      <c r="R295" s="744" t="s">
        <v>1427</v>
      </c>
      <c r="S295" s="744" t="s">
        <v>58</v>
      </c>
      <c r="T295" s="712" t="s">
        <v>3303</v>
      </c>
      <c r="U295" s="716" t="s">
        <v>3820</v>
      </c>
      <c r="V295" s="789" t="s">
        <v>3821</v>
      </c>
      <c r="W295" s="819" t="s">
        <v>1105</v>
      </c>
      <c r="X295" s="725">
        <v>2.9291</v>
      </c>
      <c r="Y295" s="832">
        <f t="shared" si="163"/>
        <v>70.2984</v>
      </c>
      <c r="Z295" s="775"/>
      <c r="AA295" s="775" t="s">
        <v>63</v>
      </c>
      <c r="AB295" s="694"/>
      <c r="AC295" s="832"/>
      <c r="AD295" s="836"/>
      <c r="AE295" s="696"/>
      <c r="AF295" s="776"/>
      <c r="AG295" s="776">
        <f t="shared" si="164"/>
        <v>8</v>
      </c>
      <c r="AH295" s="776">
        <f t="shared" si="165"/>
        <v>8</v>
      </c>
      <c r="AI295" s="786">
        <f t="shared" si="166"/>
        <v>8</v>
      </c>
      <c r="AJ295" s="786"/>
      <c r="AK295" s="786"/>
      <c r="AL295" s="801"/>
      <c r="AM295" s="801"/>
      <c r="AN295" s="801"/>
      <c r="AO295" s="801"/>
      <c r="AP295" s="801"/>
      <c r="AQ295" s="801">
        <f t="shared" si="162"/>
        <v>24</v>
      </c>
      <c r="AR295" s="801"/>
      <c r="AS295" s="801"/>
      <c r="AT295" s="801"/>
      <c r="AU295" s="801"/>
      <c r="AV295" s="801">
        <f t="shared" si="167"/>
        <v>24</v>
      </c>
      <c r="AW295" s="801"/>
      <c r="AX295" s="801"/>
      <c r="AY295" s="801"/>
      <c r="AZ295" s="801"/>
      <c r="BA295" s="786"/>
      <c r="BB295" s="801"/>
      <c r="BC295" s="898"/>
      <c r="BD295" s="898"/>
      <c r="BE295" s="776"/>
      <c r="BF295" s="727"/>
      <c r="BG295" s="693" t="s">
        <v>3771</v>
      </c>
    </row>
    <row r="296" s="693" customFormat="1" ht="31" customHeight="1" spans="1:59">
      <c r="A296" s="810">
        <v>45211</v>
      </c>
      <c r="B296" s="791" t="s">
        <v>1097</v>
      </c>
      <c r="C296" s="789" t="s">
        <v>91</v>
      </c>
      <c r="D296" s="791">
        <v>4500115596</v>
      </c>
      <c r="E296" s="746">
        <v>4522889</v>
      </c>
      <c r="F296" s="791" t="s">
        <v>3825</v>
      </c>
      <c r="G296" s="712" t="s">
        <v>2079</v>
      </c>
      <c r="H296" s="881" t="s">
        <v>2080</v>
      </c>
      <c r="I296" s="711">
        <v>48</v>
      </c>
      <c r="J296" s="711">
        <v>0</v>
      </c>
      <c r="K296" s="698">
        <v>6</v>
      </c>
      <c r="L296" s="829">
        <f t="shared" si="151"/>
        <v>8</v>
      </c>
      <c r="M296" s="829">
        <v>45285</v>
      </c>
      <c r="N296" s="868" t="s">
        <v>3823</v>
      </c>
      <c r="O296" s="869"/>
      <c r="P296" s="848"/>
      <c r="Q296" s="744"/>
      <c r="R296" s="744" t="s">
        <v>1427</v>
      </c>
      <c r="S296" s="744" t="s">
        <v>58</v>
      </c>
      <c r="T296" s="712" t="s">
        <v>3303</v>
      </c>
      <c r="U296" s="716" t="s">
        <v>3820</v>
      </c>
      <c r="V296" s="789" t="s">
        <v>3821</v>
      </c>
      <c r="W296" s="819" t="s">
        <v>1105</v>
      </c>
      <c r="X296" s="725">
        <v>2.9291</v>
      </c>
      <c r="Y296" s="832">
        <f t="shared" si="163"/>
        <v>140.5968</v>
      </c>
      <c r="Z296" s="775"/>
      <c r="AA296" s="775" t="s">
        <v>63</v>
      </c>
      <c r="AB296" s="694"/>
      <c r="AC296" s="832"/>
      <c r="AD296" s="836"/>
      <c r="AE296" s="696"/>
      <c r="AF296" s="776"/>
      <c r="AG296" s="776">
        <f t="shared" si="164"/>
        <v>16</v>
      </c>
      <c r="AH296" s="776">
        <f t="shared" si="165"/>
        <v>16</v>
      </c>
      <c r="AI296" s="786">
        <f t="shared" si="166"/>
        <v>16</v>
      </c>
      <c r="AJ296" s="786"/>
      <c r="AK296" s="786"/>
      <c r="AL296" s="801"/>
      <c r="AM296" s="801"/>
      <c r="AN296" s="801"/>
      <c r="AO296" s="801"/>
      <c r="AP296" s="801"/>
      <c r="AQ296" s="801">
        <f t="shared" si="162"/>
        <v>48</v>
      </c>
      <c r="AR296" s="801"/>
      <c r="AS296" s="801"/>
      <c r="AT296" s="801"/>
      <c r="AU296" s="801"/>
      <c r="AV296" s="801">
        <f t="shared" si="167"/>
        <v>48</v>
      </c>
      <c r="AW296" s="801"/>
      <c r="AX296" s="801"/>
      <c r="AY296" s="801"/>
      <c r="AZ296" s="801"/>
      <c r="BA296" s="786"/>
      <c r="BB296" s="801"/>
      <c r="BC296" s="898"/>
      <c r="BD296" s="898"/>
      <c r="BE296" s="776"/>
      <c r="BF296" s="727"/>
      <c r="BG296" s="693" t="s">
        <v>3771</v>
      </c>
    </row>
    <row r="297" s="693" customFormat="1" ht="31" customHeight="1" spans="1:59">
      <c r="A297" s="810">
        <v>45211</v>
      </c>
      <c r="B297" s="791" t="s">
        <v>1097</v>
      </c>
      <c r="C297" s="789" t="s">
        <v>91</v>
      </c>
      <c r="D297" s="791">
        <v>4500115596</v>
      </c>
      <c r="E297" s="746" t="s">
        <v>3826</v>
      </c>
      <c r="F297" s="791" t="s">
        <v>3827</v>
      </c>
      <c r="G297" s="712" t="s">
        <v>2079</v>
      </c>
      <c r="H297" s="881" t="s">
        <v>2080</v>
      </c>
      <c r="I297" s="711">
        <v>456</v>
      </c>
      <c r="J297" s="711">
        <v>0</v>
      </c>
      <c r="K297" s="698">
        <v>6</v>
      </c>
      <c r="L297" s="829">
        <f t="shared" si="151"/>
        <v>76</v>
      </c>
      <c r="M297" s="829">
        <v>45285</v>
      </c>
      <c r="N297" s="868" t="s">
        <v>3823</v>
      </c>
      <c r="O297" s="869"/>
      <c r="P297" s="848"/>
      <c r="Q297" s="744"/>
      <c r="R297" s="744" t="s">
        <v>1427</v>
      </c>
      <c r="S297" s="744" t="s">
        <v>58</v>
      </c>
      <c r="T297" s="712" t="s">
        <v>3303</v>
      </c>
      <c r="U297" s="716" t="s">
        <v>3820</v>
      </c>
      <c r="V297" s="789" t="s">
        <v>3821</v>
      </c>
      <c r="W297" s="819" t="s">
        <v>1105</v>
      </c>
      <c r="X297" s="725">
        <v>2.9291</v>
      </c>
      <c r="Y297" s="832">
        <f t="shared" si="163"/>
        <v>1335.6696</v>
      </c>
      <c r="Z297" s="775"/>
      <c r="AA297" s="775" t="s">
        <v>63</v>
      </c>
      <c r="AB297" s="694"/>
      <c r="AC297" s="832"/>
      <c r="AD297" s="836"/>
      <c r="AE297" s="696"/>
      <c r="AF297" s="776"/>
      <c r="AG297" s="776">
        <f t="shared" si="164"/>
        <v>152</v>
      </c>
      <c r="AH297" s="776">
        <f t="shared" si="165"/>
        <v>152</v>
      </c>
      <c r="AI297" s="786">
        <f t="shared" si="166"/>
        <v>152</v>
      </c>
      <c r="AJ297" s="786"/>
      <c r="AK297" s="786"/>
      <c r="AL297" s="801"/>
      <c r="AM297" s="801"/>
      <c r="AN297" s="801"/>
      <c r="AO297" s="801"/>
      <c r="AP297" s="801"/>
      <c r="AQ297" s="801">
        <f t="shared" si="162"/>
        <v>456</v>
      </c>
      <c r="AR297" s="801"/>
      <c r="AS297" s="801"/>
      <c r="AT297" s="801"/>
      <c r="AU297" s="801"/>
      <c r="AV297" s="801">
        <f t="shared" si="167"/>
        <v>456</v>
      </c>
      <c r="AW297" s="801"/>
      <c r="AX297" s="801"/>
      <c r="AY297" s="801"/>
      <c r="AZ297" s="801"/>
      <c r="BA297" s="786"/>
      <c r="BB297" s="801"/>
      <c r="BC297" s="898"/>
      <c r="BD297" s="898"/>
      <c r="BE297" s="776"/>
      <c r="BF297" s="727"/>
      <c r="BG297" s="693" t="s">
        <v>3771</v>
      </c>
    </row>
    <row r="298" s="693" customFormat="1" ht="31" customHeight="1" spans="1:59">
      <c r="A298" s="810">
        <v>45211</v>
      </c>
      <c r="B298" s="791" t="s">
        <v>1097</v>
      </c>
      <c r="C298" s="789" t="s">
        <v>91</v>
      </c>
      <c r="D298" s="791">
        <v>4500115596</v>
      </c>
      <c r="E298" s="746">
        <v>7336915</v>
      </c>
      <c r="F298" s="791" t="s">
        <v>3828</v>
      </c>
      <c r="G298" s="712" t="s">
        <v>2079</v>
      </c>
      <c r="H298" s="881" t="s">
        <v>2080</v>
      </c>
      <c r="I298" s="711">
        <v>36</v>
      </c>
      <c r="J298" s="711">
        <v>0</v>
      </c>
      <c r="K298" s="698">
        <v>6</v>
      </c>
      <c r="L298" s="829">
        <f t="shared" si="151"/>
        <v>6</v>
      </c>
      <c r="M298" s="829">
        <v>45285</v>
      </c>
      <c r="N298" s="868" t="s">
        <v>3823</v>
      </c>
      <c r="O298" s="869"/>
      <c r="P298" s="848"/>
      <c r="Q298" s="744"/>
      <c r="R298" s="744" t="s">
        <v>1427</v>
      </c>
      <c r="S298" s="744" t="s">
        <v>58</v>
      </c>
      <c r="T298" s="712" t="s">
        <v>3303</v>
      </c>
      <c r="U298" s="716" t="s">
        <v>3820</v>
      </c>
      <c r="V298" s="789" t="s">
        <v>3821</v>
      </c>
      <c r="W298" s="819" t="s">
        <v>1105</v>
      </c>
      <c r="X298" s="725">
        <v>2.9291</v>
      </c>
      <c r="Y298" s="832">
        <f t="shared" si="163"/>
        <v>105.4476</v>
      </c>
      <c r="Z298" s="775"/>
      <c r="AA298" s="775" t="s">
        <v>63</v>
      </c>
      <c r="AB298" s="694"/>
      <c r="AC298" s="832"/>
      <c r="AD298" s="836"/>
      <c r="AE298" s="696"/>
      <c r="AF298" s="776"/>
      <c r="AG298" s="776">
        <f t="shared" si="164"/>
        <v>12</v>
      </c>
      <c r="AH298" s="776">
        <f t="shared" si="165"/>
        <v>12</v>
      </c>
      <c r="AI298" s="786">
        <f t="shared" si="166"/>
        <v>12</v>
      </c>
      <c r="AJ298" s="786"/>
      <c r="AK298" s="786"/>
      <c r="AL298" s="801"/>
      <c r="AM298" s="801"/>
      <c r="AN298" s="801"/>
      <c r="AO298" s="801"/>
      <c r="AP298" s="801"/>
      <c r="AQ298" s="801">
        <f t="shared" si="162"/>
        <v>36</v>
      </c>
      <c r="AR298" s="801"/>
      <c r="AS298" s="801"/>
      <c r="AT298" s="801"/>
      <c r="AU298" s="801"/>
      <c r="AV298" s="801">
        <f t="shared" si="167"/>
        <v>36</v>
      </c>
      <c r="AW298" s="801"/>
      <c r="AX298" s="801"/>
      <c r="AY298" s="801"/>
      <c r="AZ298" s="801"/>
      <c r="BA298" s="786"/>
      <c r="BB298" s="801"/>
      <c r="BC298" s="898"/>
      <c r="BD298" s="898"/>
      <c r="BE298" s="776"/>
      <c r="BF298" s="727"/>
      <c r="BG298" s="693" t="s">
        <v>3771</v>
      </c>
    </row>
    <row r="299" s="693" customFormat="1" ht="31" customHeight="1" spans="1:59">
      <c r="A299" s="810">
        <v>45211</v>
      </c>
      <c r="B299" s="791" t="s">
        <v>1097</v>
      </c>
      <c r="C299" s="789" t="s">
        <v>91</v>
      </c>
      <c r="D299" s="791">
        <v>4500115596</v>
      </c>
      <c r="E299" s="746">
        <v>2919706</v>
      </c>
      <c r="F299" s="791" t="s">
        <v>3829</v>
      </c>
      <c r="G299" s="712" t="s">
        <v>2079</v>
      </c>
      <c r="H299" s="881" t="s">
        <v>2080</v>
      </c>
      <c r="I299" s="711">
        <v>162</v>
      </c>
      <c r="J299" s="711">
        <v>0</v>
      </c>
      <c r="K299" s="698">
        <v>6</v>
      </c>
      <c r="L299" s="829">
        <f t="shared" si="151"/>
        <v>27</v>
      </c>
      <c r="M299" s="829">
        <v>45285</v>
      </c>
      <c r="N299" s="868" t="s">
        <v>3823</v>
      </c>
      <c r="O299" s="869"/>
      <c r="P299" s="848"/>
      <c r="Q299" s="744"/>
      <c r="R299" s="744" t="s">
        <v>1427</v>
      </c>
      <c r="S299" s="744" t="s">
        <v>58</v>
      </c>
      <c r="T299" s="712" t="s">
        <v>3303</v>
      </c>
      <c r="U299" s="716" t="s">
        <v>3820</v>
      </c>
      <c r="V299" s="789" t="s">
        <v>3821</v>
      </c>
      <c r="W299" s="819" t="s">
        <v>1105</v>
      </c>
      <c r="X299" s="725">
        <v>2.9291</v>
      </c>
      <c r="Y299" s="832">
        <f t="shared" si="163"/>
        <v>474.5142</v>
      </c>
      <c r="Z299" s="775"/>
      <c r="AA299" s="775" t="s">
        <v>63</v>
      </c>
      <c r="AB299" s="694"/>
      <c r="AC299" s="832"/>
      <c r="AD299" s="836"/>
      <c r="AE299" s="696"/>
      <c r="AF299" s="776"/>
      <c r="AG299" s="776">
        <f t="shared" si="164"/>
        <v>54</v>
      </c>
      <c r="AH299" s="776">
        <f t="shared" si="165"/>
        <v>54</v>
      </c>
      <c r="AI299" s="786">
        <f t="shared" si="166"/>
        <v>54</v>
      </c>
      <c r="AJ299" s="786"/>
      <c r="AK299" s="786"/>
      <c r="AL299" s="801"/>
      <c r="AM299" s="801"/>
      <c r="AN299" s="801"/>
      <c r="AO299" s="801"/>
      <c r="AP299" s="801"/>
      <c r="AQ299" s="801">
        <f t="shared" si="162"/>
        <v>162</v>
      </c>
      <c r="AR299" s="801"/>
      <c r="AS299" s="801"/>
      <c r="AT299" s="801"/>
      <c r="AU299" s="801"/>
      <c r="AV299" s="801">
        <f t="shared" si="167"/>
        <v>162</v>
      </c>
      <c r="AW299" s="801"/>
      <c r="AX299" s="801"/>
      <c r="AY299" s="801"/>
      <c r="AZ299" s="801"/>
      <c r="BA299" s="786"/>
      <c r="BB299" s="801"/>
      <c r="BC299" s="898"/>
      <c r="BD299" s="898"/>
      <c r="BE299" s="776"/>
      <c r="BF299" s="727"/>
      <c r="BG299" s="693" t="s">
        <v>3771</v>
      </c>
    </row>
    <row r="300" s="693" customFormat="1" ht="31" customHeight="1" spans="1:59">
      <c r="A300" s="810">
        <v>45211</v>
      </c>
      <c r="B300" s="791" t="s">
        <v>1097</v>
      </c>
      <c r="C300" s="789" t="s">
        <v>91</v>
      </c>
      <c r="D300" s="791">
        <v>4500115596</v>
      </c>
      <c r="E300" s="746">
        <v>1516689</v>
      </c>
      <c r="F300" s="791" t="s">
        <v>3830</v>
      </c>
      <c r="G300" s="712" t="s">
        <v>2079</v>
      </c>
      <c r="H300" s="881" t="s">
        <v>2080</v>
      </c>
      <c r="I300" s="711">
        <v>96</v>
      </c>
      <c r="J300" s="711">
        <v>0</v>
      </c>
      <c r="K300" s="698">
        <v>6</v>
      </c>
      <c r="L300" s="829">
        <f t="shared" si="151"/>
        <v>16</v>
      </c>
      <c r="M300" s="829">
        <v>45285</v>
      </c>
      <c r="N300" s="868" t="s">
        <v>3823</v>
      </c>
      <c r="O300" s="869"/>
      <c r="P300" s="848"/>
      <c r="Q300" s="744"/>
      <c r="R300" s="744" t="s">
        <v>1427</v>
      </c>
      <c r="S300" s="744" t="s">
        <v>58</v>
      </c>
      <c r="T300" s="712" t="s">
        <v>3303</v>
      </c>
      <c r="U300" s="716" t="s">
        <v>3820</v>
      </c>
      <c r="V300" s="789" t="s">
        <v>3821</v>
      </c>
      <c r="W300" s="819" t="s">
        <v>1105</v>
      </c>
      <c r="X300" s="725">
        <v>2.9291</v>
      </c>
      <c r="Y300" s="832">
        <f t="shared" si="163"/>
        <v>281.1936</v>
      </c>
      <c r="Z300" s="775"/>
      <c r="AA300" s="775" t="s">
        <v>63</v>
      </c>
      <c r="AB300" s="694"/>
      <c r="AC300" s="832"/>
      <c r="AD300" s="836"/>
      <c r="AE300" s="696"/>
      <c r="AF300" s="776"/>
      <c r="AG300" s="776">
        <f t="shared" si="164"/>
        <v>32</v>
      </c>
      <c r="AH300" s="776">
        <f t="shared" si="165"/>
        <v>32</v>
      </c>
      <c r="AI300" s="786">
        <f t="shared" si="166"/>
        <v>32</v>
      </c>
      <c r="AJ300" s="786"/>
      <c r="AK300" s="786"/>
      <c r="AL300" s="801"/>
      <c r="AM300" s="801"/>
      <c r="AN300" s="801"/>
      <c r="AO300" s="801"/>
      <c r="AP300" s="801"/>
      <c r="AQ300" s="801">
        <f t="shared" si="162"/>
        <v>96</v>
      </c>
      <c r="AR300" s="801"/>
      <c r="AS300" s="801"/>
      <c r="AT300" s="801"/>
      <c r="AU300" s="801"/>
      <c r="AV300" s="801">
        <f t="shared" si="167"/>
        <v>96</v>
      </c>
      <c r="AW300" s="801"/>
      <c r="AX300" s="801"/>
      <c r="AY300" s="801"/>
      <c r="AZ300" s="801"/>
      <c r="BA300" s="786"/>
      <c r="BB300" s="801"/>
      <c r="BC300" s="898"/>
      <c r="BD300" s="898"/>
      <c r="BE300" s="776"/>
      <c r="BF300" s="727"/>
      <c r="BG300" s="693" t="s">
        <v>3771</v>
      </c>
    </row>
    <row r="301" s="693" customFormat="1" ht="31" customHeight="1" spans="1:59">
      <c r="A301" s="810">
        <v>45211</v>
      </c>
      <c r="B301" s="791" t="s">
        <v>1097</v>
      </c>
      <c r="C301" s="789" t="s">
        <v>91</v>
      </c>
      <c r="D301" s="791">
        <v>4500115596</v>
      </c>
      <c r="E301" s="746">
        <v>3106224</v>
      </c>
      <c r="F301" s="791" t="s">
        <v>3831</v>
      </c>
      <c r="G301" s="712" t="s">
        <v>2079</v>
      </c>
      <c r="H301" s="881" t="s">
        <v>2080</v>
      </c>
      <c r="I301" s="711">
        <v>12</v>
      </c>
      <c r="J301" s="711">
        <v>0</v>
      </c>
      <c r="K301" s="698">
        <v>6</v>
      </c>
      <c r="L301" s="829">
        <f t="shared" si="151"/>
        <v>2</v>
      </c>
      <c r="M301" s="829">
        <v>45285</v>
      </c>
      <c r="N301" s="868" t="s">
        <v>3823</v>
      </c>
      <c r="O301" s="869"/>
      <c r="P301" s="848"/>
      <c r="Q301" s="744"/>
      <c r="R301" s="744" t="s">
        <v>1427</v>
      </c>
      <c r="S301" s="744" t="s">
        <v>58</v>
      </c>
      <c r="T301" s="712" t="s">
        <v>3303</v>
      </c>
      <c r="U301" s="716" t="s">
        <v>3820</v>
      </c>
      <c r="V301" s="789" t="s">
        <v>3821</v>
      </c>
      <c r="W301" s="819" t="s">
        <v>1105</v>
      </c>
      <c r="X301" s="725">
        <v>2.9291</v>
      </c>
      <c r="Y301" s="832">
        <f t="shared" si="163"/>
        <v>35.1492</v>
      </c>
      <c r="Z301" s="775"/>
      <c r="AA301" s="775" t="s">
        <v>63</v>
      </c>
      <c r="AB301" s="694"/>
      <c r="AC301" s="832"/>
      <c r="AD301" s="836"/>
      <c r="AE301" s="696"/>
      <c r="AF301" s="776"/>
      <c r="AG301" s="776">
        <f t="shared" si="164"/>
        <v>4</v>
      </c>
      <c r="AH301" s="776">
        <f t="shared" si="165"/>
        <v>4</v>
      </c>
      <c r="AI301" s="786">
        <f t="shared" si="166"/>
        <v>4</v>
      </c>
      <c r="AJ301" s="786"/>
      <c r="AK301" s="786"/>
      <c r="AL301" s="801"/>
      <c r="AM301" s="801"/>
      <c r="AN301" s="801"/>
      <c r="AO301" s="801"/>
      <c r="AP301" s="801"/>
      <c r="AQ301" s="801">
        <f t="shared" si="162"/>
        <v>12</v>
      </c>
      <c r="AR301" s="801"/>
      <c r="AS301" s="801"/>
      <c r="AT301" s="801"/>
      <c r="AU301" s="801"/>
      <c r="AV301" s="801">
        <f t="shared" si="167"/>
        <v>12</v>
      </c>
      <c r="AW301" s="801"/>
      <c r="AX301" s="801"/>
      <c r="AY301" s="801"/>
      <c r="AZ301" s="801"/>
      <c r="BA301" s="786"/>
      <c r="BB301" s="801"/>
      <c r="BC301" s="898"/>
      <c r="BD301" s="898"/>
      <c r="BE301" s="776"/>
      <c r="BF301" s="727"/>
      <c r="BG301" s="693" t="s">
        <v>3771</v>
      </c>
    </row>
    <row r="302" s="693" customFormat="1" ht="31" customHeight="1" spans="1:59">
      <c r="A302" s="810">
        <v>45211</v>
      </c>
      <c r="B302" s="791" t="s">
        <v>1097</v>
      </c>
      <c r="C302" s="789" t="s">
        <v>91</v>
      </c>
      <c r="D302" s="791">
        <v>4500115596</v>
      </c>
      <c r="E302" s="746">
        <v>5401304</v>
      </c>
      <c r="F302" s="791" t="s">
        <v>3832</v>
      </c>
      <c r="G302" s="712" t="s">
        <v>2079</v>
      </c>
      <c r="H302" s="881" t="s">
        <v>2080</v>
      </c>
      <c r="I302" s="711">
        <v>60</v>
      </c>
      <c r="J302" s="711">
        <v>0</v>
      </c>
      <c r="K302" s="698">
        <v>6</v>
      </c>
      <c r="L302" s="829">
        <f t="shared" si="151"/>
        <v>10</v>
      </c>
      <c r="M302" s="829">
        <v>45285</v>
      </c>
      <c r="N302" s="868" t="s">
        <v>3823</v>
      </c>
      <c r="O302" s="869"/>
      <c r="P302" s="848"/>
      <c r="Q302" s="744"/>
      <c r="R302" s="744" t="s">
        <v>1427</v>
      </c>
      <c r="S302" s="744" t="s">
        <v>58</v>
      </c>
      <c r="T302" s="712" t="s">
        <v>3303</v>
      </c>
      <c r="U302" s="716" t="s">
        <v>3820</v>
      </c>
      <c r="V302" s="789" t="s">
        <v>3821</v>
      </c>
      <c r="W302" s="819" t="s">
        <v>1105</v>
      </c>
      <c r="X302" s="725">
        <v>2.9291</v>
      </c>
      <c r="Y302" s="832">
        <f t="shared" si="163"/>
        <v>175.746</v>
      </c>
      <c r="Z302" s="775"/>
      <c r="AA302" s="775" t="s">
        <v>63</v>
      </c>
      <c r="AB302" s="694"/>
      <c r="AC302" s="832"/>
      <c r="AD302" s="836"/>
      <c r="AE302" s="696"/>
      <c r="AF302" s="776"/>
      <c r="AG302" s="776">
        <f t="shared" si="164"/>
        <v>20</v>
      </c>
      <c r="AH302" s="776">
        <f t="shared" si="165"/>
        <v>20</v>
      </c>
      <c r="AI302" s="786">
        <f t="shared" si="166"/>
        <v>20</v>
      </c>
      <c r="AJ302" s="786"/>
      <c r="AK302" s="786"/>
      <c r="AL302" s="801"/>
      <c r="AM302" s="801"/>
      <c r="AN302" s="801"/>
      <c r="AO302" s="801"/>
      <c r="AP302" s="801"/>
      <c r="AQ302" s="801">
        <f t="shared" si="162"/>
        <v>60</v>
      </c>
      <c r="AR302" s="801"/>
      <c r="AS302" s="801"/>
      <c r="AT302" s="801"/>
      <c r="AU302" s="801"/>
      <c r="AV302" s="801">
        <f t="shared" si="167"/>
        <v>60</v>
      </c>
      <c r="AW302" s="801"/>
      <c r="AX302" s="801"/>
      <c r="AY302" s="801"/>
      <c r="AZ302" s="801"/>
      <c r="BA302" s="786"/>
      <c r="BB302" s="801"/>
      <c r="BC302" s="898"/>
      <c r="BD302" s="898"/>
      <c r="BE302" s="776"/>
      <c r="BF302" s="727"/>
      <c r="BG302" s="693" t="s">
        <v>3771</v>
      </c>
    </row>
    <row r="303" s="693" customFormat="1" ht="31" customHeight="1" spans="1:59">
      <c r="A303" s="810">
        <v>45211</v>
      </c>
      <c r="B303" s="791" t="s">
        <v>1097</v>
      </c>
      <c r="C303" s="789" t="s">
        <v>91</v>
      </c>
      <c r="D303" s="791">
        <v>4500115596</v>
      </c>
      <c r="E303" s="746">
        <v>8546119</v>
      </c>
      <c r="F303" s="791" t="s">
        <v>3833</v>
      </c>
      <c r="G303" s="712" t="s">
        <v>2079</v>
      </c>
      <c r="H303" s="881" t="s">
        <v>2080</v>
      </c>
      <c r="I303" s="711">
        <v>6</v>
      </c>
      <c r="J303" s="711">
        <v>0</v>
      </c>
      <c r="K303" s="698">
        <v>6</v>
      </c>
      <c r="L303" s="829">
        <f t="shared" si="151"/>
        <v>1</v>
      </c>
      <c r="M303" s="829">
        <v>45285</v>
      </c>
      <c r="N303" s="868" t="s">
        <v>3823</v>
      </c>
      <c r="O303" s="869"/>
      <c r="P303" s="848"/>
      <c r="Q303" s="744"/>
      <c r="R303" s="744" t="s">
        <v>1427</v>
      </c>
      <c r="S303" s="744" t="s">
        <v>58</v>
      </c>
      <c r="T303" s="712" t="s">
        <v>3303</v>
      </c>
      <c r="U303" s="716" t="s">
        <v>3820</v>
      </c>
      <c r="V303" s="789" t="s">
        <v>3821</v>
      </c>
      <c r="W303" s="819" t="s">
        <v>1105</v>
      </c>
      <c r="X303" s="725">
        <v>2.9291</v>
      </c>
      <c r="Y303" s="832">
        <f t="shared" si="163"/>
        <v>17.5746</v>
      </c>
      <c r="Z303" s="775"/>
      <c r="AA303" s="775" t="s">
        <v>63</v>
      </c>
      <c r="AB303" s="694"/>
      <c r="AC303" s="832"/>
      <c r="AD303" s="836"/>
      <c r="AE303" s="696"/>
      <c r="AF303" s="776"/>
      <c r="AG303" s="776">
        <f t="shared" si="164"/>
        <v>2</v>
      </c>
      <c r="AH303" s="776">
        <f t="shared" si="165"/>
        <v>2</v>
      </c>
      <c r="AI303" s="786">
        <f t="shared" si="166"/>
        <v>2</v>
      </c>
      <c r="AJ303" s="786"/>
      <c r="AK303" s="786"/>
      <c r="AL303" s="801"/>
      <c r="AM303" s="801"/>
      <c r="AN303" s="801"/>
      <c r="AO303" s="801"/>
      <c r="AP303" s="801"/>
      <c r="AQ303" s="801">
        <f t="shared" si="162"/>
        <v>6</v>
      </c>
      <c r="AR303" s="801"/>
      <c r="AS303" s="801"/>
      <c r="AT303" s="801"/>
      <c r="AU303" s="801"/>
      <c r="AV303" s="801">
        <f t="shared" si="167"/>
        <v>6</v>
      </c>
      <c r="AW303" s="801"/>
      <c r="AX303" s="801"/>
      <c r="AY303" s="801"/>
      <c r="AZ303" s="801"/>
      <c r="BA303" s="786"/>
      <c r="BB303" s="801"/>
      <c r="BC303" s="898"/>
      <c r="BD303" s="898"/>
      <c r="BE303" s="776"/>
      <c r="BF303" s="727"/>
      <c r="BG303" s="693" t="s">
        <v>3771</v>
      </c>
    </row>
    <row r="304" s="693" customFormat="1" ht="31" customHeight="1" spans="1:59">
      <c r="A304" s="810">
        <v>45211</v>
      </c>
      <c r="B304" s="791" t="s">
        <v>1097</v>
      </c>
      <c r="C304" s="789" t="s">
        <v>91</v>
      </c>
      <c r="D304" s="791">
        <v>4500115596</v>
      </c>
      <c r="E304" s="746" t="s">
        <v>3834</v>
      </c>
      <c r="F304" s="791" t="s">
        <v>3835</v>
      </c>
      <c r="G304" s="712" t="s">
        <v>2079</v>
      </c>
      <c r="H304" s="881" t="s">
        <v>2080</v>
      </c>
      <c r="I304" s="711">
        <v>6</v>
      </c>
      <c r="J304" s="711">
        <v>0</v>
      </c>
      <c r="K304" s="698">
        <v>6</v>
      </c>
      <c r="L304" s="829">
        <f t="shared" si="151"/>
        <v>1</v>
      </c>
      <c r="M304" s="829">
        <v>45285</v>
      </c>
      <c r="N304" s="868" t="s">
        <v>3823</v>
      </c>
      <c r="O304" s="869"/>
      <c r="P304" s="848"/>
      <c r="Q304" s="744"/>
      <c r="R304" s="744" t="s">
        <v>1427</v>
      </c>
      <c r="S304" s="744" t="s">
        <v>58</v>
      </c>
      <c r="T304" s="712" t="s">
        <v>3303</v>
      </c>
      <c r="U304" s="716" t="s">
        <v>3820</v>
      </c>
      <c r="V304" s="789" t="s">
        <v>3821</v>
      </c>
      <c r="W304" s="819" t="s">
        <v>1105</v>
      </c>
      <c r="X304" s="725">
        <v>2.9291</v>
      </c>
      <c r="Y304" s="832">
        <f t="shared" si="163"/>
        <v>17.5746</v>
      </c>
      <c r="Z304" s="775"/>
      <c r="AA304" s="775" t="s">
        <v>63</v>
      </c>
      <c r="AB304" s="694"/>
      <c r="AC304" s="832"/>
      <c r="AD304" s="836"/>
      <c r="AE304" s="696"/>
      <c r="AF304" s="776"/>
      <c r="AG304" s="776">
        <f t="shared" si="164"/>
        <v>2</v>
      </c>
      <c r="AH304" s="776">
        <f t="shared" si="165"/>
        <v>2</v>
      </c>
      <c r="AI304" s="786">
        <f t="shared" si="166"/>
        <v>2</v>
      </c>
      <c r="AJ304" s="786"/>
      <c r="AK304" s="786"/>
      <c r="AL304" s="801"/>
      <c r="AM304" s="801"/>
      <c r="AN304" s="801"/>
      <c r="AO304" s="801"/>
      <c r="AP304" s="801"/>
      <c r="AQ304" s="801">
        <f t="shared" si="162"/>
        <v>6</v>
      </c>
      <c r="AR304" s="801"/>
      <c r="AS304" s="801"/>
      <c r="AT304" s="801"/>
      <c r="AU304" s="801"/>
      <c r="AV304" s="801">
        <f t="shared" si="167"/>
        <v>6</v>
      </c>
      <c r="AW304" s="801"/>
      <c r="AX304" s="801"/>
      <c r="AY304" s="801"/>
      <c r="AZ304" s="801"/>
      <c r="BA304" s="786"/>
      <c r="BB304" s="801"/>
      <c r="BC304" s="898"/>
      <c r="BD304" s="898"/>
      <c r="BE304" s="776"/>
      <c r="BF304" s="727"/>
      <c r="BG304" s="693" t="s">
        <v>3771</v>
      </c>
    </row>
    <row r="305" s="693" customFormat="1" ht="31" customHeight="1" spans="1:59">
      <c r="A305" s="810">
        <v>45211</v>
      </c>
      <c r="B305" s="791" t="s">
        <v>1097</v>
      </c>
      <c r="C305" s="789" t="s">
        <v>91</v>
      </c>
      <c r="D305" s="791">
        <v>4500115596</v>
      </c>
      <c r="E305" s="746">
        <v>9595755</v>
      </c>
      <c r="F305" s="791" t="s">
        <v>3836</v>
      </c>
      <c r="G305" s="712" t="s">
        <v>2079</v>
      </c>
      <c r="H305" s="881" t="s">
        <v>2080</v>
      </c>
      <c r="I305" s="711">
        <v>198</v>
      </c>
      <c r="J305" s="711">
        <v>0</v>
      </c>
      <c r="K305" s="698">
        <v>6</v>
      </c>
      <c r="L305" s="829">
        <f t="shared" si="151"/>
        <v>33</v>
      </c>
      <c r="M305" s="829">
        <v>45285</v>
      </c>
      <c r="N305" s="868" t="s">
        <v>3823</v>
      </c>
      <c r="O305" s="869"/>
      <c r="P305" s="848"/>
      <c r="Q305" s="744"/>
      <c r="R305" s="744" t="s">
        <v>1427</v>
      </c>
      <c r="S305" s="744" t="s">
        <v>58</v>
      </c>
      <c r="T305" s="712" t="s">
        <v>3303</v>
      </c>
      <c r="U305" s="716" t="s">
        <v>3820</v>
      </c>
      <c r="V305" s="789" t="s">
        <v>3821</v>
      </c>
      <c r="W305" s="819" t="s">
        <v>1105</v>
      </c>
      <c r="X305" s="725">
        <v>2.9291</v>
      </c>
      <c r="Y305" s="832">
        <f t="shared" si="163"/>
        <v>579.9618</v>
      </c>
      <c r="Z305" s="775"/>
      <c r="AA305" s="775" t="s">
        <v>63</v>
      </c>
      <c r="AB305" s="694"/>
      <c r="AC305" s="832"/>
      <c r="AD305" s="836"/>
      <c r="AE305" s="696"/>
      <c r="AF305" s="776"/>
      <c r="AG305" s="776">
        <f t="shared" si="164"/>
        <v>66</v>
      </c>
      <c r="AH305" s="776">
        <f t="shared" si="165"/>
        <v>66</v>
      </c>
      <c r="AI305" s="786">
        <f t="shared" si="166"/>
        <v>66</v>
      </c>
      <c r="AJ305" s="786"/>
      <c r="AK305" s="786"/>
      <c r="AL305" s="801"/>
      <c r="AM305" s="801"/>
      <c r="AN305" s="801"/>
      <c r="AO305" s="801"/>
      <c r="AP305" s="801"/>
      <c r="AQ305" s="801">
        <f t="shared" si="162"/>
        <v>198</v>
      </c>
      <c r="AR305" s="801"/>
      <c r="AS305" s="801"/>
      <c r="AT305" s="801"/>
      <c r="AU305" s="801"/>
      <c r="AV305" s="801">
        <f t="shared" si="167"/>
        <v>198</v>
      </c>
      <c r="AW305" s="801"/>
      <c r="AX305" s="801"/>
      <c r="AY305" s="801"/>
      <c r="AZ305" s="801"/>
      <c r="BA305" s="786"/>
      <c r="BB305" s="801"/>
      <c r="BC305" s="898"/>
      <c r="BD305" s="898"/>
      <c r="BE305" s="776"/>
      <c r="BF305" s="727"/>
      <c r="BG305" s="693" t="s">
        <v>3771</v>
      </c>
    </row>
    <row r="306" s="693" customFormat="1" ht="31" customHeight="1" spans="1:61">
      <c r="A306" s="810">
        <v>45211</v>
      </c>
      <c r="B306" s="791" t="s">
        <v>1097</v>
      </c>
      <c r="C306" s="789" t="s">
        <v>91</v>
      </c>
      <c r="D306" s="791">
        <v>4500115609</v>
      </c>
      <c r="E306" s="746">
        <v>3828287</v>
      </c>
      <c r="F306" s="791" t="s">
        <v>3837</v>
      </c>
      <c r="G306" s="791" t="s">
        <v>2079</v>
      </c>
      <c r="H306" s="712" t="s">
        <v>2080</v>
      </c>
      <c r="I306" s="881">
        <v>432</v>
      </c>
      <c r="J306" s="711">
        <v>0</v>
      </c>
      <c r="K306" s="711">
        <v>6</v>
      </c>
      <c r="L306" s="698">
        <f t="shared" si="151"/>
        <v>72</v>
      </c>
      <c r="M306" s="829">
        <v>45303</v>
      </c>
      <c r="N306" s="829" t="s">
        <v>3818</v>
      </c>
      <c r="O306" s="868"/>
      <c r="P306" s="869"/>
      <c r="Q306" s="848"/>
      <c r="R306" s="744" t="s">
        <v>1427</v>
      </c>
      <c r="S306" s="744" t="s">
        <v>58</v>
      </c>
      <c r="T306" s="744" t="s">
        <v>3303</v>
      </c>
      <c r="U306" s="712" t="s">
        <v>3820</v>
      </c>
      <c r="V306" s="716" t="s">
        <v>3838</v>
      </c>
      <c r="W306" s="789" t="s">
        <v>1105</v>
      </c>
      <c r="X306" s="819">
        <v>2.9291</v>
      </c>
      <c r="Y306" s="725">
        <f t="shared" si="163"/>
        <v>1265.3712</v>
      </c>
      <c r="Z306" s="832"/>
      <c r="AA306" s="775" t="s">
        <v>63</v>
      </c>
      <c r="AB306" s="775"/>
      <c r="AC306" s="694"/>
      <c r="AD306" s="832"/>
      <c r="AE306" s="836"/>
      <c r="AF306" s="696"/>
      <c r="AG306" s="776">
        <f t="shared" si="164"/>
        <v>144</v>
      </c>
      <c r="AH306" s="776">
        <f t="shared" si="165"/>
        <v>144</v>
      </c>
      <c r="AI306" s="776">
        <f t="shared" si="166"/>
        <v>144</v>
      </c>
      <c r="AJ306" s="786"/>
      <c r="AK306" s="786"/>
      <c r="AL306" s="786"/>
      <c r="AM306" s="801"/>
      <c r="AN306" s="801"/>
      <c r="AO306" s="801"/>
      <c r="AP306" s="801"/>
      <c r="AQ306" s="801">
        <f t="shared" si="162"/>
        <v>432</v>
      </c>
      <c r="AR306" s="801"/>
      <c r="AS306" s="801"/>
      <c r="AT306" s="801"/>
      <c r="AU306" s="801"/>
      <c r="AV306" s="801">
        <f t="shared" si="167"/>
        <v>432</v>
      </c>
      <c r="AW306" s="801"/>
      <c r="AX306" s="801"/>
      <c r="AY306" s="801"/>
      <c r="AZ306" s="801"/>
      <c r="BA306" s="801"/>
      <c r="BB306" s="786"/>
      <c r="BC306" s="801"/>
      <c r="BD306" s="898"/>
      <c r="BE306" s="898"/>
      <c r="BF306" s="776"/>
      <c r="BG306" s="727" t="s">
        <v>3771</v>
      </c>
      <c r="BH306" s="712"/>
      <c r="BI306" s="712"/>
    </row>
    <row r="307" s="693" customFormat="1" ht="31" customHeight="1" spans="1:61">
      <c r="A307" s="810">
        <v>45211</v>
      </c>
      <c r="B307" s="791" t="s">
        <v>1097</v>
      </c>
      <c r="C307" s="789" t="s">
        <v>91</v>
      </c>
      <c r="D307" s="791">
        <v>4500115609</v>
      </c>
      <c r="E307" s="746">
        <v>8271752</v>
      </c>
      <c r="F307" s="791" t="s">
        <v>3839</v>
      </c>
      <c r="G307" s="791" t="s">
        <v>2079</v>
      </c>
      <c r="H307" s="712" t="s">
        <v>2080</v>
      </c>
      <c r="I307" s="881">
        <v>618</v>
      </c>
      <c r="J307" s="711">
        <v>0</v>
      </c>
      <c r="K307" s="711">
        <v>6</v>
      </c>
      <c r="L307" s="698">
        <f t="shared" si="151"/>
        <v>103</v>
      </c>
      <c r="M307" s="829">
        <v>45303</v>
      </c>
      <c r="N307" s="829" t="s">
        <v>3818</v>
      </c>
      <c r="O307" s="868"/>
      <c r="P307" s="869"/>
      <c r="Q307" s="848"/>
      <c r="R307" s="744" t="s">
        <v>1427</v>
      </c>
      <c r="S307" s="744" t="s">
        <v>58</v>
      </c>
      <c r="T307" s="744" t="s">
        <v>3303</v>
      </c>
      <c r="U307" s="712" t="s">
        <v>3820</v>
      </c>
      <c r="V307" s="716" t="s">
        <v>3838</v>
      </c>
      <c r="W307" s="789" t="s">
        <v>1105</v>
      </c>
      <c r="X307" s="819">
        <v>2.8633</v>
      </c>
      <c r="Y307" s="725">
        <f t="shared" si="163"/>
        <v>1769.5194</v>
      </c>
      <c r="Z307" s="832"/>
      <c r="AA307" s="775" t="s">
        <v>63</v>
      </c>
      <c r="AB307" s="775"/>
      <c r="AC307" s="694"/>
      <c r="AD307" s="832"/>
      <c r="AE307" s="836"/>
      <c r="AF307" s="696"/>
      <c r="AG307" s="776">
        <f t="shared" si="164"/>
        <v>206</v>
      </c>
      <c r="AH307" s="776">
        <f t="shared" si="165"/>
        <v>206</v>
      </c>
      <c r="AI307" s="776">
        <f t="shared" si="166"/>
        <v>206</v>
      </c>
      <c r="AJ307" s="786"/>
      <c r="AK307" s="786"/>
      <c r="AL307" s="786"/>
      <c r="AM307" s="801"/>
      <c r="AN307" s="801"/>
      <c r="AO307" s="801"/>
      <c r="AP307" s="801"/>
      <c r="AQ307" s="801">
        <f t="shared" si="162"/>
        <v>618</v>
      </c>
      <c r="AR307" s="801"/>
      <c r="AS307" s="801"/>
      <c r="AT307" s="801"/>
      <c r="AU307" s="801"/>
      <c r="AV307" s="801">
        <f t="shared" si="167"/>
        <v>618</v>
      </c>
      <c r="AW307" s="801"/>
      <c r="AX307" s="801"/>
      <c r="AY307" s="801"/>
      <c r="AZ307" s="801"/>
      <c r="BA307" s="801"/>
      <c r="BB307" s="786"/>
      <c r="BC307" s="801"/>
      <c r="BD307" s="898"/>
      <c r="BE307" s="898"/>
      <c r="BF307" s="776"/>
      <c r="BG307" s="727" t="s">
        <v>3771</v>
      </c>
      <c r="BH307" s="712"/>
      <c r="BI307" s="712"/>
    </row>
    <row r="308" s="693" customFormat="1" ht="31" customHeight="1" spans="1:61">
      <c r="A308" s="810">
        <v>45211</v>
      </c>
      <c r="B308" s="791" t="s">
        <v>1097</v>
      </c>
      <c r="C308" s="789" t="s">
        <v>91</v>
      </c>
      <c r="D308" s="791">
        <v>4500115609</v>
      </c>
      <c r="E308" s="746">
        <v>3829690</v>
      </c>
      <c r="F308" s="791" t="s">
        <v>3839</v>
      </c>
      <c r="G308" s="791" t="s">
        <v>2079</v>
      </c>
      <c r="H308" s="712" t="s">
        <v>2080</v>
      </c>
      <c r="I308" s="881">
        <v>612</v>
      </c>
      <c r="J308" s="711">
        <v>0</v>
      </c>
      <c r="K308" s="711">
        <v>6</v>
      </c>
      <c r="L308" s="698">
        <f t="shared" si="151"/>
        <v>102</v>
      </c>
      <c r="M308" s="829">
        <v>45303</v>
      </c>
      <c r="N308" s="829" t="s">
        <v>3818</v>
      </c>
      <c r="O308" s="868"/>
      <c r="P308" s="869"/>
      <c r="Q308" s="848"/>
      <c r="R308" s="744" t="s">
        <v>1427</v>
      </c>
      <c r="S308" s="744" t="s">
        <v>58</v>
      </c>
      <c r="T308" s="744" t="s">
        <v>3303</v>
      </c>
      <c r="U308" s="712" t="s">
        <v>3820</v>
      </c>
      <c r="V308" s="716" t="s">
        <v>3838</v>
      </c>
      <c r="W308" s="789" t="s">
        <v>1105</v>
      </c>
      <c r="X308" s="819">
        <v>2.9291</v>
      </c>
      <c r="Y308" s="725">
        <f t="shared" si="163"/>
        <v>1792.6092</v>
      </c>
      <c r="Z308" s="832"/>
      <c r="AA308" s="775" t="s">
        <v>63</v>
      </c>
      <c r="AB308" s="775"/>
      <c r="AC308" s="694"/>
      <c r="AD308" s="832"/>
      <c r="AE308" s="836"/>
      <c r="AF308" s="696"/>
      <c r="AG308" s="776">
        <f t="shared" si="164"/>
        <v>204</v>
      </c>
      <c r="AH308" s="776">
        <f t="shared" si="165"/>
        <v>204</v>
      </c>
      <c r="AI308" s="776">
        <f t="shared" si="166"/>
        <v>204</v>
      </c>
      <c r="AJ308" s="786"/>
      <c r="AK308" s="786"/>
      <c r="AL308" s="786"/>
      <c r="AM308" s="801"/>
      <c r="AN308" s="801"/>
      <c r="AO308" s="801"/>
      <c r="AP308" s="801"/>
      <c r="AQ308" s="801">
        <f t="shared" si="162"/>
        <v>612</v>
      </c>
      <c r="AR308" s="801"/>
      <c r="AS308" s="801"/>
      <c r="AT308" s="801"/>
      <c r="AU308" s="801"/>
      <c r="AV308" s="801">
        <f t="shared" si="167"/>
        <v>612</v>
      </c>
      <c r="AW308" s="801"/>
      <c r="AX308" s="801"/>
      <c r="AY308" s="801"/>
      <c r="AZ308" s="801"/>
      <c r="BA308" s="801"/>
      <c r="BB308" s="786"/>
      <c r="BC308" s="801"/>
      <c r="BD308" s="898"/>
      <c r="BE308" s="898"/>
      <c r="BF308" s="776"/>
      <c r="BG308" s="727" t="s">
        <v>3771</v>
      </c>
      <c r="BH308" s="712"/>
      <c r="BI308" s="712"/>
    </row>
    <row r="309" s="699" customFormat="1" ht="36" customHeight="1" spans="1:187">
      <c r="A309" s="882">
        <v>45113</v>
      </c>
      <c r="B309" s="795" t="s">
        <v>3840</v>
      </c>
      <c r="C309" s="884" t="s">
        <v>91</v>
      </c>
      <c r="D309" s="817">
        <v>4500108265</v>
      </c>
      <c r="E309" s="863" t="s">
        <v>3841</v>
      </c>
      <c r="F309" s="817" t="s">
        <v>3842</v>
      </c>
      <c r="G309" s="711" t="s">
        <v>1519</v>
      </c>
      <c r="H309" s="712" t="s">
        <v>1479</v>
      </c>
      <c r="I309" s="711">
        <v>5538</v>
      </c>
      <c r="J309" s="711">
        <v>0</v>
      </c>
      <c r="K309" s="711">
        <v>6</v>
      </c>
      <c r="L309" s="698">
        <f t="shared" ref="L309:L311" si="169">I309/K309</f>
        <v>923</v>
      </c>
      <c r="M309" s="777">
        <v>45219</v>
      </c>
      <c r="N309" s="777">
        <v>45215</v>
      </c>
      <c r="O309" s="744" t="s">
        <v>3843</v>
      </c>
      <c r="P309" s="744"/>
      <c r="Q309" s="744"/>
      <c r="R309" s="530" t="s">
        <v>2766</v>
      </c>
      <c r="S309" s="845"/>
      <c r="T309" s="870" t="s">
        <v>58</v>
      </c>
      <c r="U309" s="698" t="s">
        <v>3844</v>
      </c>
      <c r="V309" s="815" t="s">
        <v>3845</v>
      </c>
      <c r="W309" s="712" t="s">
        <v>220</v>
      </c>
      <c r="X309" s="751">
        <v>1.4636</v>
      </c>
      <c r="Y309" s="831">
        <f t="shared" ref="Y309:Y311" si="170">X309*I309</f>
        <v>8105.4168</v>
      </c>
      <c r="Z309" s="778"/>
      <c r="AA309" s="698"/>
      <c r="AB309" s="712"/>
      <c r="AC309" s="778"/>
      <c r="AD309" s="778"/>
      <c r="AE309" s="711">
        <f>I309/3</f>
        <v>1846</v>
      </c>
      <c r="AF309" s="711">
        <f>I309/3</f>
        <v>1846</v>
      </c>
      <c r="AG309" s="711">
        <f t="shared" ref="AG309:AG311" si="171">I309/3</f>
        <v>1846</v>
      </c>
      <c r="AH309" s="800"/>
      <c r="AI309" s="800">
        <f>I309</f>
        <v>5538</v>
      </c>
      <c r="AJ309" s="800"/>
      <c r="AK309" s="800"/>
      <c r="AL309" s="800">
        <f>I309</f>
        <v>5538</v>
      </c>
      <c r="AM309" s="800"/>
      <c r="AN309" s="800"/>
      <c r="AO309" s="800">
        <f>I309/6</f>
        <v>923</v>
      </c>
      <c r="AP309" s="800"/>
      <c r="AQ309" s="779"/>
      <c r="AR309" s="779"/>
      <c r="AS309" s="779"/>
      <c r="AT309" s="698"/>
      <c r="AU309" s="698"/>
      <c r="AV309" s="711"/>
      <c r="AW309" s="698"/>
      <c r="AX309" s="698"/>
      <c r="AY309" s="698"/>
      <c r="AZ309" s="897"/>
      <c r="BA309" s="897"/>
      <c r="BB309" s="897"/>
      <c r="BC309" s="897"/>
      <c r="BD309" s="897"/>
      <c r="BE309" s="897"/>
      <c r="BF309" s="897"/>
      <c r="BG309" s="897"/>
      <c r="BH309" s="897"/>
      <c r="BI309" s="897"/>
      <c r="BJ309" s="897"/>
      <c r="BK309" s="897"/>
      <c r="BL309" s="897"/>
      <c r="BM309" s="897"/>
      <c r="BN309" s="897"/>
      <c r="BO309" s="897"/>
      <c r="BP309" s="897"/>
      <c r="BQ309" s="897"/>
      <c r="BR309" s="897"/>
      <c r="BS309" s="897"/>
      <c r="BT309" s="897"/>
      <c r="BU309" s="897"/>
      <c r="BV309" s="897"/>
      <c r="BW309" s="897"/>
      <c r="BX309" s="897"/>
      <c r="BY309" s="897"/>
      <c r="BZ309" s="897"/>
      <c r="CA309" s="897"/>
      <c r="CB309" s="897"/>
      <c r="CC309" s="897"/>
      <c r="CD309" s="897"/>
      <c r="CE309" s="897"/>
      <c r="CF309" s="897"/>
      <c r="CG309" s="897"/>
      <c r="CH309" s="897"/>
      <c r="CI309" s="897"/>
      <c r="CJ309" s="897"/>
      <c r="CK309" s="897"/>
      <c r="CL309" s="897"/>
      <c r="CM309" s="897"/>
      <c r="CN309" s="897"/>
      <c r="CO309" s="897"/>
      <c r="CP309" s="897"/>
      <c r="CQ309" s="897"/>
      <c r="CR309" s="897"/>
      <c r="CS309" s="897"/>
      <c r="CT309" s="897"/>
      <c r="CU309" s="897"/>
      <c r="CV309" s="897"/>
      <c r="CW309" s="897"/>
      <c r="CX309" s="897"/>
      <c r="CY309" s="897"/>
      <c r="CZ309" s="897"/>
      <c r="DA309" s="897"/>
      <c r="DB309" s="897"/>
      <c r="DC309" s="897"/>
      <c r="DD309" s="897"/>
      <c r="DE309" s="897"/>
      <c r="DF309" s="897"/>
      <c r="DG309" s="897"/>
      <c r="DH309" s="897"/>
      <c r="DI309" s="897"/>
      <c r="DJ309" s="897"/>
      <c r="DK309" s="897"/>
      <c r="DL309" s="897"/>
      <c r="DM309" s="897"/>
      <c r="DN309" s="897"/>
      <c r="DO309" s="897"/>
      <c r="DP309" s="897"/>
      <c r="DQ309" s="897"/>
      <c r="DR309" s="897"/>
      <c r="DS309" s="897"/>
      <c r="DT309" s="897"/>
      <c r="DU309" s="897"/>
      <c r="DV309" s="897"/>
      <c r="DW309" s="897"/>
      <c r="DX309" s="897"/>
      <c r="DY309" s="897"/>
      <c r="DZ309" s="897"/>
      <c r="EA309" s="897"/>
      <c r="EB309" s="900"/>
      <c r="EC309" s="900"/>
      <c r="ED309" s="900"/>
      <c r="EE309" s="900"/>
      <c r="EF309" s="900"/>
      <c r="EG309" s="900"/>
      <c r="EH309" s="900"/>
      <c r="EI309" s="900"/>
      <c r="EJ309" s="900"/>
      <c r="EK309" s="900"/>
      <c r="EL309" s="900"/>
      <c r="EM309" s="900"/>
      <c r="EN309" s="900"/>
      <c r="EO309" s="900"/>
      <c r="EP309" s="900"/>
      <c r="EQ309" s="900"/>
      <c r="ER309" s="900"/>
      <c r="ES309" s="900"/>
      <c r="ET309" s="900"/>
      <c r="EU309" s="900"/>
      <c r="EV309" s="900"/>
      <c r="EW309" s="900"/>
      <c r="EX309" s="900"/>
      <c r="EY309" s="900"/>
      <c r="EZ309" s="900"/>
      <c r="FA309" s="900"/>
      <c r="FB309" s="900"/>
      <c r="FC309" s="900"/>
      <c r="FD309" s="900"/>
      <c r="FE309" s="900"/>
      <c r="FF309" s="900"/>
      <c r="FG309" s="900"/>
      <c r="FH309" s="900"/>
      <c r="FI309" s="900"/>
      <c r="FJ309" s="900"/>
      <c r="FK309" s="900"/>
      <c r="FL309" s="900"/>
      <c r="FM309" s="900"/>
      <c r="FN309" s="900"/>
      <c r="FO309" s="900"/>
      <c r="FP309" s="900"/>
      <c r="FQ309" s="900"/>
      <c r="FR309" s="900"/>
      <c r="FS309" s="900"/>
      <c r="FT309" s="900"/>
      <c r="FU309" s="900"/>
      <c r="FV309" s="900"/>
      <c r="FW309" s="900"/>
      <c r="FX309" s="900"/>
      <c r="FY309" s="900"/>
      <c r="FZ309" s="900"/>
      <c r="GA309" s="900"/>
      <c r="GB309" s="900"/>
      <c r="GC309" s="900"/>
      <c r="GD309" s="900"/>
      <c r="GE309" s="900"/>
    </row>
    <row r="310" s="699" customFormat="1" ht="36" customHeight="1" spans="1:187">
      <c r="A310" s="882">
        <v>45286</v>
      </c>
      <c r="B310" s="795" t="s">
        <v>1656</v>
      </c>
      <c r="C310" s="884" t="s">
        <v>91</v>
      </c>
      <c r="D310" s="817">
        <v>4500122227</v>
      </c>
      <c r="E310" s="863">
        <v>5200003134</v>
      </c>
      <c r="F310" s="817" t="s">
        <v>3846</v>
      </c>
      <c r="G310" s="711" t="s">
        <v>1658</v>
      </c>
      <c r="H310" s="712" t="s">
        <v>1479</v>
      </c>
      <c r="I310" s="711">
        <v>1998</v>
      </c>
      <c r="J310" s="711">
        <v>0</v>
      </c>
      <c r="K310" s="711">
        <v>18</v>
      </c>
      <c r="L310" s="698">
        <f t="shared" si="169"/>
        <v>111</v>
      </c>
      <c r="M310" s="777">
        <v>45321</v>
      </c>
      <c r="N310" s="777">
        <v>45317</v>
      </c>
      <c r="O310" s="744" t="s">
        <v>3847</v>
      </c>
      <c r="P310" s="744"/>
      <c r="Q310" s="744"/>
      <c r="R310" s="530"/>
      <c r="S310" s="845"/>
      <c r="T310" s="870"/>
      <c r="U310" s="698"/>
      <c r="V310" s="815" t="s">
        <v>3848</v>
      </c>
      <c r="W310" s="712" t="s">
        <v>3539</v>
      </c>
      <c r="X310" s="751">
        <v>3.5711</v>
      </c>
      <c r="Y310" s="831">
        <f t="shared" si="170"/>
        <v>7135.0578</v>
      </c>
      <c r="Z310" s="778"/>
      <c r="AA310" s="698"/>
      <c r="AB310" s="712"/>
      <c r="AC310" s="778"/>
      <c r="AD310" s="778"/>
      <c r="AE310" s="711">
        <f>I310/3</f>
        <v>666</v>
      </c>
      <c r="AF310" s="711">
        <f>I310/3</f>
        <v>666</v>
      </c>
      <c r="AG310" s="711">
        <f t="shared" si="171"/>
        <v>666</v>
      </c>
      <c r="AH310" s="800"/>
      <c r="AI310" s="800"/>
      <c r="AJ310" s="800"/>
      <c r="AK310" s="800"/>
      <c r="AL310" s="800"/>
      <c r="AM310" s="800"/>
      <c r="AN310" s="800"/>
      <c r="AO310" s="800"/>
      <c r="AP310" s="800"/>
      <c r="AQ310" s="779"/>
      <c r="AR310" s="779"/>
      <c r="AS310" s="779"/>
      <c r="AT310" s="698"/>
      <c r="AU310" s="698"/>
      <c r="AV310" s="711"/>
      <c r="AW310" s="698"/>
      <c r="AX310" s="698"/>
      <c r="AY310" s="698"/>
      <c r="AZ310" s="897"/>
      <c r="BA310" s="897"/>
      <c r="BB310" s="897"/>
      <c r="BC310" s="897"/>
      <c r="BD310" s="897"/>
      <c r="BE310" s="897"/>
      <c r="BF310" s="897"/>
      <c r="BG310" s="897"/>
      <c r="BH310" s="897"/>
      <c r="BI310" s="897"/>
      <c r="BJ310" s="897"/>
      <c r="BK310" s="897"/>
      <c r="BL310" s="897"/>
      <c r="BM310" s="897"/>
      <c r="BN310" s="897"/>
      <c r="BO310" s="897"/>
      <c r="BP310" s="897"/>
      <c r="BQ310" s="897"/>
      <c r="BR310" s="897"/>
      <c r="BS310" s="897"/>
      <c r="BT310" s="897"/>
      <c r="BU310" s="897"/>
      <c r="BV310" s="897"/>
      <c r="BW310" s="897"/>
      <c r="BX310" s="897"/>
      <c r="BY310" s="897"/>
      <c r="BZ310" s="897"/>
      <c r="CA310" s="897"/>
      <c r="CB310" s="897"/>
      <c r="CC310" s="897"/>
      <c r="CD310" s="897"/>
      <c r="CE310" s="897"/>
      <c r="CF310" s="897"/>
      <c r="CG310" s="897"/>
      <c r="CH310" s="897"/>
      <c r="CI310" s="897"/>
      <c r="CJ310" s="897"/>
      <c r="CK310" s="897"/>
      <c r="CL310" s="897"/>
      <c r="CM310" s="897"/>
      <c r="CN310" s="897"/>
      <c r="CO310" s="897"/>
      <c r="CP310" s="897"/>
      <c r="CQ310" s="897"/>
      <c r="CR310" s="897"/>
      <c r="CS310" s="897"/>
      <c r="CT310" s="897"/>
      <c r="CU310" s="897"/>
      <c r="CV310" s="897"/>
      <c r="CW310" s="897"/>
      <c r="CX310" s="897"/>
      <c r="CY310" s="897"/>
      <c r="CZ310" s="897"/>
      <c r="DA310" s="897"/>
      <c r="DB310" s="897"/>
      <c r="DC310" s="897"/>
      <c r="DD310" s="897"/>
      <c r="DE310" s="897"/>
      <c r="DF310" s="897"/>
      <c r="DG310" s="897"/>
      <c r="DH310" s="897"/>
      <c r="DI310" s="897"/>
      <c r="DJ310" s="897"/>
      <c r="DK310" s="897"/>
      <c r="DL310" s="897"/>
      <c r="DM310" s="897"/>
      <c r="DN310" s="897"/>
      <c r="DO310" s="897"/>
      <c r="DP310" s="897"/>
      <c r="DQ310" s="897"/>
      <c r="DR310" s="897"/>
      <c r="DS310" s="897"/>
      <c r="DT310" s="897"/>
      <c r="DU310" s="897"/>
      <c r="DV310" s="897"/>
      <c r="DW310" s="897"/>
      <c r="DX310" s="897"/>
      <c r="DY310" s="897"/>
      <c r="DZ310" s="897"/>
      <c r="EA310" s="897"/>
      <c r="EB310" s="900"/>
      <c r="EC310" s="900"/>
      <c r="ED310" s="900"/>
      <c r="EE310" s="900"/>
      <c r="EF310" s="900"/>
      <c r="EG310" s="900"/>
      <c r="EH310" s="900"/>
      <c r="EI310" s="900"/>
      <c r="EJ310" s="900"/>
      <c r="EK310" s="900"/>
      <c r="EL310" s="900"/>
      <c r="EM310" s="900"/>
      <c r="EN310" s="900"/>
      <c r="EO310" s="900"/>
      <c r="EP310" s="900"/>
      <c r="EQ310" s="900"/>
      <c r="ER310" s="900"/>
      <c r="ES310" s="900"/>
      <c r="ET310" s="900"/>
      <c r="EU310" s="900"/>
      <c r="EV310" s="900"/>
      <c r="EW310" s="900"/>
      <c r="EX310" s="900"/>
      <c r="EY310" s="900"/>
      <c r="EZ310" s="900"/>
      <c r="FA310" s="900"/>
      <c r="FB310" s="900"/>
      <c r="FC310" s="900"/>
      <c r="FD310" s="900"/>
      <c r="FE310" s="900"/>
      <c r="FF310" s="900"/>
      <c r="FG310" s="900"/>
      <c r="FH310" s="900"/>
      <c r="FI310" s="900"/>
      <c r="FJ310" s="900"/>
      <c r="FK310" s="900"/>
      <c r="FL310" s="900"/>
      <c r="FM310" s="900"/>
      <c r="FN310" s="900"/>
      <c r="FO310" s="900"/>
      <c r="FP310" s="900"/>
      <c r="FQ310" s="900"/>
      <c r="FR310" s="900"/>
      <c r="FS310" s="900"/>
      <c r="FT310" s="900"/>
      <c r="FU310" s="900"/>
      <c r="FV310" s="900"/>
      <c r="FW310" s="900"/>
      <c r="FX310" s="900"/>
      <c r="FY310" s="900"/>
      <c r="FZ310" s="900"/>
      <c r="GA310" s="900"/>
      <c r="GB310" s="900"/>
      <c r="GC310" s="900"/>
      <c r="GD310" s="900"/>
      <c r="GE310" s="900"/>
    </row>
    <row r="311" s="693" customFormat="1" ht="31" customHeight="1" spans="1:61">
      <c r="A311" s="810">
        <v>45317</v>
      </c>
      <c r="B311" s="696" t="s">
        <v>230</v>
      </c>
      <c r="C311" s="789" t="s">
        <v>91</v>
      </c>
      <c r="D311" s="817">
        <v>4500123979</v>
      </c>
      <c r="E311" s="901" t="s">
        <v>3849</v>
      </c>
      <c r="F311" s="817" t="s">
        <v>3850</v>
      </c>
      <c r="G311" s="711" t="s">
        <v>2118</v>
      </c>
      <c r="H311" s="712" t="s">
        <v>2119</v>
      </c>
      <c r="I311" s="881">
        <v>6780</v>
      </c>
      <c r="J311" s="711">
        <v>0</v>
      </c>
      <c r="K311" s="711">
        <v>12</v>
      </c>
      <c r="L311" s="698">
        <f t="shared" si="169"/>
        <v>565</v>
      </c>
      <c r="M311" s="829" t="s">
        <v>3851</v>
      </c>
      <c r="N311" s="829" t="s">
        <v>3852</v>
      </c>
      <c r="O311" s="868"/>
      <c r="P311" s="869"/>
      <c r="Q311" s="890"/>
      <c r="R311" s="775">
        <v>45320</v>
      </c>
      <c r="S311" s="744" t="s">
        <v>58</v>
      </c>
      <c r="T311" s="775" t="s">
        <v>1409</v>
      </c>
      <c r="U311" s="789" t="s">
        <v>235</v>
      </c>
      <c r="V311" s="795" t="s">
        <v>3808</v>
      </c>
      <c r="W311" s="789" t="s">
        <v>2179</v>
      </c>
      <c r="X311" s="819">
        <v>2.7663</v>
      </c>
      <c r="Y311" s="725">
        <f t="shared" si="170"/>
        <v>18755.514</v>
      </c>
      <c r="Z311" s="832"/>
      <c r="AA311" s="775" t="s">
        <v>63</v>
      </c>
      <c r="AB311" s="775" t="s">
        <v>2040</v>
      </c>
      <c r="AC311" s="694"/>
      <c r="AD311" s="832"/>
      <c r="AE311" s="836"/>
      <c r="AF311" s="696"/>
      <c r="AG311" s="776">
        <f t="shared" si="171"/>
        <v>2260</v>
      </c>
      <c r="AH311" s="776">
        <f>I311/3</f>
        <v>2260</v>
      </c>
      <c r="AI311" s="776">
        <f>I311/3</f>
        <v>2260</v>
      </c>
      <c r="AJ311" s="786"/>
      <c r="AK311" s="786"/>
      <c r="AL311" s="786"/>
      <c r="AM311" s="801"/>
      <c r="AN311" s="801"/>
      <c r="AO311" s="801"/>
      <c r="AP311" s="801"/>
      <c r="AQ311" s="801">
        <f>I311</f>
        <v>6780</v>
      </c>
      <c r="AR311" s="801"/>
      <c r="AS311" s="801"/>
      <c r="AT311" s="801"/>
      <c r="AU311" s="801"/>
      <c r="AV311" s="801">
        <f>I311</f>
        <v>6780</v>
      </c>
      <c r="AW311" s="801"/>
      <c r="AX311" s="801"/>
      <c r="AY311" s="801"/>
      <c r="AZ311" s="801"/>
      <c r="BA311" s="801"/>
      <c r="BB311" s="786"/>
      <c r="BC311" s="801"/>
      <c r="BD311" s="898"/>
      <c r="BE311" s="898"/>
      <c r="BF311" s="776"/>
      <c r="BG311" s="899"/>
      <c r="BH311" s="712"/>
      <c r="BI311" s="712"/>
    </row>
    <row r="312" s="699" customFormat="1" ht="36" customHeight="1" spans="1:186">
      <c r="A312" s="886">
        <v>45113</v>
      </c>
      <c r="B312" s="716" t="s">
        <v>51</v>
      </c>
      <c r="C312" s="884" t="s">
        <v>52</v>
      </c>
      <c r="D312" s="885" t="s">
        <v>3853</v>
      </c>
      <c r="E312" s="863"/>
      <c r="F312" s="817"/>
      <c r="G312" s="711"/>
      <c r="H312" s="711" t="s">
        <v>1478</v>
      </c>
      <c r="I312" s="712" t="s">
        <v>1479</v>
      </c>
      <c r="J312" s="711">
        <v>168</v>
      </c>
      <c r="K312" s="711">
        <v>0</v>
      </c>
      <c r="L312" s="711">
        <v>24</v>
      </c>
      <c r="M312" s="698">
        <f t="shared" ref="M312:M349" si="172">J312/L312</f>
        <v>7</v>
      </c>
      <c r="N312" s="777">
        <v>45160</v>
      </c>
      <c r="O312" s="777">
        <v>45156</v>
      </c>
      <c r="P312" s="744" t="s">
        <v>3854</v>
      </c>
      <c r="Q312" s="744"/>
      <c r="R312" s="744"/>
      <c r="S312" s="530" t="s">
        <v>57</v>
      </c>
      <c r="T312" s="845"/>
      <c r="U312" s="870" t="s">
        <v>58</v>
      </c>
      <c r="V312" s="698"/>
      <c r="W312" s="815" t="s">
        <v>3855</v>
      </c>
      <c r="X312" s="712"/>
      <c r="Y312" s="910"/>
      <c r="Z312" s="753"/>
      <c r="AA312" s="778"/>
      <c r="AB312" s="698"/>
      <c r="AC312" s="712"/>
      <c r="AD312" s="778"/>
      <c r="AE312" s="778"/>
      <c r="AF312" s="711">
        <f t="shared" ref="AF312:AF317" si="173">J312/3</f>
        <v>56</v>
      </c>
      <c r="AG312" s="711">
        <f t="shared" ref="AG312:AG317" si="174">J312/3</f>
        <v>56</v>
      </c>
      <c r="AH312" s="711">
        <f t="shared" ref="AH312:AH317" si="175">J312/3</f>
        <v>56</v>
      </c>
      <c r="AI312" s="800">
        <f t="shared" ref="AI312:AI315" si="176">J312</f>
        <v>168</v>
      </c>
      <c r="AJ312" s="800"/>
      <c r="AK312" s="800"/>
      <c r="AL312" s="800">
        <f t="shared" ref="AL312:AL315" si="177">J312</f>
        <v>168</v>
      </c>
      <c r="AM312" s="800"/>
      <c r="AN312" s="800"/>
      <c r="AO312" s="800"/>
      <c r="AP312" s="779"/>
      <c r="AQ312" s="779"/>
      <c r="AR312" s="779"/>
      <c r="AS312" s="698"/>
      <c r="AT312" s="698"/>
      <c r="AU312" s="711"/>
      <c r="AV312" s="698"/>
      <c r="AW312" s="698"/>
      <c r="AX312" s="698"/>
      <c r="AY312" s="897"/>
      <c r="AZ312" s="897"/>
      <c r="BA312" s="897"/>
      <c r="BB312" s="897"/>
      <c r="BC312" s="897"/>
      <c r="BD312" s="897"/>
      <c r="BE312" s="897"/>
      <c r="BF312" s="897"/>
      <c r="BG312" s="897"/>
      <c r="BH312" s="897"/>
      <c r="BI312" s="897"/>
      <c r="BJ312" s="897"/>
      <c r="BK312" s="897"/>
      <c r="BL312" s="897"/>
      <c r="BM312" s="897"/>
      <c r="BN312" s="897"/>
      <c r="BO312" s="897"/>
      <c r="BP312" s="897"/>
      <c r="BQ312" s="897"/>
      <c r="BR312" s="897"/>
      <c r="BS312" s="897"/>
      <c r="BT312" s="897"/>
      <c r="BU312" s="897"/>
      <c r="BV312" s="897"/>
      <c r="BW312" s="897"/>
      <c r="BX312" s="897"/>
      <c r="BY312" s="897"/>
      <c r="BZ312" s="897"/>
      <c r="CA312" s="897"/>
      <c r="CB312" s="897"/>
      <c r="CC312" s="897"/>
      <c r="CD312" s="897"/>
      <c r="CE312" s="897"/>
      <c r="CF312" s="897"/>
      <c r="CG312" s="897"/>
      <c r="CH312" s="897"/>
      <c r="CI312" s="897"/>
      <c r="CJ312" s="897"/>
      <c r="CK312" s="897"/>
      <c r="CL312" s="897"/>
      <c r="CM312" s="897"/>
      <c r="CN312" s="897"/>
      <c r="CO312" s="897"/>
      <c r="CP312" s="897"/>
      <c r="CQ312" s="897"/>
      <c r="CR312" s="897"/>
      <c r="CS312" s="897"/>
      <c r="CT312" s="897"/>
      <c r="CU312" s="897"/>
      <c r="CV312" s="897"/>
      <c r="CW312" s="897"/>
      <c r="CX312" s="897"/>
      <c r="CY312" s="897"/>
      <c r="CZ312" s="897"/>
      <c r="DA312" s="897"/>
      <c r="DB312" s="897"/>
      <c r="DC312" s="897"/>
      <c r="DD312" s="897"/>
      <c r="DE312" s="897"/>
      <c r="DF312" s="897"/>
      <c r="DG312" s="897"/>
      <c r="DH312" s="897"/>
      <c r="DI312" s="897"/>
      <c r="DJ312" s="897"/>
      <c r="DK312" s="897"/>
      <c r="DL312" s="897"/>
      <c r="DM312" s="897"/>
      <c r="DN312" s="897"/>
      <c r="DO312" s="897"/>
      <c r="DP312" s="897"/>
      <c r="DQ312" s="897"/>
      <c r="DR312" s="897"/>
      <c r="DS312" s="897"/>
      <c r="DT312" s="897"/>
      <c r="DU312" s="897"/>
      <c r="DV312" s="897"/>
      <c r="DW312" s="897"/>
      <c r="DX312" s="897"/>
      <c r="DY312" s="897"/>
      <c r="DZ312" s="897"/>
      <c r="EA312" s="900"/>
      <c r="EB312" s="900"/>
      <c r="EC312" s="900"/>
      <c r="ED312" s="900"/>
      <c r="EE312" s="900"/>
      <c r="EF312" s="900"/>
      <c r="EG312" s="900"/>
      <c r="EH312" s="900"/>
      <c r="EI312" s="900"/>
      <c r="EJ312" s="900"/>
      <c r="EK312" s="900"/>
      <c r="EL312" s="900"/>
      <c r="EM312" s="900"/>
      <c r="EN312" s="900"/>
      <c r="EO312" s="900"/>
      <c r="EP312" s="900"/>
      <c r="EQ312" s="900"/>
      <c r="ER312" s="900"/>
      <c r="ES312" s="900"/>
      <c r="ET312" s="900"/>
      <c r="EU312" s="900"/>
      <c r="EV312" s="900"/>
      <c r="EW312" s="900"/>
      <c r="EX312" s="900"/>
      <c r="EY312" s="900"/>
      <c r="EZ312" s="900"/>
      <c r="FA312" s="900"/>
      <c r="FB312" s="900"/>
      <c r="FC312" s="900"/>
      <c r="FD312" s="900"/>
      <c r="FE312" s="900"/>
      <c r="FF312" s="900"/>
      <c r="FG312" s="900"/>
      <c r="FH312" s="900"/>
      <c r="FI312" s="900"/>
      <c r="FJ312" s="900"/>
      <c r="FK312" s="900"/>
      <c r="FL312" s="900"/>
      <c r="FM312" s="900"/>
      <c r="FN312" s="900"/>
      <c r="FO312" s="900"/>
      <c r="FP312" s="900"/>
      <c r="FQ312" s="900"/>
      <c r="FR312" s="900"/>
      <c r="FS312" s="900"/>
      <c r="FT312" s="900"/>
      <c r="FU312" s="900"/>
      <c r="FV312" s="900"/>
      <c r="FW312" s="900"/>
      <c r="FX312" s="900"/>
      <c r="FY312" s="900"/>
      <c r="FZ312" s="900"/>
      <c r="GA312" s="900"/>
      <c r="GB312" s="900"/>
      <c r="GC312" s="900"/>
      <c r="GD312" s="900"/>
    </row>
    <row r="313" s="699" customFormat="1" ht="36" customHeight="1" spans="1:186">
      <c r="A313" s="882">
        <v>45147</v>
      </c>
      <c r="B313" s="716" t="s">
        <v>3856</v>
      </c>
      <c r="C313" s="884" t="s">
        <v>52</v>
      </c>
      <c r="D313" s="885" t="s">
        <v>3857</v>
      </c>
      <c r="E313" s="863"/>
      <c r="F313" s="817"/>
      <c r="G313" s="711"/>
      <c r="H313" s="711" t="s">
        <v>1478</v>
      </c>
      <c r="I313" s="712" t="s">
        <v>1479</v>
      </c>
      <c r="J313" s="711">
        <v>168</v>
      </c>
      <c r="K313" s="711">
        <v>0</v>
      </c>
      <c r="L313" s="711">
        <v>24</v>
      </c>
      <c r="M313" s="698">
        <f t="shared" si="172"/>
        <v>7</v>
      </c>
      <c r="N313" s="777">
        <v>45160</v>
      </c>
      <c r="O313" s="777">
        <v>45156</v>
      </c>
      <c r="P313" s="744" t="s">
        <v>3854</v>
      </c>
      <c r="Q313" s="744"/>
      <c r="R313" s="744"/>
      <c r="S313" s="530" t="s">
        <v>57</v>
      </c>
      <c r="T313" s="845"/>
      <c r="U313" s="870" t="s">
        <v>58</v>
      </c>
      <c r="V313" s="698"/>
      <c r="W313" s="815" t="s">
        <v>3855</v>
      </c>
      <c r="X313" s="712"/>
      <c r="Y313" s="910"/>
      <c r="Z313" s="753"/>
      <c r="AA313" s="778"/>
      <c r="AB313" s="698"/>
      <c r="AC313" s="712"/>
      <c r="AD313" s="778"/>
      <c r="AE313" s="778"/>
      <c r="AF313" s="711">
        <f t="shared" si="173"/>
        <v>56</v>
      </c>
      <c r="AG313" s="711">
        <f t="shared" si="174"/>
        <v>56</v>
      </c>
      <c r="AH313" s="711">
        <f t="shared" si="175"/>
        <v>56</v>
      </c>
      <c r="AI313" s="800">
        <f t="shared" si="176"/>
        <v>168</v>
      </c>
      <c r="AJ313" s="800"/>
      <c r="AK313" s="800"/>
      <c r="AL313" s="800">
        <f t="shared" si="177"/>
        <v>168</v>
      </c>
      <c r="AM313" s="800"/>
      <c r="AN313" s="800"/>
      <c r="AO313" s="800"/>
      <c r="AP313" s="779"/>
      <c r="AQ313" s="779"/>
      <c r="AR313" s="779"/>
      <c r="AS313" s="698"/>
      <c r="AT313" s="698"/>
      <c r="AU313" s="711"/>
      <c r="AV313" s="698"/>
      <c r="AW313" s="698"/>
      <c r="AX313" s="698"/>
      <c r="AY313" s="897"/>
      <c r="AZ313" s="897"/>
      <c r="BA313" s="897"/>
      <c r="BB313" s="897"/>
      <c r="BC313" s="897"/>
      <c r="BD313" s="897"/>
      <c r="BE313" s="897"/>
      <c r="BF313" s="897"/>
      <c r="BG313" s="897"/>
      <c r="BH313" s="897"/>
      <c r="BI313" s="897"/>
      <c r="BJ313" s="897"/>
      <c r="BK313" s="897"/>
      <c r="BL313" s="897"/>
      <c r="BM313" s="897"/>
      <c r="BN313" s="897"/>
      <c r="BO313" s="897"/>
      <c r="BP313" s="897"/>
      <c r="BQ313" s="897"/>
      <c r="BR313" s="897"/>
      <c r="BS313" s="897"/>
      <c r="BT313" s="897"/>
      <c r="BU313" s="897"/>
      <c r="BV313" s="897"/>
      <c r="BW313" s="897"/>
      <c r="BX313" s="897"/>
      <c r="BY313" s="897"/>
      <c r="BZ313" s="897"/>
      <c r="CA313" s="897"/>
      <c r="CB313" s="897"/>
      <c r="CC313" s="897"/>
      <c r="CD313" s="897"/>
      <c r="CE313" s="897"/>
      <c r="CF313" s="897"/>
      <c r="CG313" s="897"/>
      <c r="CH313" s="897"/>
      <c r="CI313" s="897"/>
      <c r="CJ313" s="897"/>
      <c r="CK313" s="897"/>
      <c r="CL313" s="897"/>
      <c r="CM313" s="897"/>
      <c r="CN313" s="897"/>
      <c r="CO313" s="897"/>
      <c r="CP313" s="897"/>
      <c r="CQ313" s="897"/>
      <c r="CR313" s="897"/>
      <c r="CS313" s="897"/>
      <c r="CT313" s="897"/>
      <c r="CU313" s="897"/>
      <c r="CV313" s="897"/>
      <c r="CW313" s="897"/>
      <c r="CX313" s="897"/>
      <c r="CY313" s="897"/>
      <c r="CZ313" s="897"/>
      <c r="DA313" s="897"/>
      <c r="DB313" s="897"/>
      <c r="DC313" s="897"/>
      <c r="DD313" s="897"/>
      <c r="DE313" s="897"/>
      <c r="DF313" s="897"/>
      <c r="DG313" s="897"/>
      <c r="DH313" s="897"/>
      <c r="DI313" s="897"/>
      <c r="DJ313" s="897"/>
      <c r="DK313" s="897"/>
      <c r="DL313" s="897"/>
      <c r="DM313" s="897"/>
      <c r="DN313" s="897"/>
      <c r="DO313" s="897"/>
      <c r="DP313" s="897"/>
      <c r="DQ313" s="897"/>
      <c r="DR313" s="897"/>
      <c r="DS313" s="897"/>
      <c r="DT313" s="897"/>
      <c r="DU313" s="897"/>
      <c r="DV313" s="897"/>
      <c r="DW313" s="897"/>
      <c r="DX313" s="897"/>
      <c r="DY313" s="897"/>
      <c r="DZ313" s="897"/>
      <c r="EA313" s="900"/>
      <c r="EB313" s="900"/>
      <c r="EC313" s="900"/>
      <c r="ED313" s="900"/>
      <c r="EE313" s="900"/>
      <c r="EF313" s="900"/>
      <c r="EG313" s="900"/>
      <c r="EH313" s="900"/>
      <c r="EI313" s="900"/>
      <c r="EJ313" s="900"/>
      <c r="EK313" s="900"/>
      <c r="EL313" s="900"/>
      <c r="EM313" s="900"/>
      <c r="EN313" s="900"/>
      <c r="EO313" s="900"/>
      <c r="EP313" s="900"/>
      <c r="EQ313" s="900"/>
      <c r="ER313" s="900"/>
      <c r="ES313" s="900"/>
      <c r="ET313" s="900"/>
      <c r="EU313" s="900"/>
      <c r="EV313" s="900"/>
      <c r="EW313" s="900"/>
      <c r="EX313" s="900"/>
      <c r="EY313" s="900"/>
      <c r="EZ313" s="900"/>
      <c r="FA313" s="900"/>
      <c r="FB313" s="900"/>
      <c r="FC313" s="900"/>
      <c r="FD313" s="900"/>
      <c r="FE313" s="900"/>
      <c r="FF313" s="900"/>
      <c r="FG313" s="900"/>
      <c r="FH313" s="900"/>
      <c r="FI313" s="900"/>
      <c r="FJ313" s="900"/>
      <c r="FK313" s="900"/>
      <c r="FL313" s="900"/>
      <c r="FM313" s="900"/>
      <c r="FN313" s="900"/>
      <c r="FO313" s="900"/>
      <c r="FP313" s="900"/>
      <c r="FQ313" s="900"/>
      <c r="FR313" s="900"/>
      <c r="FS313" s="900"/>
      <c r="FT313" s="900"/>
      <c r="FU313" s="900"/>
      <c r="FV313" s="900"/>
      <c r="FW313" s="900"/>
      <c r="FX313" s="900"/>
      <c r="FY313" s="900"/>
      <c r="FZ313" s="900"/>
      <c r="GA313" s="900"/>
      <c r="GB313" s="900"/>
      <c r="GC313" s="900"/>
      <c r="GD313" s="900"/>
    </row>
    <row r="314" s="699" customFormat="1" ht="36" customHeight="1" spans="1:186">
      <c r="A314" s="810">
        <v>45037</v>
      </c>
      <c r="B314" s="696" t="s">
        <v>3858</v>
      </c>
      <c r="C314" s="789" t="s">
        <v>123</v>
      </c>
      <c r="D314" s="817">
        <v>4500101337</v>
      </c>
      <c r="E314" s="901" t="s">
        <v>3859</v>
      </c>
      <c r="F314" s="817" t="s">
        <v>3860</v>
      </c>
      <c r="G314" s="711" t="s">
        <v>1918</v>
      </c>
      <c r="H314" s="530" t="s">
        <v>1891</v>
      </c>
      <c r="I314" s="712" t="s">
        <v>1479</v>
      </c>
      <c r="J314" s="711">
        <v>864</v>
      </c>
      <c r="K314" s="711">
        <v>0</v>
      </c>
      <c r="L314" s="711">
        <v>24</v>
      </c>
      <c r="M314" s="698">
        <f t="shared" si="172"/>
        <v>36</v>
      </c>
      <c r="N314" s="777">
        <v>45076</v>
      </c>
      <c r="O314" s="727">
        <v>45072</v>
      </c>
      <c r="P314" s="744" t="s">
        <v>3861</v>
      </c>
      <c r="Q314" s="744" t="s">
        <v>1480</v>
      </c>
      <c r="R314" s="744" t="s">
        <v>3862</v>
      </c>
      <c r="S314" s="744" t="s">
        <v>1595</v>
      </c>
      <c r="T314" s="845"/>
      <c r="U314" s="845" t="s">
        <v>58</v>
      </c>
      <c r="V314" s="698" t="s">
        <v>3863</v>
      </c>
      <c r="W314" s="856" t="s">
        <v>3864</v>
      </c>
      <c r="X314" s="696" t="s">
        <v>1623</v>
      </c>
      <c r="Y314" s="872">
        <v>1.5731</v>
      </c>
      <c r="Z314" s="757">
        <f t="shared" ref="Z314:Z317" si="178">Y314*J314</f>
        <v>1359.1584</v>
      </c>
      <c r="AA314" s="778"/>
      <c r="AB314" s="712" t="s">
        <v>63</v>
      </c>
      <c r="AC314" s="712" t="s">
        <v>38</v>
      </c>
      <c r="AD314" s="778">
        <v>864</v>
      </c>
      <c r="AE314" s="778"/>
      <c r="AF314" s="711">
        <f t="shared" si="173"/>
        <v>288</v>
      </c>
      <c r="AG314" s="711">
        <f t="shared" si="174"/>
        <v>288</v>
      </c>
      <c r="AH314" s="711">
        <f t="shared" si="175"/>
        <v>288</v>
      </c>
      <c r="AI314" s="800">
        <f t="shared" si="176"/>
        <v>864</v>
      </c>
      <c r="AJ314" s="800"/>
      <c r="AK314" s="800"/>
      <c r="AL314" s="800">
        <f t="shared" si="177"/>
        <v>864</v>
      </c>
      <c r="AM314" s="800"/>
      <c r="AN314" s="800">
        <f>J314/6</f>
        <v>144</v>
      </c>
      <c r="AO314" s="800"/>
      <c r="AP314" s="779"/>
      <c r="AQ314" s="779"/>
      <c r="AR314" s="779"/>
      <c r="AS314" s="698"/>
      <c r="AT314" s="698"/>
      <c r="AU314" s="711"/>
      <c r="AV314" s="698"/>
      <c r="AW314" s="698"/>
      <c r="AX314" s="698"/>
      <c r="AY314" s="897"/>
      <c r="AZ314" s="897"/>
      <c r="BA314" s="897"/>
      <c r="BB314" s="897"/>
      <c r="BC314" s="897"/>
      <c r="BD314" s="897"/>
      <c r="BE314" s="897"/>
      <c r="BF314" s="897"/>
      <c r="BG314" s="897"/>
      <c r="BH314" s="897"/>
      <c r="BI314" s="897"/>
      <c r="BJ314" s="897"/>
      <c r="BK314" s="897"/>
      <c r="BL314" s="897"/>
      <c r="BM314" s="897"/>
      <c r="BN314" s="897"/>
      <c r="BO314" s="897"/>
      <c r="BP314" s="897"/>
      <c r="BQ314" s="897"/>
      <c r="BR314" s="897"/>
      <c r="BS314" s="897"/>
      <c r="BT314" s="897"/>
      <c r="BU314" s="897"/>
      <c r="BV314" s="897"/>
      <c r="BW314" s="897"/>
      <c r="BX314" s="897"/>
      <c r="BY314" s="897"/>
      <c r="BZ314" s="897"/>
      <c r="CA314" s="897"/>
      <c r="CB314" s="897"/>
      <c r="CC314" s="897"/>
      <c r="CD314" s="897"/>
      <c r="CE314" s="897"/>
      <c r="CF314" s="897"/>
      <c r="CG314" s="897"/>
      <c r="CH314" s="897"/>
      <c r="CI314" s="897"/>
      <c r="CJ314" s="897"/>
      <c r="CK314" s="897"/>
      <c r="CL314" s="897"/>
      <c r="CM314" s="897"/>
      <c r="CN314" s="897"/>
      <c r="CO314" s="897"/>
      <c r="CP314" s="897"/>
      <c r="CQ314" s="897"/>
      <c r="CR314" s="897"/>
      <c r="CS314" s="897"/>
      <c r="CT314" s="897"/>
      <c r="CU314" s="897"/>
      <c r="CV314" s="897"/>
      <c r="CW314" s="897"/>
      <c r="CX314" s="897"/>
      <c r="CY314" s="897"/>
      <c r="CZ314" s="897"/>
      <c r="DA314" s="897"/>
      <c r="DB314" s="897"/>
      <c r="DC314" s="897"/>
      <c r="DD314" s="897"/>
      <c r="DE314" s="897"/>
      <c r="DF314" s="897"/>
      <c r="DG314" s="897"/>
      <c r="DH314" s="897"/>
      <c r="DI314" s="897"/>
      <c r="DJ314" s="897"/>
      <c r="DK314" s="897"/>
      <c r="DL314" s="897"/>
      <c r="DM314" s="897"/>
      <c r="DN314" s="897"/>
      <c r="DO314" s="897"/>
      <c r="DP314" s="897"/>
      <c r="DQ314" s="897"/>
      <c r="DR314" s="897"/>
      <c r="DS314" s="897"/>
      <c r="DT314" s="897"/>
      <c r="DU314" s="897"/>
      <c r="DV314" s="897"/>
      <c r="DW314" s="897"/>
      <c r="DX314" s="897"/>
      <c r="DY314" s="897"/>
      <c r="DZ314" s="897"/>
      <c r="EA314" s="900"/>
      <c r="EB314" s="900"/>
      <c r="EC314" s="900"/>
      <c r="ED314" s="900"/>
      <c r="EE314" s="900"/>
      <c r="EF314" s="900"/>
      <c r="EG314" s="900"/>
      <c r="EH314" s="900"/>
      <c r="EI314" s="900"/>
      <c r="EJ314" s="900"/>
      <c r="EK314" s="900"/>
      <c r="EL314" s="900"/>
      <c r="EM314" s="900"/>
      <c r="EN314" s="900"/>
      <c r="EO314" s="900"/>
      <c r="EP314" s="900"/>
      <c r="EQ314" s="900"/>
      <c r="ER314" s="900"/>
      <c r="ES314" s="900"/>
      <c r="ET314" s="900"/>
      <c r="EU314" s="900"/>
      <c r="EV314" s="900"/>
      <c r="EW314" s="900"/>
      <c r="EX314" s="900"/>
      <c r="EY314" s="900"/>
      <c r="EZ314" s="900"/>
      <c r="FA314" s="900"/>
      <c r="FB314" s="900"/>
      <c r="FC314" s="900"/>
      <c r="FD314" s="900"/>
      <c r="FE314" s="900"/>
      <c r="FF314" s="900"/>
      <c r="FG314" s="900"/>
      <c r="FH314" s="900"/>
      <c r="FI314" s="900"/>
      <c r="FJ314" s="900"/>
      <c r="FK314" s="900"/>
      <c r="FL314" s="900"/>
      <c r="FM314" s="900"/>
      <c r="FN314" s="900"/>
      <c r="FO314" s="900"/>
      <c r="FP314" s="900"/>
      <c r="FQ314" s="900"/>
      <c r="FR314" s="900"/>
      <c r="FS314" s="900"/>
      <c r="FT314" s="900"/>
      <c r="FU314" s="900"/>
      <c r="FV314" s="900"/>
      <c r="FW314" s="900"/>
      <c r="FX314" s="900"/>
      <c r="FY314" s="900"/>
      <c r="FZ314" s="900"/>
      <c r="GA314" s="900"/>
      <c r="GB314" s="900"/>
      <c r="GC314" s="900"/>
      <c r="GD314" s="900"/>
    </row>
    <row r="315" s="699" customFormat="1" ht="36" customHeight="1" spans="1:186">
      <c r="A315" s="810">
        <v>45037</v>
      </c>
      <c r="B315" s="696" t="s">
        <v>3858</v>
      </c>
      <c r="C315" s="789" t="s">
        <v>91</v>
      </c>
      <c r="D315" s="817">
        <v>4500100928</v>
      </c>
      <c r="E315" s="901"/>
      <c r="F315" s="817" t="s">
        <v>3865</v>
      </c>
      <c r="G315" s="711" t="s">
        <v>1918</v>
      </c>
      <c r="H315" s="530" t="s">
        <v>1891</v>
      </c>
      <c r="I315" s="712" t="s">
        <v>1479</v>
      </c>
      <c r="J315" s="711">
        <v>336</v>
      </c>
      <c r="K315" s="711">
        <v>0</v>
      </c>
      <c r="L315" s="711">
        <v>24</v>
      </c>
      <c r="M315" s="698">
        <f t="shared" si="172"/>
        <v>14</v>
      </c>
      <c r="N315" s="777">
        <v>45079</v>
      </c>
      <c r="O315" s="727">
        <v>45075</v>
      </c>
      <c r="P315" s="744" t="s">
        <v>3861</v>
      </c>
      <c r="Q315" s="744" t="s">
        <v>1480</v>
      </c>
      <c r="R315" s="744" t="s">
        <v>3866</v>
      </c>
      <c r="S315" s="744" t="s">
        <v>1595</v>
      </c>
      <c r="T315" s="845"/>
      <c r="U315" s="845" t="s">
        <v>58</v>
      </c>
      <c r="V315" s="698" t="s">
        <v>3863</v>
      </c>
      <c r="W315" s="856" t="s">
        <v>3864</v>
      </c>
      <c r="X315" s="696" t="s">
        <v>1623</v>
      </c>
      <c r="Y315" s="872">
        <v>1.5731</v>
      </c>
      <c r="Z315" s="757">
        <f t="shared" si="178"/>
        <v>528.5616</v>
      </c>
      <c r="AA315" s="778"/>
      <c r="AB315" s="712" t="s">
        <v>63</v>
      </c>
      <c r="AC315" s="712" t="s">
        <v>38</v>
      </c>
      <c r="AD315" s="778">
        <v>336</v>
      </c>
      <c r="AE315" s="778"/>
      <c r="AF315" s="711">
        <f t="shared" si="173"/>
        <v>112</v>
      </c>
      <c r="AG315" s="711">
        <f t="shared" si="174"/>
        <v>112</v>
      </c>
      <c r="AH315" s="711">
        <f t="shared" si="175"/>
        <v>112</v>
      </c>
      <c r="AI315" s="800">
        <f t="shared" si="176"/>
        <v>336</v>
      </c>
      <c r="AJ315" s="800"/>
      <c r="AK315" s="800"/>
      <c r="AL315" s="800">
        <f t="shared" si="177"/>
        <v>336</v>
      </c>
      <c r="AM315" s="800"/>
      <c r="AN315" s="800">
        <f>J315/6</f>
        <v>56</v>
      </c>
      <c r="AO315" s="800"/>
      <c r="AP315" s="779"/>
      <c r="AQ315" s="779"/>
      <c r="AR315" s="779"/>
      <c r="AS315" s="698"/>
      <c r="AT315" s="698"/>
      <c r="AU315" s="711"/>
      <c r="AV315" s="698"/>
      <c r="AW315" s="698"/>
      <c r="AX315" s="698"/>
      <c r="AY315" s="897"/>
      <c r="AZ315" s="897"/>
      <c r="BA315" s="897"/>
      <c r="BB315" s="897"/>
      <c r="BC315" s="897"/>
      <c r="BD315" s="897"/>
      <c r="BE315" s="897"/>
      <c r="BF315" s="897"/>
      <c r="BG315" s="897"/>
      <c r="BH315" s="897"/>
      <c r="BI315" s="897"/>
      <c r="BJ315" s="897"/>
      <c r="BK315" s="897"/>
      <c r="BL315" s="897"/>
      <c r="BM315" s="897"/>
      <c r="BN315" s="897"/>
      <c r="BO315" s="897"/>
      <c r="BP315" s="897"/>
      <c r="BQ315" s="897"/>
      <c r="BR315" s="897"/>
      <c r="BS315" s="897"/>
      <c r="BT315" s="897"/>
      <c r="BU315" s="897"/>
      <c r="BV315" s="897"/>
      <c r="BW315" s="897"/>
      <c r="BX315" s="897"/>
      <c r="BY315" s="897"/>
      <c r="BZ315" s="897"/>
      <c r="CA315" s="897"/>
      <c r="CB315" s="897"/>
      <c r="CC315" s="897"/>
      <c r="CD315" s="897"/>
      <c r="CE315" s="897"/>
      <c r="CF315" s="897"/>
      <c r="CG315" s="897"/>
      <c r="CH315" s="897"/>
      <c r="CI315" s="897"/>
      <c r="CJ315" s="897"/>
      <c r="CK315" s="897"/>
      <c r="CL315" s="897"/>
      <c r="CM315" s="897"/>
      <c r="CN315" s="897"/>
      <c r="CO315" s="897"/>
      <c r="CP315" s="897"/>
      <c r="CQ315" s="897"/>
      <c r="CR315" s="897"/>
      <c r="CS315" s="897"/>
      <c r="CT315" s="897"/>
      <c r="CU315" s="897"/>
      <c r="CV315" s="897"/>
      <c r="CW315" s="897"/>
      <c r="CX315" s="897"/>
      <c r="CY315" s="897"/>
      <c r="CZ315" s="897"/>
      <c r="DA315" s="897"/>
      <c r="DB315" s="897"/>
      <c r="DC315" s="897"/>
      <c r="DD315" s="897"/>
      <c r="DE315" s="897"/>
      <c r="DF315" s="897"/>
      <c r="DG315" s="897"/>
      <c r="DH315" s="897"/>
      <c r="DI315" s="897"/>
      <c r="DJ315" s="897"/>
      <c r="DK315" s="897"/>
      <c r="DL315" s="897"/>
      <c r="DM315" s="897"/>
      <c r="DN315" s="897"/>
      <c r="DO315" s="897"/>
      <c r="DP315" s="897"/>
      <c r="DQ315" s="897"/>
      <c r="DR315" s="897"/>
      <c r="DS315" s="897"/>
      <c r="DT315" s="897"/>
      <c r="DU315" s="897"/>
      <c r="DV315" s="897"/>
      <c r="DW315" s="897"/>
      <c r="DX315" s="897"/>
      <c r="DY315" s="897"/>
      <c r="DZ315" s="897"/>
      <c r="EA315" s="900"/>
      <c r="EB315" s="900"/>
      <c r="EC315" s="900"/>
      <c r="ED315" s="900"/>
      <c r="EE315" s="900"/>
      <c r="EF315" s="900"/>
      <c r="EG315" s="900"/>
      <c r="EH315" s="900"/>
      <c r="EI315" s="900"/>
      <c r="EJ315" s="900"/>
      <c r="EK315" s="900"/>
      <c r="EL315" s="900"/>
      <c r="EM315" s="900"/>
      <c r="EN315" s="900"/>
      <c r="EO315" s="900"/>
      <c r="EP315" s="900"/>
      <c r="EQ315" s="900"/>
      <c r="ER315" s="900"/>
      <c r="ES315" s="900"/>
      <c r="ET315" s="900"/>
      <c r="EU315" s="900"/>
      <c r="EV315" s="900"/>
      <c r="EW315" s="900"/>
      <c r="EX315" s="900"/>
      <c r="EY315" s="900"/>
      <c r="EZ315" s="900"/>
      <c r="FA315" s="900"/>
      <c r="FB315" s="900"/>
      <c r="FC315" s="900"/>
      <c r="FD315" s="900"/>
      <c r="FE315" s="900"/>
      <c r="FF315" s="900"/>
      <c r="FG315" s="900"/>
      <c r="FH315" s="900"/>
      <c r="FI315" s="900"/>
      <c r="FJ315" s="900"/>
      <c r="FK315" s="900"/>
      <c r="FL315" s="900"/>
      <c r="FM315" s="900"/>
      <c r="FN315" s="900"/>
      <c r="FO315" s="900"/>
      <c r="FP315" s="900"/>
      <c r="FQ315" s="900"/>
      <c r="FR315" s="900"/>
      <c r="FS315" s="900"/>
      <c r="FT315" s="900"/>
      <c r="FU315" s="900"/>
      <c r="FV315" s="900"/>
      <c r="FW315" s="900"/>
      <c r="FX315" s="900"/>
      <c r="FY315" s="900"/>
      <c r="FZ315" s="900"/>
      <c r="GA315" s="900"/>
      <c r="GB315" s="900"/>
      <c r="GC315" s="900"/>
      <c r="GD315" s="900"/>
    </row>
    <row r="316" s="699" customFormat="1" ht="36" customHeight="1" spans="1:186">
      <c r="A316" s="882">
        <v>45195</v>
      </c>
      <c r="B316" s="795" t="s">
        <v>1593</v>
      </c>
      <c r="C316" s="902" t="s">
        <v>647</v>
      </c>
      <c r="D316" s="817">
        <v>4500113295</v>
      </c>
      <c r="E316" s="863">
        <v>123585</v>
      </c>
      <c r="F316" s="817" t="s">
        <v>3867</v>
      </c>
      <c r="G316" s="711"/>
      <c r="H316" s="711" t="s">
        <v>1568</v>
      </c>
      <c r="I316" s="712" t="s">
        <v>1479</v>
      </c>
      <c r="J316" s="711">
        <v>1008</v>
      </c>
      <c r="K316" s="711">
        <v>0</v>
      </c>
      <c r="L316" s="711">
        <v>24</v>
      </c>
      <c r="M316" s="698">
        <f t="shared" si="172"/>
        <v>42</v>
      </c>
      <c r="N316" s="777">
        <v>45260</v>
      </c>
      <c r="O316" s="777" t="s">
        <v>3422</v>
      </c>
      <c r="P316" s="744"/>
      <c r="Q316" s="744"/>
      <c r="R316" s="744"/>
      <c r="S316" s="530" t="s">
        <v>1427</v>
      </c>
      <c r="T316" s="845"/>
      <c r="U316" s="870" t="s">
        <v>3868</v>
      </c>
      <c r="V316" s="698" t="s">
        <v>3869</v>
      </c>
      <c r="W316" s="815" t="s">
        <v>3870</v>
      </c>
      <c r="X316" s="712" t="s">
        <v>3781</v>
      </c>
      <c r="Y316" s="751">
        <v>1.3</v>
      </c>
      <c r="Z316" s="831">
        <f t="shared" si="178"/>
        <v>1310.4</v>
      </c>
      <c r="AA316" s="778"/>
      <c r="AB316" s="698"/>
      <c r="AC316" s="712"/>
      <c r="AD316" s="778"/>
      <c r="AE316" s="778"/>
      <c r="AF316" s="711">
        <f t="shared" si="173"/>
        <v>336</v>
      </c>
      <c r="AG316" s="711">
        <f t="shared" si="174"/>
        <v>336</v>
      </c>
      <c r="AH316" s="711">
        <f t="shared" si="175"/>
        <v>336</v>
      </c>
      <c r="AI316" s="800"/>
      <c r="AJ316" s="800">
        <f t="shared" ref="AJ316:AJ319" si="179">J316</f>
        <v>1008</v>
      </c>
      <c r="AK316" s="800"/>
      <c r="AL316" s="800"/>
      <c r="AM316" s="800"/>
      <c r="AN316" s="800"/>
      <c r="AO316" s="800">
        <f>J316/6</f>
        <v>168</v>
      </c>
      <c r="AP316" s="779"/>
      <c r="AQ316" s="779">
        <f>J316</f>
        <v>1008</v>
      </c>
      <c r="AR316" s="779"/>
      <c r="AS316" s="698"/>
      <c r="AT316" s="698"/>
      <c r="AU316" s="711"/>
      <c r="AV316" s="698"/>
      <c r="AW316" s="698"/>
      <c r="AX316" s="698"/>
      <c r="AY316" s="897"/>
      <c r="AZ316" s="897"/>
      <c r="BA316" s="897"/>
      <c r="BB316" s="897"/>
      <c r="BC316" s="897"/>
      <c r="BD316" s="897"/>
      <c r="BE316" s="897"/>
      <c r="BF316" s="897"/>
      <c r="BG316" s="897"/>
      <c r="BH316" s="897"/>
      <c r="BI316" s="897"/>
      <c r="BJ316" s="897"/>
      <c r="BK316" s="897"/>
      <c r="BL316" s="897"/>
      <c r="BM316" s="897"/>
      <c r="BN316" s="897"/>
      <c r="BO316" s="897"/>
      <c r="BP316" s="897"/>
      <c r="BQ316" s="897"/>
      <c r="BR316" s="897"/>
      <c r="BS316" s="897"/>
      <c r="BT316" s="897"/>
      <c r="BU316" s="897"/>
      <c r="BV316" s="897"/>
      <c r="BW316" s="897"/>
      <c r="BX316" s="897"/>
      <c r="BY316" s="897"/>
      <c r="BZ316" s="897"/>
      <c r="CA316" s="897"/>
      <c r="CB316" s="897"/>
      <c r="CC316" s="897"/>
      <c r="CD316" s="897"/>
      <c r="CE316" s="897"/>
      <c r="CF316" s="897"/>
      <c r="CG316" s="897"/>
      <c r="CH316" s="897"/>
      <c r="CI316" s="897"/>
      <c r="CJ316" s="897"/>
      <c r="CK316" s="897"/>
      <c r="CL316" s="897"/>
      <c r="CM316" s="897"/>
      <c r="CN316" s="897"/>
      <c r="CO316" s="897"/>
      <c r="CP316" s="897"/>
      <c r="CQ316" s="897"/>
      <c r="CR316" s="897"/>
      <c r="CS316" s="897"/>
      <c r="CT316" s="897"/>
      <c r="CU316" s="897"/>
      <c r="CV316" s="897"/>
      <c r="CW316" s="897"/>
      <c r="CX316" s="897"/>
      <c r="CY316" s="897"/>
      <c r="CZ316" s="897"/>
      <c r="DA316" s="897"/>
      <c r="DB316" s="897"/>
      <c r="DC316" s="897"/>
      <c r="DD316" s="897"/>
      <c r="DE316" s="897"/>
      <c r="DF316" s="897"/>
      <c r="DG316" s="897"/>
      <c r="DH316" s="897"/>
      <c r="DI316" s="897"/>
      <c r="DJ316" s="897"/>
      <c r="DK316" s="897"/>
      <c r="DL316" s="897"/>
      <c r="DM316" s="897"/>
      <c r="DN316" s="897"/>
      <c r="DO316" s="897"/>
      <c r="DP316" s="897"/>
      <c r="DQ316" s="897"/>
      <c r="DR316" s="897"/>
      <c r="DS316" s="897"/>
      <c r="DT316" s="897"/>
      <c r="DU316" s="897"/>
      <c r="DV316" s="897"/>
      <c r="DW316" s="897"/>
      <c r="DX316" s="897"/>
      <c r="DY316" s="897"/>
      <c r="DZ316" s="897"/>
      <c r="EA316" s="900"/>
      <c r="EB316" s="900"/>
      <c r="EC316" s="900"/>
      <c r="ED316" s="900"/>
      <c r="EE316" s="900"/>
      <c r="EF316" s="900"/>
      <c r="EG316" s="900"/>
      <c r="EH316" s="900"/>
      <c r="EI316" s="900"/>
      <c r="EJ316" s="900"/>
      <c r="EK316" s="900"/>
      <c r="EL316" s="900"/>
      <c r="EM316" s="900"/>
      <c r="EN316" s="900"/>
      <c r="EO316" s="900"/>
      <c r="EP316" s="900"/>
      <c r="EQ316" s="900"/>
      <c r="ER316" s="900"/>
      <c r="ES316" s="900"/>
      <c r="ET316" s="900"/>
      <c r="EU316" s="900"/>
      <c r="EV316" s="900"/>
      <c r="EW316" s="900"/>
      <c r="EX316" s="900"/>
      <c r="EY316" s="900"/>
      <c r="EZ316" s="900"/>
      <c r="FA316" s="900"/>
      <c r="FB316" s="900"/>
      <c r="FC316" s="900"/>
      <c r="FD316" s="900"/>
      <c r="FE316" s="900"/>
      <c r="FF316" s="900"/>
      <c r="FG316" s="900"/>
      <c r="FH316" s="900"/>
      <c r="FI316" s="900"/>
      <c r="FJ316" s="900"/>
      <c r="FK316" s="900"/>
      <c r="FL316" s="900"/>
      <c r="FM316" s="900"/>
      <c r="FN316" s="900"/>
      <c r="FO316" s="900"/>
      <c r="FP316" s="900"/>
      <c r="FQ316" s="900"/>
      <c r="FR316" s="900"/>
      <c r="FS316" s="900"/>
      <c r="FT316" s="900"/>
      <c r="FU316" s="900"/>
      <c r="FV316" s="900"/>
      <c r="FW316" s="900"/>
      <c r="FX316" s="900"/>
      <c r="FY316" s="900"/>
      <c r="FZ316" s="900"/>
      <c r="GA316" s="900"/>
      <c r="GB316" s="900"/>
      <c r="GC316" s="900"/>
      <c r="GD316" s="900"/>
    </row>
    <row r="317" s="699" customFormat="1" ht="36" customHeight="1" spans="1:186">
      <c r="A317" s="882">
        <v>45166</v>
      </c>
      <c r="B317" s="795" t="s">
        <v>3297</v>
      </c>
      <c r="C317" s="884" t="s">
        <v>123</v>
      </c>
      <c r="D317" s="817">
        <v>4500111564</v>
      </c>
      <c r="E317" s="863"/>
      <c r="F317" s="817" t="s">
        <v>3871</v>
      </c>
      <c r="G317" s="711"/>
      <c r="H317" s="711" t="s">
        <v>3872</v>
      </c>
      <c r="I317" s="712" t="s">
        <v>1479</v>
      </c>
      <c r="J317" s="711">
        <v>3000</v>
      </c>
      <c r="K317" s="711">
        <v>0</v>
      </c>
      <c r="L317" s="711">
        <v>24</v>
      </c>
      <c r="M317" s="698">
        <f t="shared" si="172"/>
        <v>125</v>
      </c>
      <c r="N317" s="777">
        <v>45209</v>
      </c>
      <c r="O317" s="777">
        <v>45205</v>
      </c>
      <c r="P317" s="744" t="s">
        <v>3873</v>
      </c>
      <c r="Q317" s="744"/>
      <c r="R317" s="744"/>
      <c r="S317" s="530" t="s">
        <v>3874</v>
      </c>
      <c r="T317" s="845"/>
      <c r="U317" s="870" t="s">
        <v>58</v>
      </c>
      <c r="V317" s="698" t="s">
        <v>3875</v>
      </c>
      <c r="W317" s="815" t="s">
        <v>3876</v>
      </c>
      <c r="X317" s="712" t="s">
        <v>490</v>
      </c>
      <c r="Y317" s="751">
        <v>1.35</v>
      </c>
      <c r="Z317" s="831">
        <f t="shared" si="178"/>
        <v>4050</v>
      </c>
      <c r="AA317" s="778"/>
      <c r="AB317" s="698"/>
      <c r="AC317" s="712"/>
      <c r="AD317" s="778"/>
      <c r="AE317" s="778"/>
      <c r="AF317" s="711">
        <f t="shared" si="173"/>
        <v>1000</v>
      </c>
      <c r="AG317" s="711">
        <f t="shared" si="174"/>
        <v>1000</v>
      </c>
      <c r="AH317" s="711">
        <f t="shared" si="175"/>
        <v>1000</v>
      </c>
      <c r="AI317" s="800"/>
      <c r="AJ317" s="800">
        <f t="shared" si="179"/>
        <v>3000</v>
      </c>
      <c r="AK317" s="800"/>
      <c r="AL317" s="800"/>
      <c r="AM317" s="800">
        <f>J317</f>
        <v>3000</v>
      </c>
      <c r="AN317" s="800"/>
      <c r="AO317" s="800">
        <f>J317/6</f>
        <v>500</v>
      </c>
      <c r="AP317" s="779"/>
      <c r="AQ317" s="779"/>
      <c r="AR317" s="779"/>
      <c r="AS317" s="698"/>
      <c r="AT317" s="698"/>
      <c r="AU317" s="711"/>
      <c r="AV317" s="698"/>
      <c r="AW317" s="698"/>
      <c r="AX317" s="698"/>
      <c r="AY317" s="897"/>
      <c r="AZ317" s="897"/>
      <c r="BA317" s="897"/>
      <c r="BB317" s="897"/>
      <c r="BC317" s="897"/>
      <c r="BD317" s="897"/>
      <c r="BE317" s="897"/>
      <c r="BF317" s="897"/>
      <c r="BG317" s="897"/>
      <c r="BH317" s="897"/>
      <c r="BI317" s="897"/>
      <c r="BJ317" s="897"/>
      <c r="BK317" s="897"/>
      <c r="BL317" s="897"/>
      <c r="BM317" s="897"/>
      <c r="BN317" s="897"/>
      <c r="BO317" s="897"/>
      <c r="BP317" s="897"/>
      <c r="BQ317" s="897"/>
      <c r="BR317" s="897"/>
      <c r="BS317" s="897"/>
      <c r="BT317" s="897"/>
      <c r="BU317" s="897"/>
      <c r="BV317" s="897"/>
      <c r="BW317" s="897"/>
      <c r="BX317" s="897"/>
      <c r="BY317" s="897"/>
      <c r="BZ317" s="897"/>
      <c r="CA317" s="897"/>
      <c r="CB317" s="897"/>
      <c r="CC317" s="897"/>
      <c r="CD317" s="897"/>
      <c r="CE317" s="897"/>
      <c r="CF317" s="897"/>
      <c r="CG317" s="897"/>
      <c r="CH317" s="897"/>
      <c r="CI317" s="897"/>
      <c r="CJ317" s="897"/>
      <c r="CK317" s="897"/>
      <c r="CL317" s="897"/>
      <c r="CM317" s="897"/>
      <c r="CN317" s="897"/>
      <c r="CO317" s="897"/>
      <c r="CP317" s="897"/>
      <c r="CQ317" s="897"/>
      <c r="CR317" s="897"/>
      <c r="CS317" s="897"/>
      <c r="CT317" s="897"/>
      <c r="CU317" s="897"/>
      <c r="CV317" s="897"/>
      <c r="CW317" s="897"/>
      <c r="CX317" s="897"/>
      <c r="CY317" s="897"/>
      <c r="CZ317" s="897"/>
      <c r="DA317" s="897"/>
      <c r="DB317" s="897"/>
      <c r="DC317" s="897"/>
      <c r="DD317" s="897"/>
      <c r="DE317" s="897"/>
      <c r="DF317" s="897"/>
      <c r="DG317" s="897"/>
      <c r="DH317" s="897"/>
      <c r="DI317" s="897"/>
      <c r="DJ317" s="897"/>
      <c r="DK317" s="897"/>
      <c r="DL317" s="897"/>
      <c r="DM317" s="897"/>
      <c r="DN317" s="897"/>
      <c r="DO317" s="897"/>
      <c r="DP317" s="897"/>
      <c r="DQ317" s="897"/>
      <c r="DR317" s="897"/>
      <c r="DS317" s="897"/>
      <c r="DT317" s="897"/>
      <c r="DU317" s="897"/>
      <c r="DV317" s="897"/>
      <c r="DW317" s="897"/>
      <c r="DX317" s="897"/>
      <c r="DY317" s="897"/>
      <c r="DZ317" s="897"/>
      <c r="EA317" s="900"/>
      <c r="EB317" s="900"/>
      <c r="EC317" s="900"/>
      <c r="ED317" s="900"/>
      <c r="EE317" s="900"/>
      <c r="EF317" s="900"/>
      <c r="EG317" s="900"/>
      <c r="EH317" s="900"/>
      <c r="EI317" s="900"/>
      <c r="EJ317" s="900"/>
      <c r="EK317" s="900"/>
      <c r="EL317" s="900"/>
      <c r="EM317" s="900"/>
      <c r="EN317" s="900"/>
      <c r="EO317" s="900"/>
      <c r="EP317" s="900"/>
      <c r="EQ317" s="900"/>
      <c r="ER317" s="900"/>
      <c r="ES317" s="900"/>
      <c r="ET317" s="900"/>
      <c r="EU317" s="900"/>
      <c r="EV317" s="900"/>
      <c r="EW317" s="900"/>
      <c r="EX317" s="900"/>
      <c r="EY317" s="900"/>
      <c r="EZ317" s="900"/>
      <c r="FA317" s="900"/>
      <c r="FB317" s="900"/>
      <c r="FC317" s="900"/>
      <c r="FD317" s="900"/>
      <c r="FE317" s="900"/>
      <c r="FF317" s="900"/>
      <c r="FG317" s="900"/>
      <c r="FH317" s="900"/>
      <c r="FI317" s="900"/>
      <c r="FJ317" s="900"/>
      <c r="FK317" s="900"/>
      <c r="FL317" s="900"/>
      <c r="FM317" s="900"/>
      <c r="FN317" s="900"/>
      <c r="FO317" s="900"/>
      <c r="FP317" s="900"/>
      <c r="FQ317" s="900"/>
      <c r="FR317" s="900"/>
      <c r="FS317" s="900"/>
      <c r="FT317" s="900"/>
      <c r="FU317" s="900"/>
      <c r="FV317" s="900"/>
      <c r="FW317" s="900"/>
      <c r="FX317" s="900"/>
      <c r="FY317" s="900"/>
      <c r="FZ317" s="900"/>
      <c r="GA317" s="900"/>
      <c r="GB317" s="900"/>
      <c r="GC317" s="900"/>
      <c r="GD317" s="900"/>
    </row>
    <row r="318" s="693" customFormat="1" ht="31" customHeight="1" spans="1:62">
      <c r="A318" s="810">
        <v>45418</v>
      </c>
      <c r="B318" s="791" t="s">
        <v>90</v>
      </c>
      <c r="C318" s="789" t="s">
        <v>91</v>
      </c>
      <c r="D318" s="791">
        <v>4500132516</v>
      </c>
      <c r="E318" s="696" t="s">
        <v>3877</v>
      </c>
      <c r="F318" s="791" t="s">
        <v>3878</v>
      </c>
      <c r="G318" s="791" t="s">
        <v>2032</v>
      </c>
      <c r="H318" s="791" t="s">
        <v>2032</v>
      </c>
      <c r="I318" s="712" t="s">
        <v>2033</v>
      </c>
      <c r="J318" s="881">
        <v>2</v>
      </c>
      <c r="K318" s="711">
        <v>0</v>
      </c>
      <c r="L318" s="711">
        <v>1</v>
      </c>
      <c r="M318" s="698">
        <f t="shared" si="172"/>
        <v>2</v>
      </c>
      <c r="N318" s="829">
        <v>45477</v>
      </c>
      <c r="O318" s="829">
        <v>45474</v>
      </c>
      <c r="P318" s="905" t="s">
        <v>3879</v>
      </c>
      <c r="Q318" s="868"/>
      <c r="R318" s="890"/>
      <c r="S318" s="744" t="s">
        <v>2036</v>
      </c>
      <c r="T318" s="775" t="s">
        <v>58</v>
      </c>
      <c r="U318" s="906">
        <v>45427</v>
      </c>
      <c r="V318" s="907" t="s">
        <v>2037</v>
      </c>
      <c r="W318" s="794" t="s">
        <v>2038</v>
      </c>
      <c r="X318" s="712" t="s">
        <v>101</v>
      </c>
      <c r="Y318" s="751">
        <v>1006.68</v>
      </c>
      <c r="Z318" s="725">
        <f t="shared" ref="Z318:Z322" si="180">Y318*M318</f>
        <v>2013.36</v>
      </c>
      <c r="AA318" s="832"/>
      <c r="AB318" s="775" t="s">
        <v>63</v>
      </c>
      <c r="AC318" s="775" t="s">
        <v>2040</v>
      </c>
      <c r="AD318" s="694"/>
      <c r="AE318" s="832"/>
      <c r="AF318" s="909"/>
      <c r="AG318" s="836"/>
      <c r="AH318" s="786"/>
      <c r="AI318" s="786"/>
      <c r="AJ318" s="786"/>
      <c r="AK318" s="786"/>
      <c r="AL318" s="786"/>
      <c r="AM318" s="786"/>
      <c r="AN318" s="801"/>
      <c r="AO318" s="801"/>
      <c r="AP318" s="801"/>
      <c r="AQ318" s="801"/>
      <c r="AR318" s="801"/>
      <c r="AS318" s="801"/>
      <c r="AT318" s="801"/>
      <c r="AU318" s="801"/>
      <c r="AV318" s="801"/>
      <c r="AW318" s="801"/>
      <c r="AX318" s="801"/>
      <c r="AY318" s="801"/>
      <c r="AZ318" s="801"/>
      <c r="BA318" s="801"/>
      <c r="BB318" s="801"/>
      <c r="BC318" s="786"/>
      <c r="BD318" s="801"/>
      <c r="BE318" s="898"/>
      <c r="BF318" s="898"/>
      <c r="BG318" s="776"/>
      <c r="BH318" s="899"/>
      <c r="BI318" s="712"/>
      <c r="BJ318" s="712"/>
    </row>
    <row r="319" s="693" customFormat="1" ht="31" customHeight="1" spans="1:62">
      <c r="A319" s="810">
        <v>45418</v>
      </c>
      <c r="B319" s="791" t="s">
        <v>90</v>
      </c>
      <c r="C319" s="789" t="s">
        <v>91</v>
      </c>
      <c r="D319" s="791">
        <v>4500132516</v>
      </c>
      <c r="E319" s="696" t="s">
        <v>3877</v>
      </c>
      <c r="F319" s="791" t="s">
        <v>3878</v>
      </c>
      <c r="G319" s="791"/>
      <c r="H319" s="791" t="s">
        <v>2041</v>
      </c>
      <c r="I319" s="712" t="s">
        <v>2042</v>
      </c>
      <c r="J319" s="881">
        <v>640</v>
      </c>
      <c r="K319" s="711">
        <v>0</v>
      </c>
      <c r="L319" s="711">
        <v>320</v>
      </c>
      <c r="M319" s="698">
        <f t="shared" si="172"/>
        <v>2</v>
      </c>
      <c r="N319" s="829">
        <v>45477</v>
      </c>
      <c r="O319" s="829">
        <v>45474</v>
      </c>
      <c r="P319" s="868"/>
      <c r="Q319" s="868"/>
      <c r="R319" s="890"/>
      <c r="S319" s="744"/>
      <c r="T319" s="775" t="s">
        <v>58</v>
      </c>
      <c r="U319" s="775"/>
      <c r="V319" s="789"/>
      <c r="W319" s="795"/>
      <c r="X319" s="712" t="s">
        <v>101</v>
      </c>
      <c r="Y319" s="751">
        <v>0</v>
      </c>
      <c r="Z319" s="745">
        <v>0</v>
      </c>
      <c r="AA319" s="832"/>
      <c r="AB319" s="775" t="s">
        <v>63</v>
      </c>
      <c r="AC319" s="775" t="s">
        <v>2040</v>
      </c>
      <c r="AD319" s="694"/>
      <c r="AE319" s="832"/>
      <c r="AF319" s="836"/>
      <c r="AG319" s="836"/>
      <c r="AH319" s="786"/>
      <c r="AI319" s="786"/>
      <c r="AJ319" s="786">
        <f t="shared" si="179"/>
        <v>640</v>
      </c>
      <c r="AK319" s="786"/>
      <c r="AL319" s="786"/>
      <c r="AM319" s="786"/>
      <c r="AN319" s="801"/>
      <c r="AO319" s="801"/>
      <c r="AP319" s="801"/>
      <c r="AQ319" s="801"/>
      <c r="AR319" s="801">
        <f t="shared" ref="AR319:AR325" si="181">J319</f>
        <v>640</v>
      </c>
      <c r="AS319" s="801"/>
      <c r="AT319" s="801"/>
      <c r="AU319" s="801"/>
      <c r="AV319" s="801"/>
      <c r="AW319" s="801"/>
      <c r="AX319" s="801"/>
      <c r="AY319" s="801"/>
      <c r="AZ319" s="801"/>
      <c r="BA319" s="801"/>
      <c r="BB319" s="801"/>
      <c r="BC319" s="786"/>
      <c r="BD319" s="801"/>
      <c r="BE319" s="898">
        <f t="shared" ref="BE319:BE323" si="182">J319</f>
        <v>640</v>
      </c>
      <c r="BF319" s="898"/>
      <c r="BG319" s="776"/>
      <c r="BH319" s="899"/>
      <c r="BI319" s="712"/>
      <c r="BJ319" s="712"/>
    </row>
    <row r="320" s="693" customFormat="1" ht="31" customHeight="1" spans="1:62">
      <c r="A320" s="810">
        <v>45418</v>
      </c>
      <c r="B320" s="791" t="s">
        <v>90</v>
      </c>
      <c r="C320" s="789" t="s">
        <v>91</v>
      </c>
      <c r="D320" s="791">
        <v>4500132517</v>
      </c>
      <c r="E320" s="696" t="s">
        <v>3880</v>
      </c>
      <c r="F320" s="791" t="s">
        <v>3881</v>
      </c>
      <c r="G320" s="791" t="s">
        <v>2032</v>
      </c>
      <c r="H320" s="791" t="s">
        <v>2032</v>
      </c>
      <c r="I320" s="712" t="s">
        <v>2033</v>
      </c>
      <c r="J320" s="881">
        <v>2</v>
      </c>
      <c r="K320" s="711">
        <v>0</v>
      </c>
      <c r="L320" s="711">
        <v>1</v>
      </c>
      <c r="M320" s="698">
        <f t="shared" si="172"/>
        <v>2</v>
      </c>
      <c r="N320" s="829">
        <v>45482</v>
      </c>
      <c r="O320" s="829">
        <v>45478</v>
      </c>
      <c r="P320" s="905" t="s">
        <v>3882</v>
      </c>
      <c r="Q320" s="868"/>
      <c r="R320" s="890"/>
      <c r="S320" s="744" t="s">
        <v>2036</v>
      </c>
      <c r="T320" s="775" t="s">
        <v>58</v>
      </c>
      <c r="U320" s="906">
        <v>45427</v>
      </c>
      <c r="V320" s="907" t="s">
        <v>2037</v>
      </c>
      <c r="W320" s="794" t="s">
        <v>2038</v>
      </c>
      <c r="X320" s="712" t="s">
        <v>101</v>
      </c>
      <c r="Y320" s="751">
        <v>1006.68</v>
      </c>
      <c r="Z320" s="725">
        <f t="shared" si="180"/>
        <v>2013.36</v>
      </c>
      <c r="AA320" s="832"/>
      <c r="AB320" s="775" t="s">
        <v>63</v>
      </c>
      <c r="AC320" s="775" t="s">
        <v>2040</v>
      </c>
      <c r="AD320" s="694"/>
      <c r="AE320" s="832"/>
      <c r="AF320" s="909"/>
      <c r="AG320" s="836"/>
      <c r="AH320" s="786"/>
      <c r="AI320" s="786"/>
      <c r="AJ320" s="786"/>
      <c r="AK320" s="786"/>
      <c r="AL320" s="786"/>
      <c r="AM320" s="786"/>
      <c r="AN320" s="801"/>
      <c r="AO320" s="801"/>
      <c r="AP320" s="801"/>
      <c r="AQ320" s="801"/>
      <c r="AR320" s="801"/>
      <c r="AS320" s="801"/>
      <c r="AT320" s="801"/>
      <c r="AU320" s="801"/>
      <c r="AV320" s="801"/>
      <c r="AW320" s="801"/>
      <c r="AX320" s="801"/>
      <c r="AY320" s="801"/>
      <c r="AZ320" s="801"/>
      <c r="BA320" s="801"/>
      <c r="BB320" s="801"/>
      <c r="BC320" s="786"/>
      <c r="BD320" s="801"/>
      <c r="BE320" s="898"/>
      <c r="BF320" s="898"/>
      <c r="BG320" s="776"/>
      <c r="BH320" s="899"/>
      <c r="BI320" s="712"/>
      <c r="BJ320" s="712"/>
    </row>
    <row r="321" s="693" customFormat="1" ht="31" customHeight="1" spans="1:62">
      <c r="A321" s="810">
        <v>45418</v>
      </c>
      <c r="B321" s="791" t="s">
        <v>90</v>
      </c>
      <c r="C321" s="789" t="s">
        <v>91</v>
      </c>
      <c r="D321" s="791">
        <v>4500132517</v>
      </c>
      <c r="E321" s="696" t="s">
        <v>3880</v>
      </c>
      <c r="F321" s="791" t="s">
        <v>3881</v>
      </c>
      <c r="G321" s="791"/>
      <c r="H321" s="791" t="s">
        <v>2041</v>
      </c>
      <c r="I321" s="712" t="s">
        <v>2042</v>
      </c>
      <c r="J321" s="881">
        <v>640</v>
      </c>
      <c r="K321" s="711">
        <v>0</v>
      </c>
      <c r="L321" s="711">
        <v>320</v>
      </c>
      <c r="M321" s="698">
        <f t="shared" si="172"/>
        <v>2</v>
      </c>
      <c r="N321" s="829">
        <v>45482</v>
      </c>
      <c r="O321" s="829">
        <v>45478</v>
      </c>
      <c r="P321" s="868"/>
      <c r="Q321" s="868"/>
      <c r="R321" s="890"/>
      <c r="S321" s="744"/>
      <c r="T321" s="775" t="s">
        <v>58</v>
      </c>
      <c r="U321" s="775"/>
      <c r="V321" s="789"/>
      <c r="W321" s="795"/>
      <c r="X321" s="712" t="s">
        <v>101</v>
      </c>
      <c r="Y321" s="751">
        <v>0</v>
      </c>
      <c r="Z321" s="745">
        <v>0</v>
      </c>
      <c r="AA321" s="832"/>
      <c r="AB321" s="775" t="s">
        <v>63</v>
      </c>
      <c r="AC321" s="775" t="s">
        <v>2040</v>
      </c>
      <c r="AD321" s="694"/>
      <c r="AE321" s="832"/>
      <c r="AF321" s="836"/>
      <c r="AG321" s="836"/>
      <c r="AH321" s="786"/>
      <c r="AI321" s="786"/>
      <c r="AJ321" s="786">
        <f>J321</f>
        <v>640</v>
      </c>
      <c r="AK321" s="786"/>
      <c r="AL321" s="786"/>
      <c r="AM321" s="786"/>
      <c r="AN321" s="801"/>
      <c r="AO321" s="801"/>
      <c r="AP321" s="801"/>
      <c r="AQ321" s="801"/>
      <c r="AR321" s="801">
        <f t="shared" si="181"/>
        <v>640</v>
      </c>
      <c r="AS321" s="801"/>
      <c r="AT321" s="801"/>
      <c r="AU321" s="801"/>
      <c r="AV321" s="801"/>
      <c r="AW321" s="801"/>
      <c r="AX321" s="801"/>
      <c r="AY321" s="801"/>
      <c r="AZ321" s="801"/>
      <c r="BA321" s="801"/>
      <c r="BB321" s="801"/>
      <c r="BC321" s="786"/>
      <c r="BD321" s="801"/>
      <c r="BE321" s="898">
        <f t="shared" si="182"/>
        <v>640</v>
      </c>
      <c r="BF321" s="898"/>
      <c r="BG321" s="776"/>
      <c r="BH321" s="899"/>
      <c r="BI321" s="712"/>
      <c r="BJ321" s="712"/>
    </row>
    <row r="322" s="693" customFormat="1" ht="31" customHeight="1" spans="1:62">
      <c r="A322" s="810">
        <v>45418</v>
      </c>
      <c r="B322" s="791" t="s">
        <v>90</v>
      </c>
      <c r="C322" s="789" t="s">
        <v>91</v>
      </c>
      <c r="D322" s="791">
        <v>4500132517</v>
      </c>
      <c r="E322" s="696" t="s">
        <v>3883</v>
      </c>
      <c r="F322" s="791" t="s">
        <v>3884</v>
      </c>
      <c r="G322" s="791" t="s">
        <v>2032</v>
      </c>
      <c r="H322" s="791" t="s">
        <v>2032</v>
      </c>
      <c r="I322" s="712" t="s">
        <v>2033</v>
      </c>
      <c r="J322" s="881">
        <v>2</v>
      </c>
      <c r="K322" s="711">
        <v>0</v>
      </c>
      <c r="L322" s="711">
        <v>1</v>
      </c>
      <c r="M322" s="698">
        <f t="shared" si="172"/>
        <v>2</v>
      </c>
      <c r="N322" s="829">
        <v>45482</v>
      </c>
      <c r="O322" s="829">
        <v>45478</v>
      </c>
      <c r="P322" s="905" t="s">
        <v>3882</v>
      </c>
      <c r="Q322" s="868"/>
      <c r="R322" s="890"/>
      <c r="S322" s="744" t="s">
        <v>2036</v>
      </c>
      <c r="T322" s="775" t="s">
        <v>58</v>
      </c>
      <c r="U322" s="906">
        <v>45427</v>
      </c>
      <c r="V322" s="907" t="s">
        <v>2037</v>
      </c>
      <c r="W322" s="794" t="s">
        <v>2038</v>
      </c>
      <c r="X322" s="712" t="s">
        <v>101</v>
      </c>
      <c r="Y322" s="751">
        <v>1006.68</v>
      </c>
      <c r="Z322" s="725">
        <f t="shared" si="180"/>
        <v>2013.36</v>
      </c>
      <c r="AA322" s="832"/>
      <c r="AB322" s="775" t="s">
        <v>63</v>
      </c>
      <c r="AC322" s="775" t="s">
        <v>2040</v>
      </c>
      <c r="AD322" s="694"/>
      <c r="AE322" s="832"/>
      <c r="AF322" s="909"/>
      <c r="AG322" s="836"/>
      <c r="AH322" s="786"/>
      <c r="AI322" s="786"/>
      <c r="AJ322" s="786"/>
      <c r="AK322" s="786"/>
      <c r="AL322" s="786"/>
      <c r="AM322" s="786"/>
      <c r="AN322" s="801"/>
      <c r="AO322" s="801"/>
      <c r="AP322" s="801"/>
      <c r="AQ322" s="801"/>
      <c r="AR322" s="801"/>
      <c r="AS322" s="801"/>
      <c r="AT322" s="801"/>
      <c r="AU322" s="801"/>
      <c r="AV322" s="801"/>
      <c r="AW322" s="801"/>
      <c r="AX322" s="801"/>
      <c r="AY322" s="801"/>
      <c r="AZ322" s="801"/>
      <c r="BA322" s="801"/>
      <c r="BB322" s="801"/>
      <c r="BC322" s="786"/>
      <c r="BD322" s="801"/>
      <c r="BE322" s="898"/>
      <c r="BF322" s="898"/>
      <c r="BG322" s="776"/>
      <c r="BH322" s="899"/>
      <c r="BI322" s="712"/>
      <c r="BJ322" s="712"/>
    </row>
    <row r="323" s="693" customFormat="1" ht="31" customHeight="1" spans="1:62">
      <c r="A323" s="810">
        <v>45418</v>
      </c>
      <c r="B323" s="791" t="s">
        <v>90</v>
      </c>
      <c r="C323" s="789" t="s">
        <v>91</v>
      </c>
      <c r="D323" s="791">
        <v>4500132517</v>
      </c>
      <c r="E323" s="696" t="s">
        <v>3883</v>
      </c>
      <c r="F323" s="791" t="s">
        <v>3884</v>
      </c>
      <c r="G323" s="791"/>
      <c r="H323" s="791" t="s">
        <v>2041</v>
      </c>
      <c r="I323" s="712" t="s">
        <v>2042</v>
      </c>
      <c r="J323" s="881">
        <v>640</v>
      </c>
      <c r="K323" s="711">
        <v>0</v>
      </c>
      <c r="L323" s="711">
        <v>320</v>
      </c>
      <c r="M323" s="698">
        <f t="shared" si="172"/>
        <v>2</v>
      </c>
      <c r="N323" s="829">
        <v>45482</v>
      </c>
      <c r="O323" s="829">
        <v>45478</v>
      </c>
      <c r="P323" s="868"/>
      <c r="Q323" s="868"/>
      <c r="R323" s="890"/>
      <c r="S323" s="744"/>
      <c r="T323" s="775" t="s">
        <v>58</v>
      </c>
      <c r="U323" s="775"/>
      <c r="V323" s="789"/>
      <c r="W323" s="795"/>
      <c r="X323" s="712" t="s">
        <v>101</v>
      </c>
      <c r="Y323" s="751">
        <v>0</v>
      </c>
      <c r="Z323" s="745">
        <v>0</v>
      </c>
      <c r="AA323" s="832"/>
      <c r="AB323" s="775" t="s">
        <v>63</v>
      </c>
      <c r="AC323" s="775" t="s">
        <v>2040</v>
      </c>
      <c r="AD323" s="694"/>
      <c r="AE323" s="832"/>
      <c r="AF323" s="836"/>
      <c r="AG323" s="836"/>
      <c r="AH323" s="786"/>
      <c r="AI323" s="786"/>
      <c r="AJ323" s="786">
        <f>J323</f>
        <v>640</v>
      </c>
      <c r="AK323" s="786"/>
      <c r="AL323" s="786"/>
      <c r="AM323" s="786"/>
      <c r="AN323" s="801"/>
      <c r="AO323" s="801"/>
      <c r="AP323" s="801"/>
      <c r="AQ323" s="801"/>
      <c r="AR323" s="801">
        <f t="shared" si="181"/>
        <v>640</v>
      </c>
      <c r="AS323" s="801"/>
      <c r="AT323" s="801"/>
      <c r="AU323" s="801"/>
      <c r="AV323" s="801"/>
      <c r="AW323" s="801"/>
      <c r="AX323" s="801"/>
      <c r="AY323" s="801"/>
      <c r="AZ323" s="801"/>
      <c r="BA323" s="801"/>
      <c r="BB323" s="801"/>
      <c r="BC323" s="786"/>
      <c r="BD323" s="801"/>
      <c r="BE323" s="898">
        <f t="shared" si="182"/>
        <v>640</v>
      </c>
      <c r="BF323" s="898"/>
      <c r="BG323" s="776"/>
      <c r="BH323" s="899"/>
      <c r="BI323" s="712"/>
      <c r="BJ323" s="712"/>
    </row>
    <row r="324" s="693" customFormat="1" ht="31" customHeight="1" spans="1:62">
      <c r="A324" s="810">
        <v>45439</v>
      </c>
      <c r="B324" s="791" t="s">
        <v>3885</v>
      </c>
      <c r="C324" s="789" t="s">
        <v>3886</v>
      </c>
      <c r="D324" s="791">
        <v>4500134694</v>
      </c>
      <c r="E324" s="696"/>
      <c r="F324" s="791" t="s">
        <v>3887</v>
      </c>
      <c r="G324" s="791" t="s">
        <v>2118</v>
      </c>
      <c r="H324" s="791" t="s">
        <v>2118</v>
      </c>
      <c r="I324" s="712" t="s">
        <v>2119</v>
      </c>
      <c r="J324" s="881">
        <v>288</v>
      </c>
      <c r="K324" s="711">
        <v>0</v>
      </c>
      <c r="L324" s="711">
        <v>12</v>
      </c>
      <c r="M324" s="698">
        <f t="shared" si="172"/>
        <v>24</v>
      </c>
      <c r="N324" s="829">
        <v>45485</v>
      </c>
      <c r="O324" s="829" t="s">
        <v>3888</v>
      </c>
      <c r="P324" s="868"/>
      <c r="Q324" s="868"/>
      <c r="R324" s="890"/>
      <c r="S324" s="726" t="s">
        <v>1427</v>
      </c>
      <c r="T324" s="726" t="s">
        <v>58</v>
      </c>
      <c r="U324" s="748" t="s">
        <v>1428</v>
      </c>
      <c r="V324" s="712" t="s">
        <v>3889</v>
      </c>
      <c r="W324" s="716" t="s">
        <v>3890</v>
      </c>
      <c r="X324" s="712" t="s">
        <v>827</v>
      </c>
      <c r="Y324" s="819">
        <v>3.0294</v>
      </c>
      <c r="Z324" s="725">
        <f t="shared" ref="Z324:Z346" si="183">Y324*J324</f>
        <v>872.4672</v>
      </c>
      <c r="AA324" s="832"/>
      <c r="AB324" s="775" t="s">
        <v>63</v>
      </c>
      <c r="AC324" s="775" t="s">
        <v>2040</v>
      </c>
      <c r="AD324" s="694"/>
      <c r="AE324" s="832"/>
      <c r="AF324" s="909"/>
      <c r="AG324" s="836"/>
      <c r="AH324" s="776">
        <f t="shared" ref="AH324:AH331" si="184">J324/3</f>
        <v>96</v>
      </c>
      <c r="AI324" s="776">
        <f t="shared" ref="AI324:AI331" si="185">J324/3</f>
        <v>96</v>
      </c>
      <c r="AJ324" s="776">
        <f t="shared" ref="AJ324:AJ331" si="186">J324/3</f>
        <v>96</v>
      </c>
      <c r="AK324" s="786"/>
      <c r="AL324" s="786"/>
      <c r="AM324" s="786"/>
      <c r="AN324" s="801"/>
      <c r="AO324" s="801"/>
      <c r="AP324" s="801"/>
      <c r="AQ324" s="801"/>
      <c r="AR324" s="801">
        <f t="shared" si="181"/>
        <v>288</v>
      </c>
      <c r="AS324" s="801"/>
      <c r="AT324" s="801"/>
      <c r="AU324" s="801"/>
      <c r="AV324" s="801"/>
      <c r="AW324" s="801">
        <f t="shared" ref="AW324:AW331" si="187">J324</f>
        <v>288</v>
      </c>
      <c r="AX324" s="801"/>
      <c r="AY324" s="801"/>
      <c r="AZ324" s="801"/>
      <c r="BA324" s="801"/>
      <c r="BB324" s="801"/>
      <c r="BC324" s="786"/>
      <c r="BD324" s="801"/>
      <c r="BE324" s="898"/>
      <c r="BF324" s="898"/>
      <c r="BG324" s="776"/>
      <c r="BH324" s="899"/>
      <c r="BI324" s="712"/>
      <c r="BJ324" s="712"/>
    </row>
    <row r="325" s="693" customFormat="1" ht="31" customHeight="1" spans="1:59">
      <c r="A325" s="810">
        <v>45527</v>
      </c>
      <c r="B325" s="791" t="s">
        <v>2146</v>
      </c>
      <c r="C325" s="789" t="s">
        <v>91</v>
      </c>
      <c r="D325" s="791">
        <v>4500143801</v>
      </c>
      <c r="E325" s="696"/>
      <c r="F325" s="791" t="s">
        <v>3891</v>
      </c>
      <c r="G325" s="791" t="s">
        <v>2149</v>
      </c>
      <c r="H325" s="791" t="s">
        <v>2149</v>
      </c>
      <c r="I325" s="712" t="s">
        <v>2052</v>
      </c>
      <c r="J325" s="881">
        <v>4998</v>
      </c>
      <c r="K325" s="711">
        <v>0</v>
      </c>
      <c r="L325" s="711">
        <v>6</v>
      </c>
      <c r="M325" s="698">
        <f t="shared" si="172"/>
        <v>833</v>
      </c>
      <c r="N325" s="829">
        <v>45572</v>
      </c>
      <c r="O325" s="829">
        <v>45568</v>
      </c>
      <c r="P325" s="868"/>
      <c r="Q325" s="868"/>
      <c r="R325" s="890"/>
      <c r="S325" s="775" t="s">
        <v>1427</v>
      </c>
      <c r="T325" s="775" t="s">
        <v>2112</v>
      </c>
      <c r="U325" s="775" t="s">
        <v>3566</v>
      </c>
      <c r="V325" s="789" t="s">
        <v>3892</v>
      </c>
      <c r="W325" s="795" t="s">
        <v>3893</v>
      </c>
      <c r="X325" s="712" t="s">
        <v>2152</v>
      </c>
      <c r="Y325" s="819">
        <v>2.7672</v>
      </c>
      <c r="Z325" s="725">
        <f t="shared" si="183"/>
        <v>13830.4656</v>
      </c>
      <c r="AA325" s="832"/>
      <c r="AB325" s="775" t="s">
        <v>63</v>
      </c>
      <c r="AC325" s="775"/>
      <c r="AD325" s="694"/>
      <c r="AE325" s="832"/>
      <c r="AF325" s="836"/>
      <c r="AG325" s="836"/>
      <c r="AH325" s="776">
        <f>J325</f>
        <v>4998</v>
      </c>
      <c r="AI325" s="776"/>
      <c r="AJ325" s="776"/>
      <c r="AK325" s="898"/>
      <c r="AR325" s="801">
        <f t="shared" si="181"/>
        <v>4998</v>
      </c>
      <c r="AS325" s="786"/>
      <c r="AT325" s="899"/>
      <c r="AW325" s="801"/>
      <c r="BA325" s="801"/>
      <c r="BB325" s="801"/>
      <c r="BC325" s="786"/>
      <c r="BD325" s="801"/>
      <c r="BE325" s="898"/>
      <c r="BF325" s="898">
        <f>J325</f>
        <v>4998</v>
      </c>
      <c r="BG325" s="776"/>
    </row>
    <row r="326" s="692" customFormat="1" ht="38" customHeight="1" spans="1:57">
      <c r="A326" s="718">
        <v>45601</v>
      </c>
      <c r="B326" s="711" t="s">
        <v>133</v>
      </c>
      <c r="C326" s="698" t="s">
        <v>91</v>
      </c>
      <c r="D326" s="711" t="s">
        <v>3894</v>
      </c>
      <c r="E326" s="713"/>
      <c r="F326" s="711"/>
      <c r="G326" s="710" t="s">
        <v>54</v>
      </c>
      <c r="H326" s="710" t="s">
        <v>54</v>
      </c>
      <c r="I326" s="712" t="s">
        <v>55</v>
      </c>
      <c r="J326" s="698">
        <v>10200</v>
      </c>
      <c r="K326" s="870">
        <v>0</v>
      </c>
      <c r="L326" s="746">
        <v>12</v>
      </c>
      <c r="M326" s="746">
        <f t="shared" si="172"/>
        <v>850</v>
      </c>
      <c r="N326" s="829">
        <v>45638</v>
      </c>
      <c r="O326" s="836">
        <v>45635</v>
      </c>
      <c r="P326" s="776"/>
      <c r="Q326" s="707"/>
      <c r="R326" s="703"/>
      <c r="S326" s="703" t="s">
        <v>3895</v>
      </c>
      <c r="T326" s="770"/>
      <c r="U326" s="744" t="s">
        <v>3896</v>
      </c>
      <c r="V326" s="828"/>
      <c r="W326" s="716" t="s">
        <v>3897</v>
      </c>
      <c r="X326" s="716" t="s">
        <v>139</v>
      </c>
      <c r="Y326" s="819">
        <v>3.4616</v>
      </c>
      <c r="Z326" s="725">
        <f t="shared" si="183"/>
        <v>35308.32</v>
      </c>
      <c r="AA326" s="778"/>
      <c r="AB326" s="778"/>
      <c r="AC326" s="778">
        <f>AB326-J326</f>
        <v>-10200</v>
      </c>
      <c r="AD326" s="766"/>
      <c r="AE326" s="766"/>
      <c r="AF326" s="975"/>
      <c r="AG326" s="777"/>
      <c r="AH326" s="786"/>
      <c r="AI326" s="776"/>
      <c r="AJ326" s="854"/>
      <c r="AK326" s="776"/>
      <c r="AL326" s="776">
        <f>J326</f>
        <v>10200</v>
      </c>
      <c r="AM326" s="698"/>
      <c r="AN326" s="776"/>
      <c r="AO326" s="776"/>
      <c r="AP326" s="776"/>
      <c r="AQ326" s="776"/>
      <c r="AR326" s="776"/>
      <c r="AS326" s="698"/>
      <c r="AT326" s="776"/>
      <c r="AU326" s="776"/>
      <c r="AV326" s="776"/>
      <c r="AW326" s="776">
        <f t="shared" si="187"/>
        <v>10200</v>
      </c>
      <c r="AX326" s="776"/>
      <c r="AY326" s="776"/>
      <c r="AZ326" s="878"/>
      <c r="BA326" s="776"/>
      <c r="BB326" s="776"/>
      <c r="BC326" s="776"/>
      <c r="BD326" s="692">
        <f>SUM(AH326:AJ326)</f>
        <v>0</v>
      </c>
      <c r="BE326" s="692">
        <f>BD326-J326</f>
        <v>-10200</v>
      </c>
    </row>
    <row r="327" s="693" customFormat="1" ht="31" customHeight="1" spans="1:59">
      <c r="A327" s="810">
        <v>45618</v>
      </c>
      <c r="B327" s="791" t="s">
        <v>2297</v>
      </c>
      <c r="C327" s="789" t="s">
        <v>876</v>
      </c>
      <c r="D327" s="791">
        <v>4500151624</v>
      </c>
      <c r="E327" s="696">
        <v>20352937</v>
      </c>
      <c r="F327" s="791" t="s">
        <v>3898</v>
      </c>
      <c r="G327" s="791" t="s">
        <v>2118</v>
      </c>
      <c r="H327" s="791" t="s">
        <v>2118</v>
      </c>
      <c r="I327" s="712" t="s">
        <v>2119</v>
      </c>
      <c r="J327" s="881">
        <v>1440</v>
      </c>
      <c r="K327" s="711">
        <v>0</v>
      </c>
      <c r="L327" s="711">
        <v>12</v>
      </c>
      <c r="M327" s="698">
        <f t="shared" si="172"/>
        <v>120</v>
      </c>
      <c r="N327" s="829">
        <v>45656</v>
      </c>
      <c r="O327" s="829">
        <v>45652</v>
      </c>
      <c r="P327" s="868" t="s">
        <v>3899</v>
      </c>
      <c r="Q327" s="868"/>
      <c r="R327" s="890"/>
      <c r="S327" s="775">
        <v>45623</v>
      </c>
      <c r="T327" s="775" t="s">
        <v>2112</v>
      </c>
      <c r="U327" s="775" t="s">
        <v>3900</v>
      </c>
      <c r="V327" s="789" t="s">
        <v>3901</v>
      </c>
      <c r="W327" s="795" t="s">
        <v>3902</v>
      </c>
      <c r="X327" s="789" t="s">
        <v>2302</v>
      </c>
      <c r="Y327" s="819">
        <v>3.0171</v>
      </c>
      <c r="Z327" s="725">
        <f t="shared" si="183"/>
        <v>4344.624</v>
      </c>
      <c r="AA327" s="832"/>
      <c r="AB327" s="775"/>
      <c r="AC327" s="775"/>
      <c r="AD327" s="694"/>
      <c r="AE327" s="832"/>
      <c r="AF327" s="836"/>
      <c r="AG327" s="836"/>
      <c r="AH327" s="776">
        <f t="shared" si="184"/>
        <v>480</v>
      </c>
      <c r="AI327" s="776">
        <f t="shared" si="185"/>
        <v>480</v>
      </c>
      <c r="AJ327" s="776">
        <f t="shared" si="186"/>
        <v>480</v>
      </c>
      <c r="AK327" s="898"/>
      <c r="AR327" s="801">
        <f t="shared" ref="AR327:AR336" si="188">J327</f>
        <v>1440</v>
      </c>
      <c r="AS327" s="801"/>
      <c r="AT327" s="1011"/>
      <c r="AU327" s="1012"/>
      <c r="AV327" s="1012"/>
      <c r="AW327" s="801">
        <f t="shared" si="187"/>
        <v>1440</v>
      </c>
      <c r="BA327" s="801"/>
      <c r="BB327" s="801"/>
      <c r="BC327" s="786"/>
      <c r="BD327" s="801"/>
      <c r="BE327" s="898"/>
      <c r="BF327" s="898"/>
      <c r="BG327" s="776"/>
    </row>
    <row r="328" s="693" customFormat="1" ht="31" customHeight="1" spans="1:59">
      <c r="A328" s="810">
        <v>45618</v>
      </c>
      <c r="B328" s="791" t="s">
        <v>2304</v>
      </c>
      <c r="C328" s="789" t="s">
        <v>258</v>
      </c>
      <c r="D328" s="791">
        <v>4500151625</v>
      </c>
      <c r="E328" s="696" t="s">
        <v>3903</v>
      </c>
      <c r="F328" s="791" t="s">
        <v>3904</v>
      </c>
      <c r="G328" s="791" t="s">
        <v>2118</v>
      </c>
      <c r="H328" s="791" t="s">
        <v>2118</v>
      </c>
      <c r="I328" s="712" t="s">
        <v>2119</v>
      </c>
      <c r="J328" s="881">
        <v>96</v>
      </c>
      <c r="K328" s="711">
        <v>0</v>
      </c>
      <c r="L328" s="711">
        <v>12</v>
      </c>
      <c r="M328" s="698">
        <f t="shared" si="172"/>
        <v>8</v>
      </c>
      <c r="N328" s="829">
        <v>45656</v>
      </c>
      <c r="O328" s="829">
        <v>45652</v>
      </c>
      <c r="P328" s="868" t="s">
        <v>3899</v>
      </c>
      <c r="Q328" s="868"/>
      <c r="R328" s="890"/>
      <c r="S328" s="775">
        <v>45623</v>
      </c>
      <c r="T328" s="775" t="s">
        <v>2112</v>
      </c>
      <c r="U328" s="775" t="s">
        <v>3900</v>
      </c>
      <c r="V328" s="789" t="s">
        <v>3901</v>
      </c>
      <c r="W328" s="795" t="s">
        <v>3905</v>
      </c>
      <c r="X328" s="789" t="s">
        <v>2302</v>
      </c>
      <c r="Y328" s="819">
        <v>3.141</v>
      </c>
      <c r="Z328" s="725">
        <f t="shared" si="183"/>
        <v>301.536</v>
      </c>
      <c r="AA328" s="832"/>
      <c r="AB328" s="775"/>
      <c r="AC328" s="775"/>
      <c r="AD328" s="694"/>
      <c r="AE328" s="832"/>
      <c r="AF328" s="836"/>
      <c r="AG328" s="836"/>
      <c r="AH328" s="776">
        <f t="shared" si="184"/>
        <v>32</v>
      </c>
      <c r="AI328" s="776">
        <f t="shared" si="185"/>
        <v>32</v>
      </c>
      <c r="AJ328" s="776">
        <f t="shared" si="186"/>
        <v>32</v>
      </c>
      <c r="AK328" s="898"/>
      <c r="AR328" s="801">
        <f t="shared" si="188"/>
        <v>96</v>
      </c>
      <c r="AS328" s="801"/>
      <c r="AT328" s="1011"/>
      <c r="AU328" s="1012"/>
      <c r="AV328" s="1012"/>
      <c r="AW328" s="801">
        <f t="shared" si="187"/>
        <v>96</v>
      </c>
      <c r="BA328" s="801"/>
      <c r="BB328" s="801"/>
      <c r="BC328" s="786"/>
      <c r="BD328" s="801"/>
      <c r="BE328" s="898"/>
      <c r="BF328" s="898"/>
      <c r="BG328" s="776"/>
    </row>
    <row r="329" s="693" customFormat="1" ht="31" customHeight="1" spans="1:62">
      <c r="A329" s="810">
        <v>45600</v>
      </c>
      <c r="B329" s="791" t="s">
        <v>3906</v>
      </c>
      <c r="C329" s="789" t="s">
        <v>91</v>
      </c>
      <c r="D329" s="791" t="s">
        <v>3907</v>
      </c>
      <c r="E329" s="791"/>
      <c r="F329" s="791"/>
      <c r="G329" s="791" t="s">
        <v>2079</v>
      </c>
      <c r="H329" s="711" t="s">
        <v>2079</v>
      </c>
      <c r="I329" s="712" t="s">
        <v>2080</v>
      </c>
      <c r="J329" s="881">
        <v>3618</v>
      </c>
      <c r="K329" s="711">
        <v>0</v>
      </c>
      <c r="L329" s="711">
        <v>6</v>
      </c>
      <c r="M329" s="698">
        <f t="shared" si="172"/>
        <v>603</v>
      </c>
      <c r="N329" s="829">
        <v>45632</v>
      </c>
      <c r="O329" s="829">
        <v>45628</v>
      </c>
      <c r="P329" s="868" t="s">
        <v>3908</v>
      </c>
      <c r="Q329" s="769" t="s">
        <v>1480</v>
      </c>
      <c r="R329" s="848"/>
      <c r="S329" s="744">
        <v>45603</v>
      </c>
      <c r="T329" s="744" t="s">
        <v>58</v>
      </c>
      <c r="U329" s="744">
        <v>45603</v>
      </c>
      <c r="V329" s="712" t="s">
        <v>2130</v>
      </c>
      <c r="W329" s="716" t="s">
        <v>3909</v>
      </c>
      <c r="X329" s="789" t="s">
        <v>737</v>
      </c>
      <c r="Y329" s="819">
        <v>2.9521</v>
      </c>
      <c r="Z329" s="725">
        <f t="shared" si="183"/>
        <v>10680.6978</v>
      </c>
      <c r="AA329" s="832"/>
      <c r="AB329" s="775" t="s">
        <v>63</v>
      </c>
      <c r="AC329" s="775" t="s">
        <v>2040</v>
      </c>
      <c r="AD329" s="694">
        <v>3618</v>
      </c>
      <c r="AE329" s="832">
        <f>AD329-J329</f>
        <v>0</v>
      </c>
      <c r="AF329" s="727" t="s">
        <v>327</v>
      </c>
      <c r="AG329" s="694"/>
      <c r="AH329" s="776">
        <f t="shared" si="184"/>
        <v>1206</v>
      </c>
      <c r="AI329" s="776">
        <f t="shared" si="185"/>
        <v>1206</v>
      </c>
      <c r="AJ329" s="776">
        <f t="shared" si="186"/>
        <v>1206</v>
      </c>
      <c r="AK329" s="786"/>
      <c r="AL329" s="786"/>
      <c r="AM329" s="786"/>
      <c r="AN329" s="801"/>
      <c r="AO329" s="801"/>
      <c r="AP329" s="801"/>
      <c r="AQ329" s="801"/>
      <c r="AR329" s="801">
        <f t="shared" si="188"/>
        <v>3618</v>
      </c>
      <c r="AS329" s="801"/>
      <c r="AT329" s="801"/>
      <c r="AU329" s="801"/>
      <c r="AV329" s="801"/>
      <c r="AW329" s="801">
        <f t="shared" si="187"/>
        <v>3618</v>
      </c>
      <c r="AX329" s="801"/>
      <c r="AY329" s="801"/>
      <c r="AZ329" s="801"/>
      <c r="BA329" s="801"/>
      <c r="BB329" s="801"/>
      <c r="BC329" s="786"/>
      <c r="BD329" s="801"/>
      <c r="BE329" s="898"/>
      <c r="BF329" s="898"/>
      <c r="BG329" s="776"/>
      <c r="BH329" s="727"/>
      <c r="BI329" s="712"/>
      <c r="BJ329" s="712"/>
    </row>
    <row r="330" s="693" customFormat="1" ht="31" customHeight="1" spans="1:62">
      <c r="A330" s="810">
        <v>45600</v>
      </c>
      <c r="B330" s="791" t="s">
        <v>3906</v>
      </c>
      <c r="C330" s="789" t="s">
        <v>91</v>
      </c>
      <c r="D330" s="791" t="s">
        <v>3907</v>
      </c>
      <c r="E330" s="746"/>
      <c r="F330" s="791"/>
      <c r="G330" s="791" t="s">
        <v>2079</v>
      </c>
      <c r="H330" s="791" t="s">
        <v>2079</v>
      </c>
      <c r="I330" s="712" t="s">
        <v>2080</v>
      </c>
      <c r="J330" s="881">
        <v>10836</v>
      </c>
      <c r="K330" s="711">
        <v>0</v>
      </c>
      <c r="L330" s="711">
        <v>6</v>
      </c>
      <c r="M330" s="698">
        <f t="shared" si="172"/>
        <v>1806</v>
      </c>
      <c r="N330" s="829">
        <v>45649</v>
      </c>
      <c r="O330" s="777">
        <v>45645</v>
      </c>
      <c r="P330" s="748"/>
      <c r="Q330" s="769"/>
      <c r="R330" s="848"/>
      <c r="S330" s="744">
        <v>45603</v>
      </c>
      <c r="T330" s="744" t="s">
        <v>58</v>
      </c>
      <c r="U330" s="744">
        <v>45603</v>
      </c>
      <c r="V330" s="712" t="s">
        <v>2130</v>
      </c>
      <c r="W330" s="716" t="s">
        <v>3910</v>
      </c>
      <c r="X330" s="789" t="s">
        <v>737</v>
      </c>
      <c r="Y330" s="819">
        <v>2.8705</v>
      </c>
      <c r="Z330" s="725">
        <f t="shared" si="183"/>
        <v>31104.738</v>
      </c>
      <c r="AA330" s="832"/>
      <c r="AB330" s="775" t="s">
        <v>63</v>
      </c>
      <c r="AC330" s="775" t="s">
        <v>2040</v>
      </c>
      <c r="AD330" s="695">
        <v>10836</v>
      </c>
      <c r="AE330" s="778">
        <f>AD330-J330</f>
        <v>0</v>
      </c>
      <c r="AF330" s="727" t="s">
        <v>327</v>
      </c>
      <c r="AG330" s="696"/>
      <c r="AH330" s="776">
        <f t="shared" si="184"/>
        <v>3612</v>
      </c>
      <c r="AI330" s="776">
        <f t="shared" si="185"/>
        <v>3612</v>
      </c>
      <c r="AJ330" s="776">
        <f t="shared" si="186"/>
        <v>3612</v>
      </c>
      <c r="AK330" s="786"/>
      <c r="AL330" s="786"/>
      <c r="AM330" s="786"/>
      <c r="AN330" s="801"/>
      <c r="AO330" s="801"/>
      <c r="AP330" s="801"/>
      <c r="AQ330" s="801"/>
      <c r="AR330" s="801">
        <f t="shared" si="188"/>
        <v>10836</v>
      </c>
      <c r="AS330" s="801"/>
      <c r="AT330" s="801"/>
      <c r="AU330" s="801"/>
      <c r="AV330" s="801"/>
      <c r="AW330" s="801">
        <f t="shared" si="187"/>
        <v>10836</v>
      </c>
      <c r="AX330" s="801"/>
      <c r="AY330" s="801"/>
      <c r="AZ330" s="801"/>
      <c r="BA330" s="801"/>
      <c r="BB330" s="801"/>
      <c r="BC330" s="786"/>
      <c r="BD330" s="801"/>
      <c r="BE330" s="898"/>
      <c r="BF330" s="898"/>
      <c r="BG330" s="776"/>
      <c r="BH330" s="727"/>
      <c r="BI330" s="712"/>
      <c r="BJ330" s="712"/>
    </row>
    <row r="331" s="693" customFormat="1" ht="31" customHeight="1" spans="1:59">
      <c r="A331" s="810">
        <v>45600</v>
      </c>
      <c r="B331" s="791" t="s">
        <v>3906</v>
      </c>
      <c r="C331" s="789" t="s">
        <v>91</v>
      </c>
      <c r="D331" s="791" t="s">
        <v>3907</v>
      </c>
      <c r="E331" s="696"/>
      <c r="F331" s="791"/>
      <c r="G331" s="791" t="s">
        <v>2079</v>
      </c>
      <c r="H331" s="791" t="s">
        <v>2079</v>
      </c>
      <c r="I331" s="712" t="s">
        <v>2080</v>
      </c>
      <c r="J331" s="881">
        <v>3618</v>
      </c>
      <c r="K331" s="711">
        <v>0</v>
      </c>
      <c r="L331" s="711">
        <v>6</v>
      </c>
      <c r="M331" s="698">
        <f t="shared" si="172"/>
        <v>603</v>
      </c>
      <c r="N331" s="829">
        <v>45660</v>
      </c>
      <c r="O331" s="829">
        <v>45656</v>
      </c>
      <c r="P331" s="868"/>
      <c r="Q331" s="868"/>
      <c r="R331" s="890"/>
      <c r="S331" s="744">
        <v>45603</v>
      </c>
      <c r="T331" s="744" t="s">
        <v>58</v>
      </c>
      <c r="U331" s="744">
        <v>45603</v>
      </c>
      <c r="V331" s="712" t="s">
        <v>2130</v>
      </c>
      <c r="W331" s="716" t="s">
        <v>3911</v>
      </c>
      <c r="X331" s="789" t="s">
        <v>737</v>
      </c>
      <c r="Y331" s="819">
        <v>2.8705</v>
      </c>
      <c r="Z331" s="725">
        <f t="shared" si="183"/>
        <v>10385.469</v>
      </c>
      <c r="AA331" s="832"/>
      <c r="AB331" s="775" t="s">
        <v>63</v>
      </c>
      <c r="AC331" s="775" t="s">
        <v>2040</v>
      </c>
      <c r="AD331" s="694">
        <v>3618</v>
      </c>
      <c r="AE331" s="778">
        <f>AD331-J331</f>
        <v>0</v>
      </c>
      <c r="AF331" s="727" t="s">
        <v>327</v>
      </c>
      <c r="AG331" s="836"/>
      <c r="AH331" s="776">
        <f t="shared" si="184"/>
        <v>1206</v>
      </c>
      <c r="AI331" s="776">
        <f t="shared" si="185"/>
        <v>1206</v>
      </c>
      <c r="AJ331" s="776">
        <f t="shared" si="186"/>
        <v>1206</v>
      </c>
      <c r="AK331" s="898"/>
      <c r="AR331" s="801">
        <f t="shared" si="188"/>
        <v>3618</v>
      </c>
      <c r="AS331" s="801"/>
      <c r="AT331" s="801"/>
      <c r="AU331" s="801"/>
      <c r="AV331" s="801"/>
      <c r="AW331" s="801">
        <f t="shared" si="187"/>
        <v>3618</v>
      </c>
      <c r="BA331" s="801"/>
      <c r="BB331" s="801"/>
      <c r="BC331" s="786"/>
      <c r="BD331" s="801"/>
      <c r="BE331" s="898"/>
      <c r="BF331" s="898"/>
      <c r="BG331" s="776"/>
    </row>
    <row r="332" s="693" customFormat="1" ht="31" customHeight="1" spans="1:59">
      <c r="A332" s="810">
        <v>45596</v>
      </c>
      <c r="B332" s="791" t="s">
        <v>177</v>
      </c>
      <c r="C332" s="789" t="s">
        <v>178</v>
      </c>
      <c r="D332" s="791">
        <v>4500149776</v>
      </c>
      <c r="E332" s="696">
        <v>4400444867</v>
      </c>
      <c r="F332" s="791" t="s">
        <v>3912</v>
      </c>
      <c r="G332" s="791" t="s">
        <v>2316</v>
      </c>
      <c r="H332" s="791" t="s">
        <v>2317</v>
      </c>
      <c r="I332" s="712" t="s">
        <v>2063</v>
      </c>
      <c r="J332" s="791">
        <v>504</v>
      </c>
      <c r="K332" s="711">
        <v>0</v>
      </c>
      <c r="L332" s="711">
        <v>12</v>
      </c>
      <c r="M332" s="698">
        <f t="shared" si="172"/>
        <v>42</v>
      </c>
      <c r="N332" s="829" t="s">
        <v>3913</v>
      </c>
      <c r="O332" s="829" t="s">
        <v>3914</v>
      </c>
      <c r="P332" s="868"/>
      <c r="Q332" s="868"/>
      <c r="R332" s="890"/>
      <c r="S332" s="775">
        <v>45638</v>
      </c>
      <c r="T332" s="775" t="s">
        <v>58</v>
      </c>
      <c r="U332" s="775" t="s">
        <v>2382</v>
      </c>
      <c r="V332" s="789" t="s">
        <v>3915</v>
      </c>
      <c r="W332" s="795" t="s">
        <v>3916</v>
      </c>
      <c r="X332" s="795" t="s">
        <v>131</v>
      </c>
      <c r="Y332" s="819">
        <v>3.025</v>
      </c>
      <c r="Z332" s="725">
        <f t="shared" si="183"/>
        <v>1524.6</v>
      </c>
      <c r="AA332" s="832"/>
      <c r="AB332" s="775" t="s">
        <v>63</v>
      </c>
      <c r="AC332" s="775"/>
      <c r="AD332" s="694"/>
      <c r="AE332" s="832"/>
      <c r="AF332" s="836" t="s">
        <v>327</v>
      </c>
      <c r="AG332" s="836"/>
      <c r="AH332" s="776"/>
      <c r="AI332" s="776">
        <f>J332</f>
        <v>504</v>
      </c>
      <c r="AJ332" s="776"/>
      <c r="AK332" s="898"/>
      <c r="AR332" s="801">
        <f t="shared" si="188"/>
        <v>504</v>
      </c>
      <c r="AS332" s="786"/>
      <c r="AT332" s="899"/>
      <c r="AW332" s="801"/>
      <c r="BA332" s="801">
        <f t="shared" ref="BA332:BA336" si="189">J332</f>
        <v>504</v>
      </c>
      <c r="BB332" s="801"/>
      <c r="BC332" s="786"/>
      <c r="BD332" s="801"/>
      <c r="BE332" s="898"/>
      <c r="BF332" s="898"/>
      <c r="BG332" s="776"/>
    </row>
    <row r="333" s="693" customFormat="1" ht="31" customHeight="1" spans="1:59">
      <c r="A333" s="810">
        <v>45596</v>
      </c>
      <c r="B333" s="791" t="s">
        <v>177</v>
      </c>
      <c r="C333" s="789" t="s">
        <v>178</v>
      </c>
      <c r="D333" s="791">
        <v>4500149776</v>
      </c>
      <c r="E333" s="696">
        <v>4400444867</v>
      </c>
      <c r="F333" s="791" t="s">
        <v>3917</v>
      </c>
      <c r="G333" s="791" t="s">
        <v>2444</v>
      </c>
      <c r="H333" s="791" t="s">
        <v>2445</v>
      </c>
      <c r="I333" s="712" t="s">
        <v>2052</v>
      </c>
      <c r="J333" s="791">
        <v>504</v>
      </c>
      <c r="K333" s="711">
        <v>0</v>
      </c>
      <c r="L333" s="711">
        <v>12</v>
      </c>
      <c r="M333" s="698">
        <f t="shared" si="172"/>
        <v>42</v>
      </c>
      <c r="N333" s="829" t="s">
        <v>3913</v>
      </c>
      <c r="O333" s="829" t="s">
        <v>3914</v>
      </c>
      <c r="P333" s="868"/>
      <c r="Q333" s="868"/>
      <c r="R333" s="890"/>
      <c r="S333" s="775">
        <v>45638</v>
      </c>
      <c r="T333" s="775" t="s">
        <v>58</v>
      </c>
      <c r="U333" s="775" t="s">
        <v>2382</v>
      </c>
      <c r="V333" s="789" t="s">
        <v>3915</v>
      </c>
      <c r="W333" s="795" t="s">
        <v>3918</v>
      </c>
      <c r="X333" s="795" t="s">
        <v>131</v>
      </c>
      <c r="Y333" s="819">
        <v>3.025</v>
      </c>
      <c r="Z333" s="725">
        <f t="shared" si="183"/>
        <v>1524.6</v>
      </c>
      <c r="AA333" s="832"/>
      <c r="AB333" s="775" t="s">
        <v>63</v>
      </c>
      <c r="AC333" s="775"/>
      <c r="AD333" s="694"/>
      <c r="AE333" s="832"/>
      <c r="AF333" s="836" t="s">
        <v>327</v>
      </c>
      <c r="AG333" s="836"/>
      <c r="AH333" s="776">
        <f t="shared" ref="AH333:AH339" si="190">J333</f>
        <v>504</v>
      </c>
      <c r="AI333" s="776"/>
      <c r="AJ333" s="776"/>
      <c r="AK333" s="898"/>
      <c r="AR333" s="801">
        <f t="shared" si="188"/>
        <v>504</v>
      </c>
      <c r="AS333" s="786"/>
      <c r="AT333" s="899"/>
      <c r="AW333" s="801"/>
      <c r="BA333" s="801">
        <f t="shared" si="189"/>
        <v>504</v>
      </c>
      <c r="BB333" s="801"/>
      <c r="BC333" s="786"/>
      <c r="BD333" s="801"/>
      <c r="BE333" s="898"/>
      <c r="BF333" s="898"/>
      <c r="BG333" s="776"/>
    </row>
    <row r="334" s="693" customFormat="1" ht="31" customHeight="1" spans="1:59">
      <c r="A334" s="810">
        <v>45596</v>
      </c>
      <c r="B334" s="791" t="s">
        <v>122</v>
      </c>
      <c r="C334" s="789" t="s">
        <v>123</v>
      </c>
      <c r="D334" s="791">
        <v>4500149777</v>
      </c>
      <c r="E334" s="696">
        <v>4400444868</v>
      </c>
      <c r="F334" s="791" t="s">
        <v>3919</v>
      </c>
      <c r="G334" s="791" t="s">
        <v>2316</v>
      </c>
      <c r="H334" s="791" t="s">
        <v>2317</v>
      </c>
      <c r="I334" s="712" t="s">
        <v>2063</v>
      </c>
      <c r="J334" s="791">
        <v>1500</v>
      </c>
      <c r="K334" s="711">
        <v>0</v>
      </c>
      <c r="L334" s="711">
        <v>12</v>
      </c>
      <c r="M334" s="698">
        <f t="shared" si="172"/>
        <v>125</v>
      </c>
      <c r="N334" s="829" t="s">
        <v>3920</v>
      </c>
      <c r="O334" s="829" t="s">
        <v>3921</v>
      </c>
      <c r="P334" s="868"/>
      <c r="Q334" s="868"/>
      <c r="R334" s="890"/>
      <c r="S334" s="775">
        <v>45638</v>
      </c>
      <c r="T334" s="775" t="s">
        <v>58</v>
      </c>
      <c r="U334" s="775" t="s">
        <v>3922</v>
      </c>
      <c r="V334" s="789" t="s">
        <v>3915</v>
      </c>
      <c r="W334" s="795" t="s">
        <v>3916</v>
      </c>
      <c r="X334" s="795" t="s">
        <v>131</v>
      </c>
      <c r="Y334" s="819">
        <v>2.9011</v>
      </c>
      <c r="Z334" s="725">
        <f t="shared" si="183"/>
        <v>4351.65</v>
      </c>
      <c r="AA334" s="832"/>
      <c r="AB334" s="775" t="s">
        <v>63</v>
      </c>
      <c r="AC334" s="775"/>
      <c r="AD334" s="694"/>
      <c r="AE334" s="832"/>
      <c r="AF334" s="836" t="s">
        <v>327</v>
      </c>
      <c r="AG334" s="836"/>
      <c r="AH334" s="776"/>
      <c r="AI334" s="776">
        <f t="shared" ref="AI334:AI339" si="191">J334</f>
        <v>1500</v>
      </c>
      <c r="AJ334" s="776"/>
      <c r="AK334" s="898"/>
      <c r="AR334" s="801">
        <f t="shared" si="188"/>
        <v>1500</v>
      </c>
      <c r="AS334" s="786"/>
      <c r="AT334" s="899"/>
      <c r="AW334" s="801"/>
      <c r="BA334" s="801">
        <f t="shared" si="189"/>
        <v>1500</v>
      </c>
      <c r="BB334" s="801"/>
      <c r="BC334" s="786"/>
      <c r="BD334" s="801"/>
      <c r="BE334" s="898"/>
      <c r="BF334" s="898"/>
      <c r="BG334" s="776"/>
    </row>
    <row r="335" s="693" customFormat="1" ht="31" customHeight="1" spans="1:59">
      <c r="A335" s="810">
        <v>45596</v>
      </c>
      <c r="B335" s="791" t="s">
        <v>122</v>
      </c>
      <c r="C335" s="789" t="s">
        <v>123</v>
      </c>
      <c r="D335" s="791">
        <v>4500149777</v>
      </c>
      <c r="E335" s="696">
        <v>4400444868</v>
      </c>
      <c r="F335" s="791" t="s">
        <v>3923</v>
      </c>
      <c r="G335" s="791" t="s">
        <v>2309</v>
      </c>
      <c r="H335" s="791" t="s">
        <v>2310</v>
      </c>
      <c r="I335" s="712" t="s">
        <v>2042</v>
      </c>
      <c r="J335" s="791">
        <v>1500</v>
      </c>
      <c r="K335" s="711">
        <v>0</v>
      </c>
      <c r="L335" s="711">
        <v>12</v>
      </c>
      <c r="M335" s="698">
        <f t="shared" si="172"/>
        <v>125</v>
      </c>
      <c r="N335" s="829" t="s">
        <v>3920</v>
      </c>
      <c r="O335" s="829" t="s">
        <v>3921</v>
      </c>
      <c r="P335" s="868"/>
      <c r="Q335" s="868"/>
      <c r="R335" s="890"/>
      <c r="S335" s="775">
        <v>45638</v>
      </c>
      <c r="T335" s="775" t="s">
        <v>58</v>
      </c>
      <c r="U335" s="775" t="s">
        <v>3922</v>
      </c>
      <c r="V335" s="789" t="s">
        <v>3915</v>
      </c>
      <c r="W335" s="795" t="s">
        <v>3924</v>
      </c>
      <c r="X335" s="795" t="s">
        <v>131</v>
      </c>
      <c r="Y335" s="819">
        <v>2.9011</v>
      </c>
      <c r="Z335" s="725">
        <f t="shared" si="183"/>
        <v>4351.65</v>
      </c>
      <c r="AA335" s="832"/>
      <c r="AB335" s="775" t="s">
        <v>63</v>
      </c>
      <c r="AC335" s="775"/>
      <c r="AD335" s="694"/>
      <c r="AE335" s="832"/>
      <c r="AF335" s="836" t="s">
        <v>327</v>
      </c>
      <c r="AG335" s="836"/>
      <c r="AH335" s="776"/>
      <c r="AI335" s="776"/>
      <c r="AJ335" s="776">
        <f>J335</f>
        <v>1500</v>
      </c>
      <c r="AK335" s="898"/>
      <c r="AR335" s="801">
        <f t="shared" si="188"/>
        <v>1500</v>
      </c>
      <c r="AS335" s="786"/>
      <c r="AT335" s="899"/>
      <c r="AW335" s="801"/>
      <c r="BA335" s="801">
        <f t="shared" si="189"/>
        <v>1500</v>
      </c>
      <c r="BB335" s="801"/>
      <c r="BC335" s="786"/>
      <c r="BD335" s="801"/>
      <c r="BE335" s="898"/>
      <c r="BF335" s="898"/>
      <c r="BG335" s="776"/>
    </row>
    <row r="336" s="693" customFormat="1" ht="31" customHeight="1" spans="1:59">
      <c r="A336" s="810">
        <v>45596</v>
      </c>
      <c r="B336" s="791" t="s">
        <v>122</v>
      </c>
      <c r="C336" s="789" t="s">
        <v>123</v>
      </c>
      <c r="D336" s="791">
        <v>4500149777</v>
      </c>
      <c r="E336" s="696">
        <v>4400444868</v>
      </c>
      <c r="F336" s="791" t="s">
        <v>3925</v>
      </c>
      <c r="G336" s="791" t="s">
        <v>2444</v>
      </c>
      <c r="H336" s="791" t="s">
        <v>2445</v>
      </c>
      <c r="I336" s="712" t="s">
        <v>2052</v>
      </c>
      <c r="J336" s="791">
        <v>1608</v>
      </c>
      <c r="K336" s="711">
        <v>0</v>
      </c>
      <c r="L336" s="711">
        <v>12</v>
      </c>
      <c r="M336" s="698">
        <f t="shared" si="172"/>
        <v>134</v>
      </c>
      <c r="N336" s="829" t="s">
        <v>3920</v>
      </c>
      <c r="O336" s="829" t="s">
        <v>3921</v>
      </c>
      <c r="P336" s="868"/>
      <c r="Q336" s="868"/>
      <c r="R336" s="890"/>
      <c r="S336" s="775">
        <v>45638</v>
      </c>
      <c r="T336" s="775" t="s">
        <v>58</v>
      </c>
      <c r="U336" s="775" t="s">
        <v>3922</v>
      </c>
      <c r="V336" s="789" t="s">
        <v>3915</v>
      </c>
      <c r="W336" s="795" t="s">
        <v>3926</v>
      </c>
      <c r="X336" s="795" t="s">
        <v>131</v>
      </c>
      <c r="Y336" s="819">
        <v>2.9011</v>
      </c>
      <c r="Z336" s="745">
        <f t="shared" si="183"/>
        <v>4664.9688</v>
      </c>
      <c r="AA336" s="832"/>
      <c r="AB336" s="775" t="s">
        <v>63</v>
      </c>
      <c r="AC336" s="775"/>
      <c r="AD336" s="694"/>
      <c r="AE336" s="832"/>
      <c r="AF336" s="836" t="s">
        <v>327</v>
      </c>
      <c r="AG336" s="836"/>
      <c r="AH336" s="776">
        <f t="shared" si="190"/>
        <v>1608</v>
      </c>
      <c r="AI336" s="776"/>
      <c r="AJ336" s="776"/>
      <c r="AK336" s="898"/>
      <c r="AR336" s="801">
        <f t="shared" si="188"/>
        <v>1608</v>
      </c>
      <c r="AS336" s="786"/>
      <c r="AT336" s="899"/>
      <c r="AW336" s="801"/>
      <c r="BA336" s="801">
        <f t="shared" si="189"/>
        <v>1608</v>
      </c>
      <c r="BB336" s="801"/>
      <c r="BC336" s="786"/>
      <c r="BD336" s="801"/>
      <c r="BE336" s="898"/>
      <c r="BF336" s="898"/>
      <c r="BG336" s="776"/>
    </row>
    <row r="337" s="693" customFormat="1" ht="31" customHeight="1" spans="1:59">
      <c r="A337" s="810">
        <v>45632</v>
      </c>
      <c r="B337" s="791" t="s">
        <v>133</v>
      </c>
      <c r="C337" s="789" t="s">
        <v>91</v>
      </c>
      <c r="D337" s="791" t="s">
        <v>3927</v>
      </c>
      <c r="E337" s="696"/>
      <c r="F337" s="791"/>
      <c r="G337" s="791" t="s">
        <v>54</v>
      </c>
      <c r="H337" s="791" t="s">
        <v>54</v>
      </c>
      <c r="I337" s="712" t="s">
        <v>55</v>
      </c>
      <c r="J337" s="791">
        <v>9600</v>
      </c>
      <c r="K337" s="711">
        <v>0</v>
      </c>
      <c r="L337" s="711">
        <v>12</v>
      </c>
      <c r="M337" s="698">
        <f t="shared" si="172"/>
        <v>800</v>
      </c>
      <c r="N337" s="829">
        <v>45659</v>
      </c>
      <c r="O337" s="829">
        <v>45332</v>
      </c>
      <c r="P337" s="868" t="s">
        <v>3928</v>
      </c>
      <c r="Q337" s="868"/>
      <c r="R337" s="890"/>
      <c r="S337" s="775" t="s">
        <v>1427</v>
      </c>
      <c r="T337" s="775"/>
      <c r="U337" s="775" t="s">
        <v>1409</v>
      </c>
      <c r="V337" s="789" t="s">
        <v>137</v>
      </c>
      <c r="W337" s="795" t="s">
        <v>3929</v>
      </c>
      <c r="X337" s="795" t="s">
        <v>139</v>
      </c>
      <c r="Y337" s="819">
        <v>3.4616</v>
      </c>
      <c r="Z337" s="745">
        <f t="shared" si="183"/>
        <v>33231.36</v>
      </c>
      <c r="AA337" s="832"/>
      <c r="AB337" s="775"/>
      <c r="AC337" s="775">
        <f>AB337-J337</f>
        <v>-9600</v>
      </c>
      <c r="AD337" s="694"/>
      <c r="AE337" s="832"/>
      <c r="AF337" s="836"/>
      <c r="AG337" s="836"/>
      <c r="AH337" s="776">
        <f t="shared" si="190"/>
        <v>9600</v>
      </c>
      <c r="AI337" s="776"/>
      <c r="AJ337" s="776"/>
      <c r="AK337" s="898"/>
      <c r="AL337" s="693">
        <f t="shared" ref="AL337:AL339" si="192">J337</f>
        <v>9600</v>
      </c>
      <c r="AR337" s="801"/>
      <c r="AS337" s="786"/>
      <c r="AT337" s="899"/>
      <c r="AW337" s="801">
        <f t="shared" ref="AW337:AW343" si="193">J337</f>
        <v>9600</v>
      </c>
      <c r="BA337" s="801"/>
      <c r="BB337" s="801"/>
      <c r="BC337" s="786"/>
      <c r="BD337" s="801">
        <f>SUM(AH337:AJ337)</f>
        <v>9600</v>
      </c>
      <c r="BE337" s="898">
        <f>BD337-J337</f>
        <v>0</v>
      </c>
      <c r="BF337" s="898"/>
      <c r="BG337" s="776"/>
    </row>
    <row r="338" s="699" customFormat="1" ht="36" customHeight="1" spans="1:182">
      <c r="A338" s="810">
        <v>45670</v>
      </c>
      <c r="B338" s="789" t="s">
        <v>209</v>
      </c>
      <c r="C338" s="721" t="s">
        <v>91</v>
      </c>
      <c r="D338" s="791">
        <v>4500155806</v>
      </c>
      <c r="E338" s="789" t="s">
        <v>3930</v>
      </c>
      <c r="F338" s="791" t="s">
        <v>3931</v>
      </c>
      <c r="G338" s="711"/>
      <c r="H338" s="711" t="s">
        <v>1490</v>
      </c>
      <c r="I338" s="712" t="s">
        <v>1491</v>
      </c>
      <c r="J338" s="711">
        <v>144</v>
      </c>
      <c r="K338" s="711">
        <v>0</v>
      </c>
      <c r="L338" s="711">
        <v>18</v>
      </c>
      <c r="M338" s="891">
        <f t="shared" si="172"/>
        <v>8</v>
      </c>
      <c r="N338" s="777">
        <v>45729</v>
      </c>
      <c r="O338" s="727">
        <v>45724</v>
      </c>
      <c r="P338" s="930" t="s">
        <v>3932</v>
      </c>
      <c r="Q338" s="930" t="s">
        <v>3933</v>
      </c>
      <c r="R338" s="744"/>
      <c r="S338" s="775" t="s">
        <v>1865</v>
      </c>
      <c r="T338" s="844"/>
      <c r="U338" s="844" t="s">
        <v>3934</v>
      </c>
      <c r="V338" s="698" t="s">
        <v>1495</v>
      </c>
      <c r="W338" s="784" t="s">
        <v>3935</v>
      </c>
      <c r="X338" s="711" t="s">
        <v>220</v>
      </c>
      <c r="Y338" s="724">
        <v>3.5711</v>
      </c>
      <c r="Z338" s="725">
        <f t="shared" si="183"/>
        <v>514.2384</v>
      </c>
      <c r="AA338" s="778"/>
      <c r="AB338" s="712"/>
      <c r="AC338" s="712"/>
      <c r="AD338" s="778"/>
      <c r="AE338" s="778"/>
      <c r="AF338" s="778"/>
      <c r="AG338" s="711">
        <f>J338</f>
        <v>144</v>
      </c>
      <c r="AH338" s="711">
        <f t="shared" si="190"/>
        <v>144</v>
      </c>
      <c r="AI338" s="713">
        <f t="shared" si="191"/>
        <v>144</v>
      </c>
      <c r="AJ338" s="995"/>
      <c r="AK338" s="800"/>
      <c r="AL338" s="800">
        <f t="shared" si="192"/>
        <v>144</v>
      </c>
      <c r="AM338" s="800"/>
      <c r="AN338" s="779"/>
      <c r="AO338" s="779"/>
      <c r="AP338" s="1013"/>
      <c r="AQ338" s="1014"/>
      <c r="AR338" s="713"/>
      <c r="AS338" s="1014"/>
      <c r="AT338" s="1015">
        <f>J338</f>
        <v>144</v>
      </c>
      <c r="AU338" s="1016"/>
      <c r="AV338" s="897"/>
      <c r="AW338" s="897"/>
      <c r="AX338" s="897"/>
      <c r="AY338" s="897"/>
      <c r="AZ338" s="897"/>
      <c r="BA338" s="897"/>
      <c r="BB338" s="897"/>
      <c r="BC338" s="897"/>
      <c r="BD338" s="897"/>
      <c r="BE338" s="897"/>
      <c r="BF338" s="897"/>
      <c r="BG338" s="897"/>
      <c r="BH338" s="897"/>
      <c r="BI338" s="897"/>
      <c r="BJ338" s="897"/>
      <c r="BK338" s="897"/>
      <c r="BL338" s="897"/>
      <c r="BM338" s="897"/>
      <c r="BN338" s="897"/>
      <c r="BO338" s="897"/>
      <c r="BP338" s="897"/>
      <c r="BQ338" s="897"/>
      <c r="BR338" s="897"/>
      <c r="BS338" s="897"/>
      <c r="BT338" s="897"/>
      <c r="BU338" s="897"/>
      <c r="BV338" s="897"/>
      <c r="BW338" s="897"/>
      <c r="BX338" s="897"/>
      <c r="BY338" s="897"/>
      <c r="BZ338" s="897"/>
      <c r="CA338" s="897"/>
      <c r="CB338" s="897"/>
      <c r="CC338" s="897"/>
      <c r="CD338" s="897"/>
      <c r="CE338" s="897"/>
      <c r="CF338" s="897"/>
      <c r="CG338" s="897"/>
      <c r="CH338" s="897"/>
      <c r="CI338" s="897"/>
      <c r="CJ338" s="897"/>
      <c r="CK338" s="897"/>
      <c r="CL338" s="897"/>
      <c r="CM338" s="897"/>
      <c r="CN338" s="897"/>
      <c r="CO338" s="897"/>
      <c r="CP338" s="897"/>
      <c r="CQ338" s="897"/>
      <c r="CR338" s="897"/>
      <c r="CS338" s="897"/>
      <c r="CT338" s="897"/>
      <c r="CU338" s="897"/>
      <c r="CV338" s="897"/>
      <c r="CW338" s="897"/>
      <c r="CX338" s="897"/>
      <c r="CY338" s="897"/>
      <c r="CZ338" s="897"/>
      <c r="DA338" s="897"/>
      <c r="DB338" s="897"/>
      <c r="DC338" s="897"/>
      <c r="DD338" s="897"/>
      <c r="DE338" s="897"/>
      <c r="DF338" s="897"/>
      <c r="DG338" s="897"/>
      <c r="DH338" s="897"/>
      <c r="DI338" s="897"/>
      <c r="DJ338" s="897"/>
      <c r="DK338" s="897"/>
      <c r="DL338" s="897"/>
      <c r="DM338" s="897"/>
      <c r="DN338" s="897"/>
      <c r="DO338" s="897"/>
      <c r="DP338" s="897"/>
      <c r="DQ338" s="897"/>
      <c r="DR338" s="897"/>
      <c r="DS338" s="897"/>
      <c r="DT338" s="897"/>
      <c r="DU338" s="897"/>
      <c r="DV338" s="897"/>
      <c r="DW338" s="900"/>
      <c r="DX338" s="900"/>
      <c r="DY338" s="900"/>
      <c r="DZ338" s="900"/>
      <c r="EA338" s="900"/>
      <c r="EB338" s="900"/>
      <c r="EC338" s="900"/>
      <c r="ED338" s="900"/>
      <c r="EE338" s="900"/>
      <c r="EF338" s="900"/>
      <c r="EG338" s="900"/>
      <c r="EH338" s="900"/>
      <c r="EI338" s="900"/>
      <c r="EJ338" s="900"/>
      <c r="EK338" s="900"/>
      <c r="EL338" s="900"/>
      <c r="EM338" s="900"/>
      <c r="EN338" s="900"/>
      <c r="EO338" s="900"/>
      <c r="EP338" s="900"/>
      <c r="EQ338" s="900"/>
      <c r="ER338" s="900"/>
      <c r="ES338" s="900"/>
      <c r="ET338" s="900"/>
      <c r="EU338" s="900"/>
      <c r="EV338" s="900"/>
      <c r="EW338" s="900"/>
      <c r="EX338" s="900"/>
      <c r="EY338" s="900"/>
      <c r="EZ338" s="900"/>
      <c r="FA338" s="900"/>
      <c r="FB338" s="900"/>
      <c r="FC338" s="900"/>
      <c r="FD338" s="900"/>
      <c r="FE338" s="900"/>
      <c r="FF338" s="900"/>
      <c r="FG338" s="900"/>
      <c r="FH338" s="900"/>
      <c r="FI338" s="900"/>
      <c r="FJ338" s="900"/>
      <c r="FK338" s="900"/>
      <c r="FL338" s="900"/>
      <c r="FM338" s="900"/>
      <c r="FN338" s="900"/>
      <c r="FO338" s="900"/>
      <c r="FP338" s="900"/>
      <c r="FQ338" s="900"/>
      <c r="FR338" s="900"/>
      <c r="FS338" s="900"/>
      <c r="FT338" s="900"/>
      <c r="FU338" s="900"/>
      <c r="FV338" s="900"/>
      <c r="FW338" s="900"/>
      <c r="FX338" s="900"/>
      <c r="FY338" s="900"/>
      <c r="FZ338" s="900"/>
    </row>
    <row r="339" s="699" customFormat="1" ht="36" customHeight="1" spans="1:182">
      <c r="A339" s="810">
        <v>45670</v>
      </c>
      <c r="B339" s="789" t="s">
        <v>209</v>
      </c>
      <c r="C339" s="721" t="s">
        <v>91</v>
      </c>
      <c r="D339" s="791">
        <v>4500155812</v>
      </c>
      <c r="E339" s="789" t="s">
        <v>3936</v>
      </c>
      <c r="F339" s="791" t="s">
        <v>3937</v>
      </c>
      <c r="G339" s="711"/>
      <c r="H339" s="711" t="s">
        <v>1490</v>
      </c>
      <c r="I339" s="712" t="s">
        <v>1491</v>
      </c>
      <c r="J339" s="711">
        <v>612</v>
      </c>
      <c r="K339" s="711">
        <v>0</v>
      </c>
      <c r="L339" s="711">
        <v>18</v>
      </c>
      <c r="M339" s="891">
        <f t="shared" si="172"/>
        <v>34</v>
      </c>
      <c r="N339" s="777">
        <v>45729</v>
      </c>
      <c r="O339" s="727">
        <v>45724</v>
      </c>
      <c r="P339" s="930" t="s">
        <v>3932</v>
      </c>
      <c r="Q339" s="930" t="s">
        <v>3933</v>
      </c>
      <c r="R339" s="744"/>
      <c r="S339" s="775" t="s">
        <v>1865</v>
      </c>
      <c r="T339" s="844"/>
      <c r="U339" s="844" t="s">
        <v>3934</v>
      </c>
      <c r="V339" s="698" t="s">
        <v>1495</v>
      </c>
      <c r="W339" s="784" t="s">
        <v>3938</v>
      </c>
      <c r="X339" s="711" t="s">
        <v>220</v>
      </c>
      <c r="Y339" s="724">
        <v>3.5711</v>
      </c>
      <c r="Z339" s="725">
        <f t="shared" si="183"/>
        <v>2185.5132</v>
      </c>
      <c r="AA339" s="778"/>
      <c r="AB339" s="712"/>
      <c r="AC339" s="712"/>
      <c r="AD339" s="778"/>
      <c r="AE339" s="778"/>
      <c r="AF339" s="778"/>
      <c r="AG339" s="711">
        <f>J339</f>
        <v>612</v>
      </c>
      <c r="AH339" s="711">
        <f t="shared" si="190"/>
        <v>612</v>
      </c>
      <c r="AI339" s="713">
        <f t="shared" si="191"/>
        <v>612</v>
      </c>
      <c r="AJ339" s="995"/>
      <c r="AK339" s="800"/>
      <c r="AL339" s="800">
        <f t="shared" si="192"/>
        <v>612</v>
      </c>
      <c r="AM339" s="800"/>
      <c r="AN339" s="779"/>
      <c r="AO339" s="779"/>
      <c r="AP339" s="1013"/>
      <c r="AQ339" s="1014"/>
      <c r="AR339" s="713"/>
      <c r="AS339" s="1014"/>
      <c r="AT339" s="1015">
        <f>J339</f>
        <v>612</v>
      </c>
      <c r="AU339" s="1016"/>
      <c r="AV339" s="897"/>
      <c r="AW339" s="897"/>
      <c r="AX339" s="897"/>
      <c r="AY339" s="897"/>
      <c r="AZ339" s="897"/>
      <c r="BA339" s="897"/>
      <c r="BB339" s="897"/>
      <c r="BC339" s="897"/>
      <c r="BD339" s="897"/>
      <c r="BE339" s="897"/>
      <c r="BF339" s="897"/>
      <c r="BG339" s="897"/>
      <c r="BH339" s="897"/>
      <c r="BI339" s="897"/>
      <c r="BJ339" s="897"/>
      <c r="BK339" s="897"/>
      <c r="BL339" s="897"/>
      <c r="BM339" s="897"/>
      <c r="BN339" s="897"/>
      <c r="BO339" s="897"/>
      <c r="BP339" s="897"/>
      <c r="BQ339" s="897"/>
      <c r="BR339" s="897"/>
      <c r="BS339" s="897"/>
      <c r="BT339" s="897"/>
      <c r="BU339" s="897"/>
      <c r="BV339" s="897"/>
      <c r="BW339" s="897"/>
      <c r="BX339" s="897"/>
      <c r="BY339" s="897"/>
      <c r="BZ339" s="897"/>
      <c r="CA339" s="897"/>
      <c r="CB339" s="897"/>
      <c r="CC339" s="897"/>
      <c r="CD339" s="897"/>
      <c r="CE339" s="897"/>
      <c r="CF339" s="897"/>
      <c r="CG339" s="897"/>
      <c r="CH339" s="897"/>
      <c r="CI339" s="897"/>
      <c r="CJ339" s="897"/>
      <c r="CK339" s="897"/>
      <c r="CL339" s="897"/>
      <c r="CM339" s="897"/>
      <c r="CN339" s="897"/>
      <c r="CO339" s="897"/>
      <c r="CP339" s="897"/>
      <c r="CQ339" s="897"/>
      <c r="CR339" s="897"/>
      <c r="CS339" s="897"/>
      <c r="CT339" s="897"/>
      <c r="CU339" s="897"/>
      <c r="CV339" s="897"/>
      <c r="CW339" s="897"/>
      <c r="CX339" s="897"/>
      <c r="CY339" s="897"/>
      <c r="CZ339" s="897"/>
      <c r="DA339" s="897"/>
      <c r="DB339" s="897"/>
      <c r="DC339" s="897"/>
      <c r="DD339" s="897"/>
      <c r="DE339" s="897"/>
      <c r="DF339" s="897"/>
      <c r="DG339" s="897"/>
      <c r="DH339" s="897"/>
      <c r="DI339" s="897"/>
      <c r="DJ339" s="897"/>
      <c r="DK339" s="897"/>
      <c r="DL339" s="897"/>
      <c r="DM339" s="897"/>
      <c r="DN339" s="897"/>
      <c r="DO339" s="897"/>
      <c r="DP339" s="897"/>
      <c r="DQ339" s="897"/>
      <c r="DR339" s="897"/>
      <c r="DS339" s="897"/>
      <c r="DT339" s="897"/>
      <c r="DU339" s="897"/>
      <c r="DV339" s="897"/>
      <c r="DW339" s="900"/>
      <c r="DX339" s="900"/>
      <c r="DY339" s="900"/>
      <c r="DZ339" s="900"/>
      <c r="EA339" s="900"/>
      <c r="EB339" s="900"/>
      <c r="EC339" s="900"/>
      <c r="ED339" s="900"/>
      <c r="EE339" s="900"/>
      <c r="EF339" s="900"/>
      <c r="EG339" s="900"/>
      <c r="EH339" s="900"/>
      <c r="EI339" s="900"/>
      <c r="EJ339" s="900"/>
      <c r="EK339" s="900"/>
      <c r="EL339" s="900"/>
      <c r="EM339" s="900"/>
      <c r="EN339" s="900"/>
      <c r="EO339" s="900"/>
      <c r="EP339" s="900"/>
      <c r="EQ339" s="900"/>
      <c r="ER339" s="900"/>
      <c r="ES339" s="900"/>
      <c r="ET339" s="900"/>
      <c r="EU339" s="900"/>
      <c r="EV339" s="900"/>
      <c r="EW339" s="900"/>
      <c r="EX339" s="900"/>
      <c r="EY339" s="900"/>
      <c r="EZ339" s="900"/>
      <c r="FA339" s="900"/>
      <c r="FB339" s="900"/>
      <c r="FC339" s="900"/>
      <c r="FD339" s="900"/>
      <c r="FE339" s="900"/>
      <c r="FF339" s="900"/>
      <c r="FG339" s="900"/>
      <c r="FH339" s="900"/>
      <c r="FI339" s="900"/>
      <c r="FJ339" s="900"/>
      <c r="FK339" s="900"/>
      <c r="FL339" s="900"/>
      <c r="FM339" s="900"/>
      <c r="FN339" s="900"/>
      <c r="FO339" s="900"/>
      <c r="FP339" s="900"/>
      <c r="FQ339" s="900"/>
      <c r="FR339" s="900"/>
      <c r="FS339" s="900"/>
      <c r="FT339" s="900"/>
      <c r="FU339" s="900"/>
      <c r="FV339" s="900"/>
      <c r="FW339" s="900"/>
      <c r="FX339" s="900"/>
      <c r="FY339" s="900"/>
      <c r="FZ339" s="900"/>
    </row>
    <row r="340" s="55" customFormat="1" ht="31" customHeight="1" spans="1:63">
      <c r="A340" s="911">
        <v>45714</v>
      </c>
      <c r="B340" s="912" t="s">
        <v>230</v>
      </c>
      <c r="C340" s="907" t="s">
        <v>91</v>
      </c>
      <c r="D340" s="912" t="s">
        <v>3939</v>
      </c>
      <c r="E340" s="913">
        <v>60188346</v>
      </c>
      <c r="F340" s="912" t="s">
        <v>3940</v>
      </c>
      <c r="G340" s="914" t="s">
        <v>2118</v>
      </c>
      <c r="H340" s="914" t="s">
        <v>2118</v>
      </c>
      <c r="I340" s="931" t="s">
        <v>2119</v>
      </c>
      <c r="J340" s="932">
        <v>2256</v>
      </c>
      <c r="K340" s="933">
        <v>0</v>
      </c>
      <c r="L340" s="933">
        <v>12</v>
      </c>
      <c r="M340" s="934">
        <f t="shared" si="172"/>
        <v>188</v>
      </c>
      <c r="N340" s="935">
        <v>45755</v>
      </c>
      <c r="O340" s="935">
        <v>45751</v>
      </c>
      <c r="P340" s="936"/>
      <c r="Q340" s="953"/>
      <c r="R340" s="954"/>
      <c r="S340" s="955" t="s">
        <v>1427</v>
      </c>
      <c r="T340" s="906" t="s">
        <v>58</v>
      </c>
      <c r="U340" s="906" t="s">
        <v>1409</v>
      </c>
      <c r="V340" s="912" t="s">
        <v>3941</v>
      </c>
      <c r="W340" s="956" t="s">
        <v>3942</v>
      </c>
      <c r="X340" s="957" t="s">
        <v>237</v>
      </c>
      <c r="Y340" s="976">
        <v>2.8094</v>
      </c>
      <c r="Z340" s="977">
        <f t="shared" si="183"/>
        <v>6338.0064</v>
      </c>
      <c r="AA340" s="978"/>
      <c r="AB340" s="955" t="s">
        <v>63</v>
      </c>
      <c r="AC340" s="955" t="s">
        <v>2040</v>
      </c>
      <c r="AD340" s="979"/>
      <c r="AE340" s="978"/>
      <c r="AF340" s="980"/>
      <c r="AG340" s="980"/>
      <c r="AH340" s="996">
        <f t="shared" ref="AH340:AH343" si="194">J340/3</f>
        <v>752</v>
      </c>
      <c r="AI340" s="996">
        <f t="shared" ref="AI340:AI343" si="195">J340/3</f>
        <v>752</v>
      </c>
      <c r="AJ340" s="996">
        <f t="shared" ref="AJ340:AJ343" si="196">J340/3</f>
        <v>752</v>
      </c>
      <c r="AK340" s="997"/>
      <c r="AL340" s="998"/>
      <c r="AM340" s="998"/>
      <c r="AN340" s="999"/>
      <c r="AO340" s="999"/>
      <c r="AP340" s="999"/>
      <c r="AQ340" s="999"/>
      <c r="AR340" s="1017">
        <f t="shared" ref="AR340:AR343" si="197">J340</f>
        <v>2256</v>
      </c>
      <c r="AS340" s="1018"/>
      <c r="AT340" s="1019"/>
      <c r="AU340" s="1020"/>
      <c r="AV340" s="1020"/>
      <c r="AW340" s="1032">
        <f t="shared" si="193"/>
        <v>2256</v>
      </c>
      <c r="AX340" s="1020"/>
      <c r="AY340" s="999"/>
      <c r="AZ340" s="999"/>
      <c r="BA340" s="1017"/>
      <c r="BB340" s="1017"/>
      <c r="BC340" s="1033"/>
      <c r="BD340" s="1032"/>
      <c r="BE340" s="1038"/>
      <c r="BF340" s="1038"/>
      <c r="BG340" s="1039"/>
      <c r="BH340" s="1040"/>
      <c r="BI340" s="1041"/>
      <c r="BJ340" s="1042"/>
      <c r="BK340" s="1042"/>
    </row>
    <row r="341" s="55" customFormat="1" ht="31" customHeight="1" spans="1:63">
      <c r="A341" s="915">
        <v>45714</v>
      </c>
      <c r="B341" s="916" t="s">
        <v>811</v>
      </c>
      <c r="C341" s="789" t="s">
        <v>91</v>
      </c>
      <c r="D341" s="916" t="s">
        <v>3943</v>
      </c>
      <c r="E341" s="917">
        <v>70057486</v>
      </c>
      <c r="F341" s="916" t="s">
        <v>3944</v>
      </c>
      <c r="G341" s="918" t="s">
        <v>2118</v>
      </c>
      <c r="H341" s="918" t="s">
        <v>2118</v>
      </c>
      <c r="I341" s="937" t="s">
        <v>2119</v>
      </c>
      <c r="J341" s="938">
        <v>1200</v>
      </c>
      <c r="K341" s="918">
        <v>0</v>
      </c>
      <c r="L341" s="918">
        <v>12</v>
      </c>
      <c r="M341" s="259">
        <f t="shared" si="172"/>
        <v>100</v>
      </c>
      <c r="N341" s="939">
        <v>45761</v>
      </c>
      <c r="O341" s="939">
        <v>45757</v>
      </c>
      <c r="P341" s="940"/>
      <c r="Q341" s="958"/>
      <c r="R341" s="959"/>
      <c r="S341" s="960" t="s">
        <v>1427</v>
      </c>
      <c r="T341" s="775" t="s">
        <v>58</v>
      </c>
      <c r="U341" s="775" t="s">
        <v>1409</v>
      </c>
      <c r="V341" s="916" t="s">
        <v>3941</v>
      </c>
      <c r="W341" s="961" t="s">
        <v>3945</v>
      </c>
      <c r="X341" s="962" t="s">
        <v>237</v>
      </c>
      <c r="Y341" s="981">
        <v>2.8094</v>
      </c>
      <c r="Z341" s="982">
        <f t="shared" si="183"/>
        <v>3371.28</v>
      </c>
      <c r="AA341" s="983"/>
      <c r="AB341" s="960" t="s">
        <v>63</v>
      </c>
      <c r="AC341" s="960"/>
      <c r="AD341" s="983"/>
      <c r="AE341" s="983"/>
      <c r="AF341" s="984" t="s">
        <v>327</v>
      </c>
      <c r="AG341" s="984"/>
      <c r="AH341" s="1000">
        <f t="shared" si="194"/>
        <v>400</v>
      </c>
      <c r="AI341" s="1000">
        <f t="shared" si="195"/>
        <v>400</v>
      </c>
      <c r="AJ341" s="1000">
        <f t="shared" si="196"/>
        <v>400</v>
      </c>
      <c r="AK341" s="1001"/>
      <c r="AL341" s="998"/>
      <c r="AM341" s="998"/>
      <c r="AN341" s="999"/>
      <c r="AO341" s="999"/>
      <c r="AP341" s="999"/>
      <c r="AQ341" s="999"/>
      <c r="AR341" s="1021">
        <f t="shared" si="197"/>
        <v>1200</v>
      </c>
      <c r="AS341" s="1022"/>
      <c r="AT341" s="1019"/>
      <c r="AU341" s="1020"/>
      <c r="AV341" s="1020"/>
      <c r="AW341" s="1034">
        <f t="shared" si="193"/>
        <v>1200</v>
      </c>
      <c r="AX341" s="1020"/>
      <c r="AY341" s="999"/>
      <c r="AZ341" s="999"/>
      <c r="BA341" s="1021"/>
      <c r="BB341" s="1021"/>
      <c r="BC341" s="1035"/>
      <c r="BD341" s="1034"/>
      <c r="BE341" s="1043"/>
      <c r="BF341" s="1043"/>
      <c r="BG341" s="1035"/>
      <c r="BH341" s="1040"/>
      <c r="BI341" s="1041"/>
      <c r="BJ341" s="1042"/>
      <c r="BK341" s="1042"/>
    </row>
    <row r="342" s="55" customFormat="1" ht="31" customHeight="1" spans="1:63">
      <c r="A342" s="915">
        <v>45727</v>
      </c>
      <c r="B342" s="916" t="s">
        <v>2471</v>
      </c>
      <c r="C342" s="789" t="s">
        <v>123</v>
      </c>
      <c r="D342" s="916">
        <v>4500159586</v>
      </c>
      <c r="E342" s="919" t="s">
        <v>3946</v>
      </c>
      <c r="F342" s="916" t="s">
        <v>3947</v>
      </c>
      <c r="G342" s="918" t="s">
        <v>2118</v>
      </c>
      <c r="H342" s="918" t="s">
        <v>2118</v>
      </c>
      <c r="I342" s="937" t="s">
        <v>2119</v>
      </c>
      <c r="J342" s="938">
        <v>4008</v>
      </c>
      <c r="K342" s="918">
        <v>0</v>
      </c>
      <c r="L342" s="918">
        <v>12</v>
      </c>
      <c r="M342" s="259">
        <f t="shared" si="172"/>
        <v>334</v>
      </c>
      <c r="N342" s="939">
        <v>45796</v>
      </c>
      <c r="O342" s="939">
        <v>45792</v>
      </c>
      <c r="P342" s="940" t="s">
        <v>1958</v>
      </c>
      <c r="Q342" s="958"/>
      <c r="R342" s="959"/>
      <c r="S342" s="960">
        <v>45727</v>
      </c>
      <c r="T342" s="775" t="s">
        <v>58</v>
      </c>
      <c r="U342" s="775" t="s">
        <v>58</v>
      </c>
      <c r="V342" s="916" t="s">
        <v>3948</v>
      </c>
      <c r="W342" s="961" t="s">
        <v>3949</v>
      </c>
      <c r="X342" s="962" t="s">
        <v>2477</v>
      </c>
      <c r="Y342" s="981">
        <v>2.7513</v>
      </c>
      <c r="Z342" s="982">
        <f t="shared" si="183"/>
        <v>11027.2104</v>
      </c>
      <c r="AA342" s="983"/>
      <c r="AB342" s="960" t="s">
        <v>63</v>
      </c>
      <c r="AC342" s="960"/>
      <c r="AD342" s="983"/>
      <c r="AE342" s="983"/>
      <c r="AF342" s="829" t="s">
        <v>58</v>
      </c>
      <c r="AG342" s="984"/>
      <c r="AH342" s="1000">
        <f t="shared" si="194"/>
        <v>1336</v>
      </c>
      <c r="AI342" s="1000">
        <f t="shared" si="195"/>
        <v>1336</v>
      </c>
      <c r="AJ342" s="1000">
        <f t="shared" si="196"/>
        <v>1336</v>
      </c>
      <c r="AK342" s="1001"/>
      <c r="AL342" s="998"/>
      <c r="AM342" s="998"/>
      <c r="AN342" s="999"/>
      <c r="AO342" s="999"/>
      <c r="AP342" s="999"/>
      <c r="AQ342" s="999"/>
      <c r="AR342" s="1021">
        <f t="shared" si="197"/>
        <v>4008</v>
      </c>
      <c r="AS342" s="1022"/>
      <c r="AT342" s="1019"/>
      <c r="AU342" s="1020"/>
      <c r="AV342" s="1020"/>
      <c r="AW342" s="1034">
        <f t="shared" si="193"/>
        <v>4008</v>
      </c>
      <c r="AX342" s="1020"/>
      <c r="AY342" s="999"/>
      <c r="AZ342" s="999"/>
      <c r="BA342" s="1021"/>
      <c r="BB342" s="1021"/>
      <c r="BC342" s="1035"/>
      <c r="BD342" s="1034"/>
      <c r="BE342" s="1043"/>
      <c r="BF342" s="1043"/>
      <c r="BG342" s="1035"/>
      <c r="BH342" s="1040"/>
      <c r="BI342" s="1041"/>
      <c r="BJ342" s="1042"/>
      <c r="BK342" s="1042"/>
    </row>
    <row r="343" s="55" customFormat="1" ht="31" customHeight="1" spans="1:63">
      <c r="A343" s="915">
        <v>45727</v>
      </c>
      <c r="B343" s="916" t="s">
        <v>2471</v>
      </c>
      <c r="C343" s="789" t="s">
        <v>123</v>
      </c>
      <c r="D343" s="916">
        <v>4500159586</v>
      </c>
      <c r="E343" s="919" t="s">
        <v>3950</v>
      </c>
      <c r="F343" s="916" t="s">
        <v>3951</v>
      </c>
      <c r="G343" s="918" t="s">
        <v>2118</v>
      </c>
      <c r="H343" s="918" t="s">
        <v>2118</v>
      </c>
      <c r="I343" s="937" t="s">
        <v>2119</v>
      </c>
      <c r="J343" s="938">
        <v>4008</v>
      </c>
      <c r="K343" s="918">
        <v>0</v>
      </c>
      <c r="L343" s="918">
        <v>12</v>
      </c>
      <c r="M343" s="259">
        <f t="shared" si="172"/>
        <v>334</v>
      </c>
      <c r="N343" s="939">
        <v>45796</v>
      </c>
      <c r="O343" s="939">
        <v>45792</v>
      </c>
      <c r="P343" s="940" t="s">
        <v>1958</v>
      </c>
      <c r="Q343" s="958"/>
      <c r="R343" s="959"/>
      <c r="S343" s="960">
        <v>45727</v>
      </c>
      <c r="T343" s="775" t="s">
        <v>58</v>
      </c>
      <c r="U343" s="775" t="s">
        <v>58</v>
      </c>
      <c r="V343" s="916" t="s">
        <v>3948</v>
      </c>
      <c r="W343" s="961" t="s">
        <v>3949</v>
      </c>
      <c r="X343" s="962" t="s">
        <v>2477</v>
      </c>
      <c r="Y343" s="981">
        <v>2.7513</v>
      </c>
      <c r="Z343" s="982">
        <f t="shared" si="183"/>
        <v>11027.2104</v>
      </c>
      <c r="AA343" s="983"/>
      <c r="AB343" s="960" t="s">
        <v>63</v>
      </c>
      <c r="AC343" s="960"/>
      <c r="AD343" s="983"/>
      <c r="AE343" s="983"/>
      <c r="AF343" s="829" t="s">
        <v>58</v>
      </c>
      <c r="AG343" s="984"/>
      <c r="AH343" s="1000">
        <f t="shared" si="194"/>
        <v>1336</v>
      </c>
      <c r="AI343" s="1000">
        <f t="shared" si="195"/>
        <v>1336</v>
      </c>
      <c r="AJ343" s="1000">
        <f t="shared" si="196"/>
        <v>1336</v>
      </c>
      <c r="AK343" s="1001"/>
      <c r="AL343" s="998"/>
      <c r="AM343" s="998"/>
      <c r="AN343" s="999"/>
      <c r="AO343" s="999"/>
      <c r="AP343" s="999"/>
      <c r="AQ343" s="999"/>
      <c r="AR343" s="1021">
        <f t="shared" si="197"/>
        <v>4008</v>
      </c>
      <c r="AS343" s="1022"/>
      <c r="AT343" s="1019"/>
      <c r="AU343" s="1020"/>
      <c r="AV343" s="1020"/>
      <c r="AW343" s="1034">
        <f t="shared" si="193"/>
        <v>4008</v>
      </c>
      <c r="AX343" s="1020"/>
      <c r="AY343" s="999"/>
      <c r="AZ343" s="999"/>
      <c r="BA343" s="1021"/>
      <c r="BB343" s="1021"/>
      <c r="BC343" s="1035"/>
      <c r="BD343" s="1034"/>
      <c r="BE343" s="1043"/>
      <c r="BF343" s="1043"/>
      <c r="BG343" s="1035"/>
      <c r="BH343" s="1040"/>
      <c r="BI343" s="1041"/>
      <c r="BJ343" s="1042"/>
      <c r="BK343" s="1042"/>
    </row>
    <row r="344" s="55" customFormat="1" ht="31" customHeight="1" spans="1:63">
      <c r="A344" s="915">
        <v>45602</v>
      </c>
      <c r="B344" s="916" t="s">
        <v>111</v>
      </c>
      <c r="C344" s="789" t="s">
        <v>112</v>
      </c>
      <c r="D344" s="916">
        <v>4500150271</v>
      </c>
      <c r="E344" s="919" t="s">
        <v>3952</v>
      </c>
      <c r="F344" s="916" t="s">
        <v>3953</v>
      </c>
      <c r="G344" s="918" t="s">
        <v>64</v>
      </c>
      <c r="H344" s="918" t="s">
        <v>64</v>
      </c>
      <c r="I344" s="937" t="s">
        <v>65</v>
      </c>
      <c r="J344" s="938">
        <v>96</v>
      </c>
      <c r="K344" s="918">
        <v>0</v>
      </c>
      <c r="L344" s="918">
        <v>12</v>
      </c>
      <c r="M344" s="259">
        <f t="shared" si="172"/>
        <v>8</v>
      </c>
      <c r="N344" s="939">
        <v>45697</v>
      </c>
      <c r="O344" s="939">
        <v>45693</v>
      </c>
      <c r="P344" s="941" t="s">
        <v>3954</v>
      </c>
      <c r="Q344" s="958"/>
      <c r="R344" s="959"/>
      <c r="S344" s="960" t="s">
        <v>270</v>
      </c>
      <c r="T344" s="775"/>
      <c r="U344" s="775" t="s">
        <v>506</v>
      </c>
      <c r="V344" s="791" t="s">
        <v>3955</v>
      </c>
      <c r="W344" s="961" t="s">
        <v>3956</v>
      </c>
      <c r="X344" s="962" t="s">
        <v>120</v>
      </c>
      <c r="Y344" s="981">
        <v>4.0344</v>
      </c>
      <c r="Z344" s="982">
        <f t="shared" si="183"/>
        <v>387.3024</v>
      </c>
      <c r="AA344" s="983"/>
      <c r="AB344" s="960">
        <v>96</v>
      </c>
      <c r="AC344" s="960">
        <f>AB344-J344</f>
        <v>0</v>
      </c>
      <c r="AD344" s="832" t="s">
        <v>63</v>
      </c>
      <c r="AE344" s="832" t="s">
        <v>38</v>
      </c>
      <c r="AF344" s="984" t="s">
        <v>81</v>
      </c>
      <c r="AG344" s="984"/>
      <c r="AH344" s="1000"/>
      <c r="AI344" s="1000">
        <f t="shared" ref="AI344:AI349" si="198">J344</f>
        <v>96</v>
      </c>
      <c r="AJ344" s="1000"/>
      <c r="AK344" s="1001"/>
      <c r="AL344" s="998">
        <f>J344</f>
        <v>96</v>
      </c>
      <c r="AM344" s="998"/>
      <c r="AN344" s="999"/>
      <c r="AO344" s="999"/>
      <c r="AP344" s="999"/>
      <c r="AQ344" s="999"/>
      <c r="AR344" s="1021"/>
      <c r="AS344" s="1022"/>
      <c r="AT344" s="1019"/>
      <c r="AU344" s="1020"/>
      <c r="AV344" s="1020"/>
      <c r="AW344" s="1034"/>
      <c r="AX344" s="1020">
        <f>J344</f>
        <v>96</v>
      </c>
      <c r="AY344" s="999"/>
      <c r="AZ344" s="999"/>
      <c r="BA344" s="1021"/>
      <c r="BB344" s="1021"/>
      <c r="BC344" s="1035"/>
      <c r="BD344" s="1034">
        <f>SUM(AH344:AJ344)</f>
        <v>96</v>
      </c>
      <c r="BE344" s="1043">
        <f>BD344-J344</f>
        <v>0</v>
      </c>
      <c r="BF344" s="1043"/>
      <c r="BG344" s="1035"/>
      <c r="BH344" s="1040"/>
      <c r="BI344" s="1041"/>
      <c r="BJ344" s="1042"/>
      <c r="BK344" s="1042"/>
    </row>
    <row r="345" s="700" customFormat="1" ht="36" customHeight="1" spans="1:182">
      <c r="A345" s="920">
        <v>45729</v>
      </c>
      <c r="B345" s="921" t="s">
        <v>1636</v>
      </c>
      <c r="C345" s="922" t="s">
        <v>1613</v>
      </c>
      <c r="D345" s="923">
        <v>4500159874</v>
      </c>
      <c r="E345" s="921" t="s">
        <v>3957</v>
      </c>
      <c r="F345" s="923" t="s">
        <v>3958</v>
      </c>
      <c r="G345" s="924" t="s">
        <v>3895</v>
      </c>
      <c r="H345" s="924" t="s">
        <v>1640</v>
      </c>
      <c r="I345" s="942" t="s">
        <v>1641</v>
      </c>
      <c r="J345" s="924">
        <v>256</v>
      </c>
      <c r="K345" s="924">
        <v>0</v>
      </c>
      <c r="L345" s="924">
        <v>8</v>
      </c>
      <c r="M345" s="943">
        <f t="shared" si="172"/>
        <v>32</v>
      </c>
      <c r="N345" s="944">
        <v>45852</v>
      </c>
      <c r="O345" s="945">
        <v>45848</v>
      </c>
      <c r="P345" s="946" t="s">
        <v>3959</v>
      </c>
      <c r="Q345" s="963"/>
      <c r="R345" s="963"/>
      <c r="S345" s="946" t="s">
        <v>3960</v>
      </c>
      <c r="T345" s="964"/>
      <c r="U345" s="964" t="s">
        <v>58</v>
      </c>
      <c r="V345" s="965" t="s">
        <v>1621</v>
      </c>
      <c r="W345" s="966" t="s">
        <v>3961</v>
      </c>
      <c r="X345" s="924" t="s">
        <v>1623</v>
      </c>
      <c r="Y345" s="985">
        <v>1.291</v>
      </c>
      <c r="Z345" s="986">
        <f t="shared" si="183"/>
        <v>330.496</v>
      </c>
      <c r="AA345" s="987"/>
      <c r="AB345" s="942"/>
      <c r="AC345" s="942"/>
      <c r="AD345" s="987"/>
      <c r="AE345" s="988">
        <f>AD345-J345</f>
        <v>-256</v>
      </c>
      <c r="AF345" s="987"/>
      <c r="AG345" s="924">
        <f>J345/8*2</f>
        <v>64</v>
      </c>
      <c r="AH345" s="924">
        <f>J345/8*3</f>
        <v>96</v>
      </c>
      <c r="AI345" s="1002">
        <f>J345/8*3</f>
        <v>96</v>
      </c>
      <c r="AJ345" s="1003"/>
      <c r="AK345" s="1004"/>
      <c r="AL345" s="1004"/>
      <c r="AM345" s="1004"/>
      <c r="AN345" s="1005">
        <f>J345</f>
        <v>256</v>
      </c>
      <c r="AO345" s="1005">
        <f>J345</f>
        <v>256</v>
      </c>
      <c r="AP345" s="1023"/>
      <c r="AQ345" s="1024"/>
      <c r="AR345" s="1002"/>
      <c r="AS345" s="1024"/>
      <c r="AT345" s="1025"/>
      <c r="AU345" s="1026"/>
      <c r="AV345" s="1027"/>
      <c r="AW345" s="1027"/>
      <c r="AX345" s="1027"/>
      <c r="AY345" s="1027"/>
      <c r="AZ345" s="1027"/>
      <c r="BA345" s="1027"/>
      <c r="BB345" s="1027"/>
      <c r="BC345" s="1027"/>
      <c r="BD345" s="1027"/>
      <c r="BE345" s="1027"/>
      <c r="BF345" s="1027"/>
      <c r="BG345" s="1027"/>
      <c r="BH345" s="1027"/>
      <c r="BI345" s="1027"/>
      <c r="BJ345" s="1027"/>
      <c r="BK345" s="1027"/>
      <c r="BL345" s="1027"/>
      <c r="BM345" s="1027"/>
      <c r="BN345" s="1027"/>
      <c r="BO345" s="1027"/>
      <c r="BP345" s="1027"/>
      <c r="BQ345" s="1027"/>
      <c r="BR345" s="1027"/>
      <c r="BS345" s="1027"/>
      <c r="BT345" s="1027"/>
      <c r="BU345" s="1027"/>
      <c r="BV345" s="1027"/>
      <c r="BW345" s="1027"/>
      <c r="BX345" s="1027"/>
      <c r="BY345" s="1027"/>
      <c r="BZ345" s="1027"/>
      <c r="CA345" s="1027"/>
      <c r="CB345" s="1027"/>
      <c r="CC345" s="1027"/>
      <c r="CD345" s="1027"/>
      <c r="CE345" s="1027"/>
      <c r="CF345" s="1027"/>
      <c r="CG345" s="1027"/>
      <c r="CH345" s="1027"/>
      <c r="CI345" s="1027"/>
      <c r="CJ345" s="1027"/>
      <c r="CK345" s="1027"/>
      <c r="CL345" s="1027"/>
      <c r="CM345" s="1027"/>
      <c r="CN345" s="1027"/>
      <c r="CO345" s="1027"/>
      <c r="CP345" s="1027"/>
      <c r="CQ345" s="1027"/>
      <c r="CR345" s="1027"/>
      <c r="CS345" s="1027"/>
      <c r="CT345" s="1027"/>
      <c r="CU345" s="1027"/>
      <c r="CV345" s="1027"/>
      <c r="CW345" s="1027"/>
      <c r="CX345" s="1027"/>
      <c r="CY345" s="1027"/>
      <c r="CZ345" s="1027"/>
      <c r="DA345" s="1027"/>
      <c r="DB345" s="1027"/>
      <c r="DC345" s="1027"/>
      <c r="DD345" s="1027"/>
      <c r="DE345" s="1027"/>
      <c r="DF345" s="1027"/>
      <c r="DG345" s="1027"/>
      <c r="DH345" s="1027"/>
      <c r="DI345" s="1027"/>
      <c r="DJ345" s="1027"/>
      <c r="DK345" s="1027"/>
      <c r="DL345" s="1027"/>
      <c r="DM345" s="1027"/>
      <c r="DN345" s="1027"/>
      <c r="DO345" s="1027"/>
      <c r="DP345" s="1027"/>
      <c r="DQ345" s="1027"/>
      <c r="DR345" s="1027"/>
      <c r="DS345" s="1027"/>
      <c r="DT345" s="1027"/>
      <c r="DU345" s="1027"/>
      <c r="DV345" s="1027"/>
      <c r="DW345" s="1049"/>
      <c r="DX345" s="1049"/>
      <c r="DY345" s="1049"/>
      <c r="DZ345" s="1049"/>
      <c r="EA345" s="1049"/>
      <c r="EB345" s="1049"/>
      <c r="EC345" s="1049"/>
      <c r="ED345" s="1049"/>
      <c r="EE345" s="1049"/>
      <c r="EF345" s="1049"/>
      <c r="EG345" s="1049"/>
      <c r="EH345" s="1049"/>
      <c r="EI345" s="1049"/>
      <c r="EJ345" s="1049"/>
      <c r="EK345" s="1049"/>
      <c r="EL345" s="1049"/>
      <c r="EM345" s="1049"/>
      <c r="EN345" s="1049"/>
      <c r="EO345" s="1049"/>
      <c r="EP345" s="1049"/>
      <c r="EQ345" s="1049"/>
      <c r="ER345" s="1049"/>
      <c r="ES345" s="1049"/>
      <c r="ET345" s="1049"/>
      <c r="EU345" s="1049"/>
      <c r="EV345" s="1049"/>
      <c r="EW345" s="1049"/>
      <c r="EX345" s="1049"/>
      <c r="EY345" s="1049"/>
      <c r="EZ345" s="1049"/>
      <c r="FA345" s="1049"/>
      <c r="FB345" s="1049"/>
      <c r="FC345" s="1049"/>
      <c r="FD345" s="1049"/>
      <c r="FE345" s="1049"/>
      <c r="FF345" s="1049"/>
      <c r="FG345" s="1049"/>
      <c r="FH345" s="1049"/>
      <c r="FI345" s="1049"/>
      <c r="FJ345" s="1049"/>
      <c r="FK345" s="1049"/>
      <c r="FL345" s="1049"/>
      <c r="FM345" s="1049"/>
      <c r="FN345" s="1049"/>
      <c r="FO345" s="1049"/>
      <c r="FP345" s="1049"/>
      <c r="FQ345" s="1049"/>
      <c r="FR345" s="1049"/>
      <c r="FS345" s="1049"/>
      <c r="FT345" s="1049"/>
      <c r="FU345" s="1049"/>
      <c r="FV345" s="1049"/>
      <c r="FW345" s="1049"/>
      <c r="FX345" s="1049"/>
      <c r="FY345" s="1049"/>
      <c r="FZ345" s="1049"/>
    </row>
    <row r="346" s="700" customFormat="1" ht="36" customHeight="1" spans="1:182">
      <c r="A346" s="920">
        <v>45729</v>
      </c>
      <c r="B346" s="921" t="s">
        <v>1636</v>
      </c>
      <c r="C346" s="922" t="s">
        <v>493</v>
      </c>
      <c r="D346" s="923">
        <v>4500159874</v>
      </c>
      <c r="E346" s="921" t="s">
        <v>3962</v>
      </c>
      <c r="F346" s="923" t="s">
        <v>3963</v>
      </c>
      <c r="G346" s="924" t="s">
        <v>3895</v>
      </c>
      <c r="H346" s="924" t="s">
        <v>1640</v>
      </c>
      <c r="I346" s="942" t="s">
        <v>1641</v>
      </c>
      <c r="J346" s="924">
        <v>1304</v>
      </c>
      <c r="K346" s="924">
        <v>0</v>
      </c>
      <c r="L346" s="924">
        <v>8</v>
      </c>
      <c r="M346" s="943">
        <f t="shared" si="172"/>
        <v>163</v>
      </c>
      <c r="N346" s="944">
        <v>45852</v>
      </c>
      <c r="O346" s="945">
        <v>45848</v>
      </c>
      <c r="P346" s="946" t="s">
        <v>3959</v>
      </c>
      <c r="Q346" s="963"/>
      <c r="R346" s="963"/>
      <c r="S346" s="946" t="s">
        <v>3960</v>
      </c>
      <c r="T346" s="964"/>
      <c r="U346" s="964" t="s">
        <v>58</v>
      </c>
      <c r="V346" s="965" t="s">
        <v>1621</v>
      </c>
      <c r="W346" s="966" t="s">
        <v>3961</v>
      </c>
      <c r="X346" s="924" t="s">
        <v>1623</v>
      </c>
      <c r="Y346" s="985">
        <v>1.291</v>
      </c>
      <c r="Z346" s="986">
        <f t="shared" si="183"/>
        <v>1683.464</v>
      </c>
      <c r="AA346" s="987"/>
      <c r="AB346" s="942"/>
      <c r="AC346" s="942"/>
      <c r="AD346" s="987"/>
      <c r="AE346" s="988">
        <f>AD346-J346</f>
        <v>-1304</v>
      </c>
      <c r="AF346" s="987"/>
      <c r="AG346" s="924">
        <f>J346/8*2</f>
        <v>326</v>
      </c>
      <c r="AH346" s="924">
        <f>J346/8*3</f>
        <v>489</v>
      </c>
      <c r="AI346" s="1002">
        <f>J346/8*3</f>
        <v>489</v>
      </c>
      <c r="AJ346" s="1003"/>
      <c r="AK346" s="1004"/>
      <c r="AL346" s="1004"/>
      <c r="AM346" s="1004"/>
      <c r="AN346" s="1005">
        <f>J346</f>
        <v>1304</v>
      </c>
      <c r="AO346" s="1005">
        <f>J346</f>
        <v>1304</v>
      </c>
      <c r="AP346" s="1023"/>
      <c r="AQ346" s="1024"/>
      <c r="AR346" s="1002"/>
      <c r="AS346" s="1024"/>
      <c r="AT346" s="1025"/>
      <c r="AU346" s="1026"/>
      <c r="AV346" s="1027"/>
      <c r="AW346" s="1027"/>
      <c r="AX346" s="1027"/>
      <c r="AY346" s="1027"/>
      <c r="AZ346" s="1027"/>
      <c r="BA346" s="1027"/>
      <c r="BB346" s="1027"/>
      <c r="BC346" s="1027"/>
      <c r="BD346" s="1027"/>
      <c r="BE346" s="1027"/>
      <c r="BF346" s="1027"/>
      <c r="BG346" s="1027"/>
      <c r="BH346" s="1027"/>
      <c r="BI346" s="1027"/>
      <c r="BJ346" s="1027"/>
      <c r="BK346" s="1027"/>
      <c r="BL346" s="1027"/>
      <c r="BM346" s="1027"/>
      <c r="BN346" s="1027"/>
      <c r="BO346" s="1027"/>
      <c r="BP346" s="1027"/>
      <c r="BQ346" s="1027"/>
      <c r="BR346" s="1027"/>
      <c r="BS346" s="1027"/>
      <c r="BT346" s="1027"/>
      <c r="BU346" s="1027"/>
      <c r="BV346" s="1027"/>
      <c r="BW346" s="1027"/>
      <c r="BX346" s="1027"/>
      <c r="BY346" s="1027"/>
      <c r="BZ346" s="1027"/>
      <c r="CA346" s="1027"/>
      <c r="CB346" s="1027"/>
      <c r="CC346" s="1027"/>
      <c r="CD346" s="1027"/>
      <c r="CE346" s="1027"/>
      <c r="CF346" s="1027"/>
      <c r="CG346" s="1027"/>
      <c r="CH346" s="1027"/>
      <c r="CI346" s="1027"/>
      <c r="CJ346" s="1027"/>
      <c r="CK346" s="1027"/>
      <c r="CL346" s="1027"/>
      <c r="CM346" s="1027"/>
      <c r="CN346" s="1027"/>
      <c r="CO346" s="1027"/>
      <c r="CP346" s="1027"/>
      <c r="CQ346" s="1027"/>
      <c r="CR346" s="1027"/>
      <c r="CS346" s="1027"/>
      <c r="CT346" s="1027"/>
      <c r="CU346" s="1027"/>
      <c r="CV346" s="1027"/>
      <c r="CW346" s="1027"/>
      <c r="CX346" s="1027"/>
      <c r="CY346" s="1027"/>
      <c r="CZ346" s="1027"/>
      <c r="DA346" s="1027"/>
      <c r="DB346" s="1027"/>
      <c r="DC346" s="1027"/>
      <c r="DD346" s="1027"/>
      <c r="DE346" s="1027"/>
      <c r="DF346" s="1027"/>
      <c r="DG346" s="1027"/>
      <c r="DH346" s="1027"/>
      <c r="DI346" s="1027"/>
      <c r="DJ346" s="1027"/>
      <c r="DK346" s="1027"/>
      <c r="DL346" s="1027"/>
      <c r="DM346" s="1027"/>
      <c r="DN346" s="1027"/>
      <c r="DO346" s="1027"/>
      <c r="DP346" s="1027"/>
      <c r="DQ346" s="1027"/>
      <c r="DR346" s="1027"/>
      <c r="DS346" s="1027"/>
      <c r="DT346" s="1027"/>
      <c r="DU346" s="1027"/>
      <c r="DV346" s="1027"/>
      <c r="DW346" s="1049"/>
      <c r="DX346" s="1049"/>
      <c r="DY346" s="1049"/>
      <c r="DZ346" s="1049"/>
      <c r="EA346" s="1049"/>
      <c r="EB346" s="1049"/>
      <c r="EC346" s="1049"/>
      <c r="ED346" s="1049"/>
      <c r="EE346" s="1049"/>
      <c r="EF346" s="1049"/>
      <c r="EG346" s="1049"/>
      <c r="EH346" s="1049"/>
      <c r="EI346" s="1049"/>
      <c r="EJ346" s="1049"/>
      <c r="EK346" s="1049"/>
      <c r="EL346" s="1049"/>
      <c r="EM346" s="1049"/>
      <c r="EN346" s="1049"/>
      <c r="EO346" s="1049"/>
      <c r="EP346" s="1049"/>
      <c r="EQ346" s="1049"/>
      <c r="ER346" s="1049"/>
      <c r="ES346" s="1049"/>
      <c r="ET346" s="1049"/>
      <c r="EU346" s="1049"/>
      <c r="EV346" s="1049"/>
      <c r="EW346" s="1049"/>
      <c r="EX346" s="1049"/>
      <c r="EY346" s="1049"/>
      <c r="EZ346" s="1049"/>
      <c r="FA346" s="1049"/>
      <c r="FB346" s="1049"/>
      <c r="FC346" s="1049"/>
      <c r="FD346" s="1049"/>
      <c r="FE346" s="1049"/>
      <c r="FF346" s="1049"/>
      <c r="FG346" s="1049"/>
      <c r="FH346" s="1049"/>
      <c r="FI346" s="1049"/>
      <c r="FJ346" s="1049"/>
      <c r="FK346" s="1049"/>
      <c r="FL346" s="1049"/>
      <c r="FM346" s="1049"/>
      <c r="FN346" s="1049"/>
      <c r="FO346" s="1049"/>
      <c r="FP346" s="1049"/>
      <c r="FQ346" s="1049"/>
      <c r="FR346" s="1049"/>
      <c r="FS346" s="1049"/>
      <c r="FT346" s="1049"/>
      <c r="FU346" s="1049"/>
      <c r="FV346" s="1049"/>
      <c r="FW346" s="1049"/>
      <c r="FX346" s="1049"/>
      <c r="FY346" s="1049"/>
      <c r="FZ346" s="1049"/>
    </row>
    <row r="347" s="700" customFormat="1" ht="41" customHeight="1" spans="1:182">
      <c r="A347" s="920">
        <v>45799</v>
      </c>
      <c r="B347" s="921" t="s">
        <v>730</v>
      </c>
      <c r="C347" s="922" t="s">
        <v>91</v>
      </c>
      <c r="D347" s="923">
        <v>4500161570</v>
      </c>
      <c r="E347" s="921" t="s">
        <v>3964</v>
      </c>
      <c r="F347" s="923" t="s">
        <v>3965</v>
      </c>
      <c r="G347" s="924"/>
      <c r="H347" s="924" t="s">
        <v>483</v>
      </c>
      <c r="I347" s="942" t="s">
        <v>484</v>
      </c>
      <c r="J347" s="924">
        <v>180</v>
      </c>
      <c r="K347" s="924">
        <v>0</v>
      </c>
      <c r="L347" s="924">
        <v>12</v>
      </c>
      <c r="M347" s="943">
        <f t="shared" si="172"/>
        <v>15</v>
      </c>
      <c r="N347" s="944">
        <v>45833</v>
      </c>
      <c r="O347" s="945">
        <v>45829</v>
      </c>
      <c r="P347" s="946" t="s">
        <v>3966</v>
      </c>
      <c r="Q347" s="963"/>
      <c r="R347" s="963"/>
      <c r="S347" s="946" t="s">
        <v>734</v>
      </c>
      <c r="T347" s="964"/>
      <c r="U347" s="964" t="s">
        <v>58</v>
      </c>
      <c r="V347" s="965" t="s">
        <v>735</v>
      </c>
      <c r="W347" s="966" t="s">
        <v>736</v>
      </c>
      <c r="X347" s="924" t="s">
        <v>737</v>
      </c>
      <c r="Y347" s="985">
        <v>14.7487</v>
      </c>
      <c r="Z347" s="986">
        <f>Y347*M347</f>
        <v>221.2305</v>
      </c>
      <c r="AA347" s="987"/>
      <c r="AB347" s="942"/>
      <c r="AC347" s="942"/>
      <c r="AD347" s="987"/>
      <c r="AE347" s="988"/>
      <c r="AF347" s="987"/>
      <c r="AG347" s="924"/>
      <c r="AH347" s="924">
        <f>J347/3</f>
        <v>60</v>
      </c>
      <c r="AI347" s="1002">
        <f>J347/3</f>
        <v>60</v>
      </c>
      <c r="AJ347" s="1003">
        <f>J347/3</f>
        <v>60</v>
      </c>
      <c r="AK347" s="1004"/>
      <c r="AL347" s="1004">
        <f>J347</f>
        <v>180</v>
      </c>
      <c r="AM347" s="1004"/>
      <c r="AN347" s="1005"/>
      <c r="AO347" s="1005"/>
      <c r="AP347" s="1023"/>
      <c r="AQ347" s="1024"/>
      <c r="AR347" s="1002"/>
      <c r="AS347" s="1024"/>
      <c r="AT347" s="1025"/>
      <c r="AU347" s="1026"/>
      <c r="AV347" s="1027"/>
      <c r="AW347" s="1027">
        <f>J347/3</f>
        <v>60</v>
      </c>
      <c r="AX347" s="1027">
        <f>J347/3</f>
        <v>60</v>
      </c>
      <c r="AY347" s="1027">
        <f>J347/3</f>
        <v>60</v>
      </c>
      <c r="AZ347" s="1027"/>
      <c r="BA347" s="1027"/>
      <c r="BB347" s="1027"/>
      <c r="BC347" s="1027"/>
      <c r="BD347" s="1027">
        <f>SUM(AH347:AJ347)</f>
        <v>180</v>
      </c>
      <c r="BE347" s="1027">
        <f>BD347-J347</f>
        <v>0</v>
      </c>
      <c r="BF347" s="1027"/>
      <c r="BG347" s="1027"/>
      <c r="BH347" s="1027"/>
      <c r="BI347" s="1027"/>
      <c r="BJ347" s="1027"/>
      <c r="BK347" s="1027"/>
      <c r="BL347" s="1027"/>
      <c r="BM347" s="1027"/>
      <c r="BN347" s="1027"/>
      <c r="BO347" s="1027"/>
      <c r="BP347" s="1027"/>
      <c r="BQ347" s="1027"/>
      <c r="BR347" s="1027"/>
      <c r="BS347" s="1027"/>
      <c r="BT347" s="1027"/>
      <c r="BU347" s="1027"/>
      <c r="BV347" s="1027"/>
      <c r="BW347" s="1027"/>
      <c r="BX347" s="1027"/>
      <c r="BY347" s="1027"/>
      <c r="BZ347" s="1027"/>
      <c r="CA347" s="1027"/>
      <c r="CB347" s="1027"/>
      <c r="CC347" s="1027"/>
      <c r="CD347" s="1027"/>
      <c r="CE347" s="1027"/>
      <c r="CF347" s="1027"/>
      <c r="CG347" s="1027"/>
      <c r="CH347" s="1027"/>
      <c r="CI347" s="1027"/>
      <c r="CJ347" s="1027"/>
      <c r="CK347" s="1027"/>
      <c r="CL347" s="1027"/>
      <c r="CM347" s="1027"/>
      <c r="CN347" s="1027"/>
      <c r="CO347" s="1027"/>
      <c r="CP347" s="1027"/>
      <c r="CQ347" s="1027"/>
      <c r="CR347" s="1027"/>
      <c r="CS347" s="1027"/>
      <c r="CT347" s="1027"/>
      <c r="CU347" s="1027"/>
      <c r="CV347" s="1027"/>
      <c r="CW347" s="1027"/>
      <c r="CX347" s="1027"/>
      <c r="CY347" s="1027"/>
      <c r="CZ347" s="1027"/>
      <c r="DA347" s="1027"/>
      <c r="DB347" s="1027"/>
      <c r="DC347" s="1027"/>
      <c r="DD347" s="1027"/>
      <c r="DE347" s="1027"/>
      <c r="DF347" s="1027"/>
      <c r="DG347" s="1027"/>
      <c r="DH347" s="1027"/>
      <c r="DI347" s="1027"/>
      <c r="DJ347" s="1027"/>
      <c r="DK347" s="1027"/>
      <c r="DL347" s="1027"/>
      <c r="DM347" s="1027"/>
      <c r="DN347" s="1027"/>
      <c r="DO347" s="1027"/>
      <c r="DP347" s="1027"/>
      <c r="DQ347" s="1027"/>
      <c r="DR347" s="1027"/>
      <c r="DS347" s="1027"/>
      <c r="DT347" s="1027"/>
      <c r="DU347" s="1027"/>
      <c r="DV347" s="1027"/>
      <c r="DW347" s="1049"/>
      <c r="DX347" s="1049"/>
      <c r="DY347" s="1049"/>
      <c r="DZ347" s="1049"/>
      <c r="EA347" s="1049"/>
      <c r="EB347" s="1049"/>
      <c r="EC347" s="1049"/>
      <c r="ED347" s="1049"/>
      <c r="EE347" s="1049"/>
      <c r="EF347" s="1049"/>
      <c r="EG347" s="1049"/>
      <c r="EH347" s="1049"/>
      <c r="EI347" s="1049"/>
      <c r="EJ347" s="1049"/>
      <c r="EK347" s="1049"/>
      <c r="EL347" s="1049"/>
      <c r="EM347" s="1049"/>
      <c r="EN347" s="1049"/>
      <c r="EO347" s="1049"/>
      <c r="EP347" s="1049"/>
      <c r="EQ347" s="1049"/>
      <c r="ER347" s="1049"/>
      <c r="ES347" s="1049"/>
      <c r="ET347" s="1049"/>
      <c r="EU347" s="1049"/>
      <c r="EV347" s="1049"/>
      <c r="EW347" s="1049"/>
      <c r="EX347" s="1049"/>
      <c r="EY347" s="1049"/>
      <c r="EZ347" s="1049"/>
      <c r="FA347" s="1049"/>
      <c r="FB347" s="1049"/>
      <c r="FC347" s="1049"/>
      <c r="FD347" s="1049"/>
      <c r="FE347" s="1049"/>
      <c r="FF347" s="1049"/>
      <c r="FG347" s="1049"/>
      <c r="FH347" s="1049"/>
      <c r="FI347" s="1049"/>
      <c r="FJ347" s="1049"/>
      <c r="FK347" s="1049"/>
      <c r="FL347" s="1049"/>
      <c r="FM347" s="1049"/>
      <c r="FN347" s="1049"/>
      <c r="FO347" s="1049"/>
      <c r="FP347" s="1049"/>
      <c r="FQ347" s="1049"/>
      <c r="FR347" s="1049"/>
      <c r="FS347" s="1049"/>
      <c r="FT347" s="1049"/>
      <c r="FU347" s="1049"/>
      <c r="FV347" s="1049"/>
      <c r="FW347" s="1049"/>
      <c r="FX347" s="1049"/>
      <c r="FY347" s="1049"/>
      <c r="FZ347" s="1049"/>
    </row>
    <row r="348" s="701" customFormat="1" ht="31" customHeight="1" spans="1:63">
      <c r="A348" s="925">
        <v>45763</v>
      </c>
      <c r="B348" s="926" t="s">
        <v>1486</v>
      </c>
      <c r="C348" s="927" t="s">
        <v>398</v>
      </c>
      <c r="D348" s="926">
        <v>4500163897</v>
      </c>
      <c r="E348" s="928" t="s">
        <v>3967</v>
      </c>
      <c r="F348" s="926" t="s">
        <v>3968</v>
      </c>
      <c r="G348" s="929" t="s">
        <v>2390</v>
      </c>
      <c r="H348" s="929" t="s">
        <v>2390</v>
      </c>
      <c r="I348" s="947" t="s">
        <v>2063</v>
      </c>
      <c r="J348" s="948">
        <v>24</v>
      </c>
      <c r="K348" s="949">
        <v>0</v>
      </c>
      <c r="L348" s="949">
        <v>24</v>
      </c>
      <c r="M348" s="950">
        <f t="shared" si="172"/>
        <v>1</v>
      </c>
      <c r="N348" s="951">
        <v>45803</v>
      </c>
      <c r="O348" s="951">
        <v>45799</v>
      </c>
      <c r="P348" s="952"/>
      <c r="Q348" s="967"/>
      <c r="R348" s="968"/>
      <c r="S348" s="969">
        <v>45766</v>
      </c>
      <c r="T348" s="970" t="s">
        <v>2112</v>
      </c>
      <c r="U348" s="971" t="s">
        <v>3969</v>
      </c>
      <c r="V348" s="972" t="s">
        <v>3970</v>
      </c>
      <c r="W348" s="973" t="s">
        <v>3971</v>
      </c>
      <c r="X348" s="974" t="s">
        <v>1592</v>
      </c>
      <c r="Y348" s="989">
        <v>2.8755</v>
      </c>
      <c r="Z348" s="990">
        <f>Y348*J348</f>
        <v>69.012</v>
      </c>
      <c r="AA348" s="991"/>
      <c r="AB348" s="969"/>
      <c r="AC348" s="969"/>
      <c r="AD348" s="992"/>
      <c r="AE348" s="993"/>
      <c r="AF348" s="994"/>
      <c r="AG348" s="1006"/>
      <c r="AH348" s="1007"/>
      <c r="AI348" s="1007">
        <f t="shared" si="198"/>
        <v>24</v>
      </c>
      <c r="AJ348" s="1007"/>
      <c r="AK348" s="1008"/>
      <c r="AL348" s="1009"/>
      <c r="AM348" s="1009"/>
      <c r="AN348" s="1010"/>
      <c r="AO348" s="1010"/>
      <c r="AP348" s="1010"/>
      <c r="AQ348" s="1010"/>
      <c r="AR348" s="1028">
        <f>J348</f>
        <v>24</v>
      </c>
      <c r="AS348" s="1029"/>
      <c r="AT348" s="1030"/>
      <c r="AU348" s="1031"/>
      <c r="AV348" s="1031"/>
      <c r="AW348" s="1036"/>
      <c r="AX348" s="1031"/>
      <c r="AY348" s="1010"/>
      <c r="AZ348" s="1010"/>
      <c r="BA348" s="1028"/>
      <c r="BB348" s="1028"/>
      <c r="BC348" s="1037"/>
      <c r="BD348" s="1036"/>
      <c r="BE348" s="1044"/>
      <c r="BF348" s="1044">
        <f>J348</f>
        <v>24</v>
      </c>
      <c r="BG348" s="1045"/>
      <c r="BH348" s="1046"/>
      <c r="BI348" s="1047"/>
      <c r="BJ348" s="1048"/>
      <c r="BK348" s="1048"/>
    </row>
    <row r="349" s="701" customFormat="1" ht="31" customHeight="1" spans="1:63">
      <c r="A349" s="925">
        <v>45763</v>
      </c>
      <c r="B349" s="926" t="s">
        <v>1486</v>
      </c>
      <c r="C349" s="927" t="s">
        <v>398</v>
      </c>
      <c r="D349" s="926">
        <v>4500163897</v>
      </c>
      <c r="E349" s="928" t="s">
        <v>3972</v>
      </c>
      <c r="F349" s="926" t="s">
        <v>3973</v>
      </c>
      <c r="G349" s="929" t="s">
        <v>2390</v>
      </c>
      <c r="H349" s="929" t="s">
        <v>2390</v>
      </c>
      <c r="I349" s="947" t="s">
        <v>2063</v>
      </c>
      <c r="J349" s="948">
        <v>24</v>
      </c>
      <c r="K349" s="949">
        <v>0</v>
      </c>
      <c r="L349" s="949">
        <v>24</v>
      </c>
      <c r="M349" s="950">
        <f t="shared" si="172"/>
        <v>1</v>
      </c>
      <c r="N349" s="951">
        <v>45803</v>
      </c>
      <c r="O349" s="951">
        <v>45799</v>
      </c>
      <c r="P349" s="952"/>
      <c r="Q349" s="967"/>
      <c r="R349" s="968"/>
      <c r="S349" s="969">
        <v>45766</v>
      </c>
      <c r="T349" s="970" t="s">
        <v>2112</v>
      </c>
      <c r="U349" s="971" t="s">
        <v>3969</v>
      </c>
      <c r="V349" s="972" t="s">
        <v>3970</v>
      </c>
      <c r="W349" s="973" t="s">
        <v>3971</v>
      </c>
      <c r="X349" s="974" t="s">
        <v>1592</v>
      </c>
      <c r="Y349" s="989">
        <v>2.8755</v>
      </c>
      <c r="Z349" s="990">
        <f>Y349*J349</f>
        <v>69.012</v>
      </c>
      <c r="AA349" s="991"/>
      <c r="AB349" s="969"/>
      <c r="AC349" s="969"/>
      <c r="AD349" s="992"/>
      <c r="AE349" s="993"/>
      <c r="AF349" s="994"/>
      <c r="AG349" s="1006"/>
      <c r="AH349" s="1007"/>
      <c r="AI349" s="1007">
        <f t="shared" si="198"/>
        <v>24</v>
      </c>
      <c r="AJ349" s="1007"/>
      <c r="AK349" s="1008"/>
      <c r="AL349" s="1009"/>
      <c r="AM349" s="1009"/>
      <c r="AN349" s="1010"/>
      <c r="AO349" s="1010"/>
      <c r="AP349" s="1010"/>
      <c r="AQ349" s="1010"/>
      <c r="AR349" s="1028">
        <f>J349</f>
        <v>24</v>
      </c>
      <c r="AS349" s="1029"/>
      <c r="AT349" s="1030"/>
      <c r="AU349" s="1031"/>
      <c r="AV349" s="1031"/>
      <c r="AW349" s="1036"/>
      <c r="AX349" s="1031"/>
      <c r="AY349" s="1010"/>
      <c r="AZ349" s="1010"/>
      <c r="BA349" s="1028"/>
      <c r="BB349" s="1028"/>
      <c r="BC349" s="1037"/>
      <c r="BD349" s="1036"/>
      <c r="BE349" s="1044"/>
      <c r="BF349" s="1044">
        <f>J349</f>
        <v>24</v>
      </c>
      <c r="BG349" s="1045"/>
      <c r="BH349" s="1046"/>
      <c r="BI349" s="1047"/>
      <c r="BJ349" s="1048"/>
      <c r="BK349" s="1048"/>
    </row>
  </sheetData>
  <autoFilter xmlns:etc="http://www.wps.cn/officeDocument/2017/etCustomData" ref="A3:IV349" etc:filterBottomFollowUsedRange="0">
    <extLst/>
  </autoFilter>
  <mergeCells count="140">
    <mergeCell ref="A1:AF1"/>
    <mergeCell ref="A2:C2"/>
    <mergeCell ref="O20:P20"/>
    <mergeCell ref="O21:P21"/>
    <mergeCell ref="O22:P22"/>
    <mergeCell ref="O23:P23"/>
    <mergeCell ref="O24:P24"/>
    <mergeCell ref="O25:P25"/>
    <mergeCell ref="O73:P73"/>
    <mergeCell ref="O271:O272"/>
    <mergeCell ref="O273:O274"/>
    <mergeCell ref="O275:O276"/>
    <mergeCell ref="O277:O278"/>
    <mergeCell ref="O279:O280"/>
    <mergeCell ref="O281:O282"/>
    <mergeCell ref="O283:O284"/>
    <mergeCell ref="O285:O286"/>
    <mergeCell ref="P95:P96"/>
    <mergeCell ref="P265:P266"/>
    <mergeCell ref="P267:P268"/>
    <mergeCell ref="P273:P274"/>
    <mergeCell ref="P275:P276"/>
    <mergeCell ref="P277:P278"/>
    <mergeCell ref="P279:P280"/>
    <mergeCell ref="P281:P282"/>
    <mergeCell ref="P283:P284"/>
    <mergeCell ref="P285:P286"/>
    <mergeCell ref="P318:P319"/>
    <mergeCell ref="P320:P321"/>
    <mergeCell ref="P322:P323"/>
    <mergeCell ref="Q251:Q253"/>
    <mergeCell ref="Q254:Q262"/>
    <mergeCell ref="R265:R266"/>
    <mergeCell ref="R267:R268"/>
    <mergeCell ref="R271:R272"/>
    <mergeCell ref="R273:R274"/>
    <mergeCell ref="R275:R276"/>
    <mergeCell ref="R277:R278"/>
    <mergeCell ref="R279:R280"/>
    <mergeCell ref="R281:R282"/>
    <mergeCell ref="R283:R284"/>
    <mergeCell ref="R285:R286"/>
    <mergeCell ref="S318:S319"/>
    <mergeCell ref="S320:S321"/>
    <mergeCell ref="S322:S323"/>
    <mergeCell ref="T265:T266"/>
    <mergeCell ref="T267:T268"/>
    <mergeCell ref="T271:T272"/>
    <mergeCell ref="T273:T274"/>
    <mergeCell ref="T275:T276"/>
    <mergeCell ref="T277:T278"/>
    <mergeCell ref="T279:T280"/>
    <mergeCell ref="T281:T282"/>
    <mergeCell ref="T283:T284"/>
    <mergeCell ref="T285:T286"/>
    <mergeCell ref="U135:U137"/>
    <mergeCell ref="U138:U140"/>
    <mergeCell ref="U141:U143"/>
    <mergeCell ref="U144:U146"/>
    <mergeCell ref="U147:U149"/>
    <mergeCell ref="U150:U152"/>
    <mergeCell ref="U153:U155"/>
    <mergeCell ref="U156:U158"/>
    <mergeCell ref="U170:U171"/>
    <mergeCell ref="U172:U173"/>
    <mergeCell ref="U174:U175"/>
    <mergeCell ref="U176:U177"/>
    <mergeCell ref="U178:U179"/>
    <mergeCell ref="U180:U181"/>
    <mergeCell ref="U182:U183"/>
    <mergeCell ref="U184:U185"/>
    <mergeCell ref="U186:U187"/>
    <mergeCell ref="U188:U189"/>
    <mergeCell ref="U190:U191"/>
    <mergeCell ref="U192:U193"/>
    <mergeCell ref="U194:U195"/>
    <mergeCell ref="U196:U197"/>
    <mergeCell ref="U198:U199"/>
    <mergeCell ref="U200:U201"/>
    <mergeCell ref="U202:U203"/>
    <mergeCell ref="U271:U272"/>
    <mergeCell ref="U273:U274"/>
    <mergeCell ref="U275:U276"/>
    <mergeCell ref="U277:U278"/>
    <mergeCell ref="U279:U280"/>
    <mergeCell ref="U281:U282"/>
    <mergeCell ref="U318:U319"/>
    <mergeCell ref="U320:U321"/>
    <mergeCell ref="U322:U323"/>
    <mergeCell ref="V265:V266"/>
    <mergeCell ref="V267:V268"/>
    <mergeCell ref="V271:V272"/>
    <mergeCell ref="V273:V274"/>
    <mergeCell ref="V275:V276"/>
    <mergeCell ref="V277:V278"/>
    <mergeCell ref="V279:V280"/>
    <mergeCell ref="V281:V282"/>
    <mergeCell ref="V283:V284"/>
    <mergeCell ref="V285:V286"/>
    <mergeCell ref="V318:V319"/>
    <mergeCell ref="V320:V321"/>
    <mergeCell ref="V322:V323"/>
    <mergeCell ref="W318:W319"/>
    <mergeCell ref="W320:W321"/>
    <mergeCell ref="W322:W323"/>
    <mergeCell ref="AC271:AC272"/>
    <mergeCell ref="AC273:AC274"/>
    <mergeCell ref="AC275:AC276"/>
    <mergeCell ref="AC277:AC278"/>
    <mergeCell ref="AC279:AC280"/>
    <mergeCell ref="AC281:AC282"/>
    <mergeCell ref="AC283:AC284"/>
    <mergeCell ref="AC285:AC286"/>
    <mergeCell ref="AD271:AD272"/>
    <mergeCell ref="AD273:AD274"/>
    <mergeCell ref="AD275:AD276"/>
    <mergeCell ref="AD277:AD278"/>
    <mergeCell ref="AD279:AD280"/>
    <mergeCell ref="AD281:AD282"/>
    <mergeCell ref="AD283:AD284"/>
    <mergeCell ref="AD285:AD286"/>
    <mergeCell ref="AE265:AE266"/>
    <mergeCell ref="AE267:AE268"/>
    <mergeCell ref="AE271:AE272"/>
    <mergeCell ref="AE273:AE274"/>
    <mergeCell ref="AE275:AE276"/>
    <mergeCell ref="AE277:AE278"/>
    <mergeCell ref="AE279:AE280"/>
    <mergeCell ref="AE281:AE282"/>
    <mergeCell ref="AE283:AE284"/>
    <mergeCell ref="AE285:AE286"/>
    <mergeCell ref="AF318:AF319"/>
    <mergeCell ref="AF320:AF321"/>
    <mergeCell ref="AF322:AF323"/>
    <mergeCell ref="AK95:AK96"/>
    <mergeCell ref="AM6:AM8"/>
    <mergeCell ref="AM88:AM89"/>
    <mergeCell ref="AM91:AM92"/>
    <mergeCell ref="AM93:AM94"/>
    <mergeCell ref="O26:P28"/>
  </mergeCells>
  <conditionalFormatting sqref="T166">
    <cfRule type="containsText" dxfId="0" priority="203" operator="between" text="欠">
      <formula>NOT(ISERROR(SEARCH("欠",T166)))</formula>
    </cfRule>
  </conditionalFormatting>
  <conditionalFormatting sqref="T167">
    <cfRule type="containsText" dxfId="0" priority="202" operator="between" text="欠">
      <formula>NOT(ISERROR(SEARCH("欠",T167)))</formula>
    </cfRule>
  </conditionalFormatting>
  <conditionalFormatting sqref="T210">
    <cfRule type="containsText" dxfId="0" priority="201" operator="between" text="欠">
      <formula>NOT(ISERROR(SEARCH("欠",T210)))</formula>
    </cfRule>
  </conditionalFormatting>
  <conditionalFormatting sqref="T221">
    <cfRule type="containsText" dxfId="0" priority="196" operator="between" text="欠">
      <formula>NOT(ISERROR(SEARCH("欠",T221)))</formula>
    </cfRule>
  </conditionalFormatting>
  <conditionalFormatting sqref="U253">
    <cfRule type="containsText" dxfId="0" priority="184" operator="between" text="欠">
      <formula>NOT(ISERROR(SEARCH("欠",U253)))</formula>
    </cfRule>
  </conditionalFormatting>
  <conditionalFormatting sqref="U261">
    <cfRule type="containsText" dxfId="0" priority="180" operator="between" text="欠">
      <formula>NOT(ISERROR(SEARCH("欠",U261)))</formula>
    </cfRule>
  </conditionalFormatting>
  <conditionalFormatting sqref="U262">
    <cfRule type="containsText" dxfId="0" priority="179" operator="between" text="欠">
      <formula>NOT(ISERROR(SEARCH("欠",U262)))</formula>
    </cfRule>
  </conditionalFormatting>
  <conditionalFormatting sqref="U271">
    <cfRule type="containsText" dxfId="0" priority="171" operator="between" text="欠">
      <formula>NOT(ISERROR(SEARCH("欠",U271)))</formula>
    </cfRule>
  </conditionalFormatting>
  <conditionalFormatting sqref="U293">
    <cfRule type="containsText" dxfId="0" priority="167" operator="between" text="欠">
      <formula>NOT(ISERROR(SEARCH("欠",U293)))</formula>
    </cfRule>
  </conditionalFormatting>
  <conditionalFormatting sqref="T294">
    <cfRule type="containsText" dxfId="0" priority="152" operator="between" text="欠">
      <formula>NOT(ISERROR(SEARCH("欠",T294)))</formula>
    </cfRule>
  </conditionalFormatting>
  <conditionalFormatting sqref="T295">
    <cfRule type="containsText" dxfId="0" priority="151" operator="between" text="欠">
      <formula>NOT(ISERROR(SEARCH("欠",T295)))</formula>
    </cfRule>
  </conditionalFormatting>
  <conditionalFormatting sqref="T296">
    <cfRule type="containsText" dxfId="0" priority="150" operator="between" text="欠">
      <formula>NOT(ISERROR(SEARCH("欠",T296)))</formula>
    </cfRule>
  </conditionalFormatting>
  <conditionalFormatting sqref="T297">
    <cfRule type="containsText" dxfId="0" priority="149" operator="between" text="欠">
      <formula>NOT(ISERROR(SEARCH("欠",T297)))</formula>
    </cfRule>
  </conditionalFormatting>
  <conditionalFormatting sqref="T298">
    <cfRule type="containsText" dxfId="0" priority="148" operator="between" text="欠">
      <formula>NOT(ISERROR(SEARCH("欠",T298)))</formula>
    </cfRule>
  </conditionalFormatting>
  <conditionalFormatting sqref="T299">
    <cfRule type="containsText" dxfId="0" priority="147" operator="between" text="欠">
      <formula>NOT(ISERROR(SEARCH("欠",T299)))</formula>
    </cfRule>
  </conditionalFormatting>
  <conditionalFormatting sqref="T300">
    <cfRule type="containsText" dxfId="0" priority="146" operator="between" text="欠">
      <formula>NOT(ISERROR(SEARCH("欠",T300)))</formula>
    </cfRule>
  </conditionalFormatting>
  <conditionalFormatting sqref="T301">
    <cfRule type="containsText" dxfId="0" priority="145" operator="between" text="欠">
      <formula>NOT(ISERROR(SEARCH("欠",T301)))</formula>
    </cfRule>
  </conditionalFormatting>
  <conditionalFormatting sqref="T302">
    <cfRule type="containsText" dxfId="0" priority="144" operator="between" text="欠">
      <formula>NOT(ISERROR(SEARCH("欠",T302)))</formula>
    </cfRule>
  </conditionalFormatting>
  <conditionalFormatting sqref="T303">
    <cfRule type="containsText" dxfId="0" priority="143" operator="between" text="欠">
      <formula>NOT(ISERROR(SEARCH("欠",T303)))</formula>
    </cfRule>
  </conditionalFormatting>
  <conditionalFormatting sqref="T304">
    <cfRule type="containsText" dxfId="0" priority="142" operator="between" text="欠">
      <formula>NOT(ISERROR(SEARCH("欠",T304)))</formula>
    </cfRule>
  </conditionalFormatting>
  <conditionalFormatting sqref="T305">
    <cfRule type="containsText" dxfId="0" priority="141" operator="between" text="欠">
      <formula>NOT(ISERROR(SEARCH("欠",T305)))</formula>
    </cfRule>
  </conditionalFormatting>
  <conditionalFormatting sqref="V318">
    <cfRule type="containsText" dxfId="0" priority="140" operator="between" text="欠">
      <formula>NOT(ISERROR(SEARCH("欠",V318)))</formula>
    </cfRule>
    <cfRule type="containsText" dxfId="1" priority="138" operator="between" text="欠">
      <formula>NOT(ISERROR(SEARCH("欠",V318)))</formula>
    </cfRule>
  </conditionalFormatting>
  <conditionalFormatting sqref="S324">
    <cfRule type="containsText" dxfId="0" priority="128" operator="between" text="欠">
      <formula>NOT(ISERROR(SEARCH("欠",S324)))</formula>
    </cfRule>
  </conditionalFormatting>
  <conditionalFormatting sqref="T324">
    <cfRule type="containsText" dxfId="0" priority="126" operator="between" text="欠">
      <formula>NOT(ISERROR(SEARCH("欠",T324)))</formula>
    </cfRule>
  </conditionalFormatting>
  <conditionalFormatting sqref="U324">
    <cfRule type="containsText" dxfId="0" priority="125" operator="between" text="欠">
      <formula>NOT(ISERROR(SEARCH("欠",U324)))</formula>
    </cfRule>
  </conditionalFormatting>
  <conditionalFormatting sqref="V324">
    <cfRule type="containsText" dxfId="0" priority="122" operator="between" text="欠">
      <formula>NOT(ISERROR(SEARCH("欠",V324)))</formula>
    </cfRule>
  </conditionalFormatting>
  <conditionalFormatting sqref="S325">
    <cfRule type="containsText" dxfId="0" priority="118" operator="between" text="欠">
      <formula>NOT(ISERROR(SEARCH("欠",S325)))</formula>
    </cfRule>
  </conditionalFormatting>
  <conditionalFormatting sqref="U325">
    <cfRule type="containsText" dxfId="0" priority="117" operator="between" text="欠">
      <formula>NOT(ISERROR(SEARCH("欠",U325)))</formula>
    </cfRule>
  </conditionalFormatting>
  <conditionalFormatting sqref="V325">
    <cfRule type="containsText" dxfId="0" priority="119" operator="between" text="欠">
      <formula>NOT(ISERROR(SEARCH("欠",V325)))</formula>
    </cfRule>
  </conditionalFormatting>
  <conditionalFormatting sqref="S329">
    <cfRule type="containsText" dxfId="0" priority="80" operator="between" text="欠">
      <formula>NOT(ISERROR(SEARCH("欠",S329)))</formula>
    </cfRule>
  </conditionalFormatting>
  <conditionalFormatting sqref="U329">
    <cfRule type="containsText" dxfId="0" priority="79" operator="between" text="欠">
      <formula>NOT(ISERROR(SEARCH("欠",U329)))</formula>
    </cfRule>
  </conditionalFormatting>
  <conditionalFormatting sqref="V329">
    <cfRule type="containsText" dxfId="0" priority="84" operator="between" text="欠">
      <formula>NOT(ISERROR(SEARCH("欠",V329)))</formula>
    </cfRule>
    <cfRule type="containsText" dxfId="1" priority="82" operator="between" text="欠">
      <formula>NOT(ISERROR(SEARCH("欠",V329)))</formula>
    </cfRule>
    <cfRule type="containsText" dxfId="0" priority="81" operator="between" text="欠">
      <formula>NOT(ISERROR(SEARCH("欠",V329)))</formula>
    </cfRule>
  </conditionalFormatting>
  <conditionalFormatting sqref="S330">
    <cfRule type="containsText" dxfId="0" priority="71" operator="between" text="欠">
      <formula>NOT(ISERROR(SEARCH("欠",S330)))</formula>
    </cfRule>
  </conditionalFormatting>
  <conditionalFormatting sqref="U330">
    <cfRule type="containsText" dxfId="0" priority="70" operator="between" text="欠">
      <formula>NOT(ISERROR(SEARCH("欠",U330)))</formula>
    </cfRule>
  </conditionalFormatting>
  <conditionalFormatting sqref="V330">
    <cfRule type="containsText" dxfId="0" priority="75" operator="between" text="欠">
      <formula>NOT(ISERROR(SEARCH("欠",V330)))</formula>
    </cfRule>
    <cfRule type="containsText" dxfId="1" priority="73" operator="between" text="欠">
      <formula>NOT(ISERROR(SEARCH("欠",V330)))</formula>
    </cfRule>
    <cfRule type="containsText" dxfId="0" priority="72" operator="between" text="欠">
      <formula>NOT(ISERROR(SEARCH("欠",V330)))</formula>
    </cfRule>
  </conditionalFormatting>
  <conditionalFormatting sqref="S331">
    <cfRule type="containsText" dxfId="0" priority="66" operator="between" text="欠">
      <formula>NOT(ISERROR(SEARCH("欠",S331)))</formula>
    </cfRule>
  </conditionalFormatting>
  <conditionalFormatting sqref="U331">
    <cfRule type="containsText" dxfId="0" priority="65" operator="between" text="欠">
      <formula>NOT(ISERROR(SEARCH("欠",U331)))</formula>
    </cfRule>
  </conditionalFormatting>
  <conditionalFormatting sqref="V331">
    <cfRule type="containsText" dxfId="0" priority="61" operator="between" text="欠">
      <formula>NOT(ISERROR(SEARCH("欠",V331)))</formula>
    </cfRule>
    <cfRule type="containsText" dxfId="1" priority="59" operator="between" text="欠">
      <formula>NOT(ISERROR(SEARCH("欠",V331)))</formula>
    </cfRule>
    <cfRule type="containsText" dxfId="0" priority="58" operator="between" text="欠">
      <formula>NOT(ISERROR(SEARCH("欠",V331)))</formula>
    </cfRule>
  </conditionalFormatting>
  <conditionalFormatting sqref="S337">
    <cfRule type="containsText" dxfId="0" priority="45" operator="between" text="欠">
      <formula>NOT(ISERROR(SEARCH("欠",S337)))</formula>
    </cfRule>
  </conditionalFormatting>
  <conditionalFormatting sqref="U337">
    <cfRule type="containsText" dxfId="0" priority="46" operator="between" text="欠">
      <formula>NOT(ISERROR(SEARCH("欠",U337)))</formula>
    </cfRule>
  </conditionalFormatting>
  <conditionalFormatting sqref="V337">
    <cfRule type="containsText" dxfId="0" priority="49" operator="between" text="欠">
      <formula>NOT(ISERROR(SEARCH("欠",V337)))</formula>
    </cfRule>
  </conditionalFormatting>
  <conditionalFormatting sqref="T339">
    <cfRule type="containsText" dxfId="0" priority="43" operator="between" text="欠">
      <formula>NOT(ISERROR(SEARCH("欠",T339)))</formula>
    </cfRule>
  </conditionalFormatting>
  <conditionalFormatting sqref="S342">
    <cfRule type="containsText" dxfId="0" priority="31" operator="between" text="欠">
      <formula>NOT(ISERROR(SEARCH("欠",S342)))</formula>
    </cfRule>
  </conditionalFormatting>
  <conditionalFormatting sqref="T342">
    <cfRule type="containsText" dxfId="0" priority="27" operator="between" text="欠">
      <formula>NOT(ISERROR(SEARCH("欠",T342)))</formula>
    </cfRule>
  </conditionalFormatting>
  <conditionalFormatting sqref="U342">
    <cfRule type="containsText" dxfId="0" priority="29" operator="between" text="欠">
      <formula>NOT(ISERROR(SEARCH("欠",U342)))</formula>
    </cfRule>
  </conditionalFormatting>
  <conditionalFormatting sqref="V342">
    <cfRule type="containsText" dxfId="0" priority="33" operator="between" text="欠">
      <formula>NOT(ISERROR(SEARCH("欠",V342)))</formula>
    </cfRule>
  </conditionalFormatting>
  <conditionalFormatting sqref="S343">
    <cfRule type="containsText" dxfId="0" priority="30" operator="between" text="欠">
      <formula>NOT(ISERROR(SEARCH("欠",S343)))</formula>
    </cfRule>
  </conditionalFormatting>
  <conditionalFormatting sqref="T343">
    <cfRule type="containsText" dxfId="0" priority="26" operator="between" text="欠">
      <formula>NOT(ISERROR(SEARCH("欠",T343)))</formula>
    </cfRule>
  </conditionalFormatting>
  <conditionalFormatting sqref="U343">
    <cfRule type="containsText" dxfId="0" priority="28" operator="between" text="欠">
      <formula>NOT(ISERROR(SEARCH("欠",U343)))</formula>
    </cfRule>
  </conditionalFormatting>
  <conditionalFormatting sqref="V343">
    <cfRule type="containsText" dxfId="0" priority="32" operator="between" text="欠">
      <formula>NOT(ISERROR(SEARCH("欠",V343)))</formula>
    </cfRule>
  </conditionalFormatting>
  <conditionalFormatting sqref="S344">
    <cfRule type="containsText" dxfId="0" priority="23" operator="between" text="欠">
      <formula>NOT(ISERROR(SEARCH("欠",S344)))</formula>
    </cfRule>
  </conditionalFormatting>
  <conditionalFormatting sqref="T344">
    <cfRule type="containsText" dxfId="0" priority="21" operator="between" text="欠">
      <formula>NOT(ISERROR(SEARCH("欠",T344)))</formula>
    </cfRule>
  </conditionalFormatting>
  <conditionalFormatting sqref="U344">
    <cfRule type="containsText" dxfId="0" priority="22" operator="between" text="欠">
      <formula>NOT(ISERROR(SEARCH("欠",U344)))</formula>
    </cfRule>
  </conditionalFormatting>
  <conditionalFormatting sqref="V344">
    <cfRule type="containsText" dxfId="0" priority="24" operator="between" text="欠">
      <formula>NOT(ISERROR(SEARCH("欠",V344)))</formula>
    </cfRule>
  </conditionalFormatting>
  <conditionalFormatting sqref="P345">
    <cfRule type="containsText" dxfId="0" priority="14" operator="between" text="欠">
      <formula>NOT(ISERROR(SEARCH("欠",P345)))</formula>
    </cfRule>
  </conditionalFormatting>
  <conditionalFormatting sqref="T345">
    <cfRule type="containsText" dxfId="0" priority="15" operator="between" text="欠">
      <formula>NOT(ISERROR(SEARCH("欠",T345)))</formula>
    </cfRule>
  </conditionalFormatting>
  <conditionalFormatting sqref="P346">
    <cfRule type="containsText" dxfId="0" priority="11" operator="between" text="欠">
      <formula>NOT(ISERROR(SEARCH("欠",P346)))</formula>
    </cfRule>
  </conditionalFormatting>
  <conditionalFormatting sqref="T346">
    <cfRule type="containsText" dxfId="0" priority="12" operator="between" text="欠">
      <formula>NOT(ISERROR(SEARCH("欠",T346)))</formula>
    </cfRule>
  </conditionalFormatting>
  <conditionalFormatting sqref="P347">
    <cfRule type="containsText" dxfId="0" priority="5" operator="between" text="欠">
      <formula>NOT(ISERROR(SEARCH("欠",P347)))</formula>
    </cfRule>
  </conditionalFormatting>
  <conditionalFormatting sqref="T347">
    <cfRule type="containsText" dxfId="0" priority="6" operator="between" text="欠">
      <formula>NOT(ISERROR(SEARCH("欠",T347)))</formula>
    </cfRule>
  </conditionalFormatting>
  <conditionalFormatting sqref="S318:S319">
    <cfRule type="containsText" dxfId="0" priority="136" operator="between" text="欠">
      <formula>NOT(ISERROR(SEARCH("欠",S318)))</formula>
    </cfRule>
  </conditionalFormatting>
  <conditionalFormatting sqref="S320:S323">
    <cfRule type="containsText" dxfId="0" priority="130" operator="between" text="欠">
      <formula>NOT(ISERROR(SEARCH("欠",S320)))</formula>
    </cfRule>
  </conditionalFormatting>
  <conditionalFormatting sqref="S327:S328">
    <cfRule type="containsText" dxfId="0" priority="115" operator="between" text="欠">
      <formula>NOT(ISERROR(SEARCH("欠",S327)))</formula>
    </cfRule>
  </conditionalFormatting>
  <conditionalFormatting sqref="S332:S333">
    <cfRule type="containsText" dxfId="0" priority="55" operator="between" text="欠">
      <formula>NOT(ISERROR(SEARCH("欠",S332)))</formula>
    </cfRule>
  </conditionalFormatting>
  <conditionalFormatting sqref="S334:S336">
    <cfRule type="containsText" dxfId="0" priority="51" operator="between" text="欠">
      <formula>NOT(ISERROR(SEARCH("欠",S334)))</formula>
    </cfRule>
  </conditionalFormatting>
  <conditionalFormatting sqref="S338:S339">
    <cfRule type="containsText" dxfId="0" priority="42" operator="between" text="欠">
      <formula>NOT(ISERROR(SEARCH("欠",S338)))</formula>
    </cfRule>
  </conditionalFormatting>
  <conditionalFormatting sqref="S340:S341">
    <cfRule type="containsText" dxfId="0" priority="40" operator="between" text="欠">
      <formula>NOT(ISERROR(SEARCH("欠",S340)))</formula>
    </cfRule>
  </conditionalFormatting>
  <conditionalFormatting sqref="S348:S349">
    <cfRule type="containsText" dxfId="0" priority="2" operator="between" text="欠">
      <formula>NOT(ISERROR(SEARCH("欠",S348)))</formula>
    </cfRule>
  </conditionalFormatting>
  <conditionalFormatting sqref="T211:T214">
    <cfRule type="containsText" dxfId="0" priority="200" operator="between" text="欠">
      <formula>NOT(ISERROR(SEARCH("欠",T211)))</formula>
    </cfRule>
  </conditionalFormatting>
  <conditionalFormatting sqref="T217:T220">
    <cfRule type="containsText" dxfId="0" priority="198" operator="between" text="欠">
      <formula>NOT(ISERROR(SEARCH("欠",T217)))</formula>
    </cfRule>
  </conditionalFormatting>
  <conditionalFormatting sqref="T340:T341">
    <cfRule type="containsText" dxfId="0" priority="38" operator="between" text="欠">
      <formula>NOT(ISERROR(SEARCH("欠",T340)))</formula>
    </cfRule>
  </conditionalFormatting>
  <conditionalFormatting sqref="T348:T349">
    <cfRule type="containsText" dxfId="0" priority="3" operator="between" text="欠">
      <formula>NOT(ISERROR(SEARCH("欠",T348)))</formula>
    </cfRule>
  </conditionalFormatting>
  <conditionalFormatting sqref="U223:U224">
    <cfRule type="containsText" dxfId="0" priority="195" operator="between" text="欠">
      <formula>NOT(ISERROR(SEARCH("欠",U223)))</formula>
    </cfRule>
  </conditionalFormatting>
  <conditionalFormatting sqref="U242:U246">
    <cfRule type="containsText" dxfId="0" priority="190" operator="between" text="欠">
      <formula>NOT(ISERROR(SEARCH("欠",U242)))</formula>
    </cfRule>
  </conditionalFormatting>
  <conditionalFormatting sqref="U243:U246">
    <cfRule type="containsText" dxfId="0" priority="191" operator="between" text="欠">
      <formula>NOT(ISERROR(SEARCH("欠",U243)))</formula>
    </cfRule>
  </conditionalFormatting>
  <conditionalFormatting sqref="U247:U248">
    <cfRule type="containsText" dxfId="0" priority="177" operator="between" text="欠">
      <formula>NOT(ISERROR(SEARCH("欠",U247)))</formula>
    </cfRule>
  </conditionalFormatting>
  <conditionalFormatting sqref="U249:U260">
    <cfRule type="containsText" dxfId="0" priority="183" operator="between" text="欠">
      <formula>NOT(ISERROR(SEARCH("欠",U249)))</formula>
    </cfRule>
  </conditionalFormatting>
  <conditionalFormatting sqref="U263:U264">
    <cfRule type="containsText" dxfId="0" priority="175" operator="between" text="欠">
      <formula>NOT(ISERROR(SEARCH("欠",U263)))</formula>
    </cfRule>
  </conditionalFormatting>
  <conditionalFormatting sqref="U265:U268">
    <cfRule type="containsText" dxfId="0" priority="173" operator="between" text="欠">
      <formula>NOT(ISERROR(SEARCH("欠",U265)))</formula>
    </cfRule>
  </conditionalFormatting>
  <conditionalFormatting sqref="U269:U292">
    <cfRule type="containsText" dxfId="0" priority="169" operator="between" text="欠">
      <formula>NOT(ISERROR(SEARCH("欠",U269)))</formula>
    </cfRule>
  </conditionalFormatting>
  <conditionalFormatting sqref="U306:U308">
    <cfRule type="containsText" dxfId="0" priority="165" operator="between" text="欠">
      <formula>NOT(ISERROR(SEARCH("欠",U306)))</formula>
    </cfRule>
  </conditionalFormatting>
  <conditionalFormatting sqref="U318:U319">
    <cfRule type="containsText" dxfId="0" priority="135" operator="between" text="欠">
      <formula>NOT(ISERROR(SEARCH("欠",U318)))</formula>
    </cfRule>
  </conditionalFormatting>
  <conditionalFormatting sqref="U320:U323">
    <cfRule type="containsText" dxfId="0" priority="129" operator="between" text="欠">
      <formula>NOT(ISERROR(SEARCH("欠",U320)))</formula>
    </cfRule>
  </conditionalFormatting>
  <conditionalFormatting sqref="U327:U328">
    <cfRule type="containsText" dxfId="0" priority="114" operator="between" text="欠">
      <formula>NOT(ISERROR(SEARCH("欠",U327)))</formula>
    </cfRule>
  </conditionalFormatting>
  <conditionalFormatting sqref="U332:U333">
    <cfRule type="containsText" dxfId="0" priority="54" operator="between" text="欠">
      <formula>NOT(ISERROR(SEARCH("欠",U332)))</formula>
    </cfRule>
  </conditionalFormatting>
  <conditionalFormatting sqref="U332:U336">
    <cfRule type="containsText" dxfId="0" priority="53" operator="between" text="欠">
      <formula>NOT(ISERROR(SEARCH("欠",U332)))</formula>
    </cfRule>
  </conditionalFormatting>
  <conditionalFormatting sqref="U334:U336">
    <cfRule type="containsText" dxfId="0" priority="56" operator="between" text="欠">
      <formula>NOT(ISERROR(SEARCH("欠",U334)))</formula>
    </cfRule>
  </conditionalFormatting>
  <conditionalFormatting sqref="U340:U341">
    <cfRule type="containsText" dxfId="0" priority="39" operator="between" text="欠">
      <formula>NOT(ISERROR(SEARCH("欠",U340)))</formula>
    </cfRule>
  </conditionalFormatting>
  <conditionalFormatting sqref="U348:U349">
    <cfRule type="containsText" dxfId="0" priority="1" operator="between" text="欠">
      <formula>NOT(ISERROR(SEARCH("欠",U348)))</formula>
    </cfRule>
  </conditionalFormatting>
  <conditionalFormatting sqref="V318:V319">
    <cfRule type="containsText" dxfId="0" priority="137" operator="between" text="欠">
      <formula>NOT(ISERROR(SEARCH("欠",V318)))</formula>
    </cfRule>
  </conditionalFormatting>
  <conditionalFormatting sqref="V320:V323">
    <cfRule type="containsText" dxfId="0" priority="131" operator="between" text="欠">
      <formula>NOT(ISERROR(SEARCH("欠",V320)))</formula>
    </cfRule>
  </conditionalFormatting>
  <conditionalFormatting sqref="V327:V328">
    <cfRule type="containsText" dxfId="0" priority="116" operator="between" text="欠">
      <formula>NOT(ISERROR(SEARCH("欠",V327)))</formula>
    </cfRule>
  </conditionalFormatting>
  <conditionalFormatting sqref="V332:V336">
    <cfRule type="containsText" dxfId="0" priority="57" operator="between" text="欠">
      <formula>NOT(ISERROR(SEARCH("欠",V332)))</formula>
    </cfRule>
  </conditionalFormatting>
  <conditionalFormatting sqref="V340:V341">
    <cfRule type="containsText" dxfId="0" priority="41" operator="between" text="欠">
      <formula>NOT(ISERROR(SEARCH("欠",V340)))</formula>
    </cfRule>
  </conditionalFormatting>
  <conditionalFormatting sqref="V348:V349">
    <cfRule type="containsText" dxfId="0" priority="4" operator="between" text="欠">
      <formula>NOT(ISERROR(SEARCH("欠",V348)))</formula>
    </cfRule>
  </conditionalFormatting>
  <conditionalFormatting sqref="U222 U225:U235">
    <cfRule type="containsText" dxfId="0" priority="192" operator="between" text="欠">
      <formula>NOT(ISERROR(SEARCH("欠",U222)))</formula>
    </cfRule>
  </conditionalFormatting>
  <conditionalFormatting sqref="U223:U224 U236:U237">
    <cfRule type="containsText" dxfId="0" priority="194" operator="between" text="欠">
      <formula>NOT(ISERROR(SEARCH("欠",U223)))</formula>
    </cfRule>
  </conditionalFormatting>
  <conditionalFormatting sqref="U238 U240">
    <cfRule type="containsText" dxfId="0" priority="188" operator="between" text="欠">
      <formula>NOT(ISERROR(SEARCH("欠",U238)))</formula>
    </cfRule>
  </conditionalFormatting>
  <conditionalFormatting sqref="U239 U241">
    <cfRule type="containsText" dxfId="0" priority="186" operator="between" text="欠">
      <formula>NOT(ISERROR(SEARCH("欠",U239)))</formula>
    </cfRule>
  </conditionalFormatting>
  <conditionalFormatting sqref="U254:U260 U249:U252">
    <cfRule type="containsText" dxfId="0" priority="185" operator="between" text="欠">
      <formula>NOT(ISERROR(SEARCH("欠",U249)))</formula>
    </cfRule>
  </conditionalFormatting>
  <conditionalFormatting sqref="U273 U281 U279 U277 U275">
    <cfRule type="containsText" dxfId="0" priority="170" operator="between" text="欠">
      <formula>NOT(ISERROR(SEARCH("欠",U273)))</formula>
    </cfRule>
  </conditionalFormatting>
  <conditionalFormatting sqref="U283:U286 U288:U292">
    <cfRule type="containsText" dxfId="0" priority="172" operator="between" text="欠">
      <formula>NOT(ISERROR(SEARCH("欠",U283)))</formula>
    </cfRule>
  </conditionalFormatting>
  <conditionalFormatting sqref="V322 V320">
    <cfRule type="containsText" dxfId="0" priority="134" operator="between" text="欠">
      <formula>NOT(ISERROR(SEARCH("欠",V320)))</formula>
    </cfRule>
    <cfRule type="containsText" dxfId="1" priority="132" operator="between" text="欠">
      <formula>NOT(ISERROR(SEARCH("欠",V320)))</formula>
    </cfRule>
  </conditionalFormatting>
  <conditionalFormatting sqref="T338:U338 U339">
    <cfRule type="containsText" dxfId="0" priority="44" operator="between" text="欠">
      <formula>NOT(ISERROR(SEARCH("欠",T338)))</formula>
    </cfRule>
  </conditionalFormatting>
  <conditionalFormatting sqref="U345 S345">
    <cfRule type="containsText" dxfId="0" priority="16" operator="between" text="欠">
      <formula>NOT(ISERROR(SEARCH("欠",S345)))</formula>
    </cfRule>
  </conditionalFormatting>
  <conditionalFormatting sqref="U346 S346">
    <cfRule type="containsText" dxfId="0" priority="13" operator="between" text="欠">
      <formula>NOT(ISERROR(SEARCH("欠",S346)))</formula>
    </cfRule>
  </conditionalFormatting>
  <conditionalFormatting sqref="U347 S347">
    <cfRule type="containsText" dxfId="0" priority="7" operator="between" text="欠">
      <formula>NOT(ISERROR(SEARCH("欠",S347)))</formula>
    </cfRule>
  </conditionalFormatting>
  <pageMargins left="0" right="0.08" top="0.39" bottom="0.51" header="0.5" footer="0.5"/>
  <pageSetup paperSize="9" scale="70" orientation="landscape"/>
  <headerFooter alignWithMargins="0" scaleWithDoc="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BU817"/>
  <sheetViews>
    <sheetView zoomScale="70" zoomScaleNormal="70" workbookViewId="0">
      <pane xSplit="3" ySplit="5" topLeftCell="P784" activePane="bottomRight" state="frozen"/>
      <selection/>
      <selection pane="topRight"/>
      <selection pane="bottomLeft"/>
      <selection pane="bottomRight" activeCell="AK800" sqref="AK800"/>
    </sheetView>
  </sheetViews>
  <sheetFormatPr defaultColWidth="9" defaultRowHeight="12.75"/>
  <cols>
    <col min="1" max="1" width="16.625" style="441" customWidth="1"/>
    <col min="2" max="2" width="14" style="441" customWidth="1"/>
    <col min="3" max="3" width="23.5" style="442" customWidth="1"/>
    <col min="4" max="4" width="8.75" style="441" customWidth="1"/>
    <col min="5" max="5" width="9.875" style="441" customWidth="1"/>
    <col min="6" max="14" width="9.75" style="441" hidden="1" customWidth="1"/>
    <col min="15" max="17" width="9.75" style="441" customWidth="1"/>
    <col min="18" max="19" width="9.25" style="441" hidden="1" customWidth="1"/>
    <col min="20" max="20" width="12.425" style="441" customWidth="1"/>
    <col min="21" max="25" width="9.25" style="441" customWidth="1"/>
    <col min="26" max="26" width="14.2833333333333" style="441" customWidth="1"/>
    <col min="27" max="27" width="15.425" style="441" customWidth="1"/>
    <col min="28" max="31" width="8.375" style="441" hidden="1" customWidth="1"/>
    <col min="32" max="32" width="8.375" style="441" customWidth="1"/>
    <col min="33" max="34" width="8.375" style="441" hidden="1" customWidth="1"/>
    <col min="35" max="36" width="6.9" style="441" hidden="1" customWidth="1"/>
    <col min="37" max="37" width="8.13333333333333" style="441" customWidth="1"/>
    <col min="38" max="38" width="7.8" style="441" hidden="1" customWidth="1"/>
    <col min="39" max="40" width="6.9" style="441" hidden="1" customWidth="1"/>
    <col min="41" max="41" width="7.9" style="441" hidden="1" customWidth="1"/>
    <col min="42" max="42" width="6.9" style="441" hidden="1" customWidth="1"/>
    <col min="43" max="43" width="6" style="441" hidden="1" customWidth="1"/>
    <col min="44" max="44" width="6.9" style="441" hidden="1" customWidth="1"/>
    <col min="45" max="45" width="7.8" style="441" hidden="1" customWidth="1"/>
    <col min="46" max="46" width="8.375" style="441" hidden="1" customWidth="1"/>
    <col min="47" max="52" width="8.375" style="441" customWidth="1"/>
    <col min="53" max="53" width="10" style="441" customWidth="1"/>
    <col min="54" max="54" width="8.375" style="441" customWidth="1"/>
    <col min="55" max="58" width="11" style="441" hidden="1" customWidth="1"/>
    <col min="59" max="60" width="14" style="441" customWidth="1"/>
    <col min="61" max="61" width="17.2833333333333" style="441" customWidth="1"/>
    <col min="62" max="70" width="11" style="441" customWidth="1"/>
    <col min="71" max="71" width="9" style="441"/>
    <col min="72" max="72" width="10.6666666666667" style="441"/>
    <col min="73" max="16384" width="9" style="441"/>
  </cols>
  <sheetData>
    <row r="1" ht="30" customHeight="1" spans="1:72">
      <c r="A1" s="443" t="s">
        <v>3974</v>
      </c>
      <c r="B1" s="444"/>
      <c r="C1" s="444"/>
      <c r="D1" s="444"/>
      <c r="E1" s="444"/>
      <c r="F1" s="444"/>
      <c r="G1" s="444"/>
      <c r="H1" s="444"/>
      <c r="I1" s="444"/>
      <c r="J1" s="444"/>
      <c r="K1" s="444"/>
      <c r="L1" s="444"/>
      <c r="M1" s="444"/>
      <c r="N1" s="444"/>
      <c r="O1" s="444"/>
      <c r="P1" s="444"/>
      <c r="Q1" s="444"/>
      <c r="R1" s="444"/>
      <c r="S1" s="444"/>
      <c r="T1" s="444"/>
      <c r="U1" s="444"/>
      <c r="V1" s="444"/>
      <c r="W1" s="444"/>
      <c r="X1" s="444"/>
      <c r="Y1" s="444"/>
      <c r="Z1" s="444"/>
      <c r="AA1" s="444"/>
      <c r="AB1" s="444"/>
      <c r="AC1" s="444"/>
      <c r="AD1" s="444"/>
      <c r="AE1" s="444"/>
      <c r="AF1" s="444"/>
      <c r="AG1" s="444"/>
      <c r="AH1" s="444"/>
      <c r="AI1" s="444"/>
      <c r="AJ1" s="444"/>
      <c r="AK1" s="444"/>
      <c r="AL1" s="444"/>
      <c r="AM1" s="444"/>
      <c r="AN1" s="444"/>
      <c r="AO1" s="444"/>
      <c r="AP1" s="444"/>
      <c r="AQ1" s="444"/>
      <c r="AR1" s="444"/>
      <c r="AS1" s="444"/>
      <c r="AT1" s="444"/>
      <c r="AU1" s="444"/>
      <c r="AV1" s="444"/>
      <c r="AW1" s="444"/>
      <c r="AX1" s="444"/>
      <c r="AY1" s="444"/>
      <c r="AZ1" s="444"/>
      <c r="BA1" s="444"/>
      <c r="BB1" s="444"/>
      <c r="BC1" s="444"/>
      <c r="BD1" s="444"/>
      <c r="BE1" s="444"/>
      <c r="BF1" s="444"/>
      <c r="BG1" s="444"/>
      <c r="BH1" s="444"/>
      <c r="BI1" s="444"/>
      <c r="BJ1" s="444"/>
      <c r="BK1" s="444"/>
      <c r="BL1" s="444"/>
      <c r="BM1" s="444"/>
      <c r="BN1" s="444"/>
      <c r="BO1" s="444"/>
      <c r="BP1" s="444"/>
      <c r="BQ1" s="444"/>
      <c r="BR1" s="444"/>
      <c r="BS1" s="444"/>
      <c r="BT1" s="444"/>
    </row>
    <row r="2" s="435" customFormat="1" ht="19" customHeight="1" spans="1:72">
      <c r="A2" s="445" t="s">
        <v>3975</v>
      </c>
      <c r="B2" s="445" t="s">
        <v>3976</v>
      </c>
      <c r="C2" s="446" t="s">
        <v>3977</v>
      </c>
      <c r="D2" s="445" t="s">
        <v>3978</v>
      </c>
      <c r="E2" s="445" t="s">
        <v>3979</v>
      </c>
      <c r="F2" s="447" t="s">
        <v>3980</v>
      </c>
      <c r="G2" s="447" t="s">
        <v>3981</v>
      </c>
      <c r="H2" s="447" t="s">
        <v>3982</v>
      </c>
      <c r="I2" s="447" t="s">
        <v>3980</v>
      </c>
      <c r="J2" s="447" t="s">
        <v>3981</v>
      </c>
      <c r="K2" s="447" t="s">
        <v>3982</v>
      </c>
      <c r="L2" s="447" t="s">
        <v>3980</v>
      </c>
      <c r="M2" s="447" t="s">
        <v>3981</v>
      </c>
      <c r="N2" s="447" t="s">
        <v>3982</v>
      </c>
      <c r="O2" s="447" t="s">
        <v>3980</v>
      </c>
      <c r="P2" s="447" t="s">
        <v>3981</v>
      </c>
      <c r="Q2" s="447" t="s">
        <v>3982</v>
      </c>
      <c r="R2" s="463" t="s">
        <v>3101</v>
      </c>
      <c r="S2" s="463" t="s">
        <v>3101</v>
      </c>
      <c r="T2" s="463"/>
      <c r="U2" s="464">
        <v>25251</v>
      </c>
      <c r="V2" s="447" t="s">
        <v>3980</v>
      </c>
      <c r="W2" s="447" t="s">
        <v>3981</v>
      </c>
      <c r="X2" s="447" t="s">
        <v>3982</v>
      </c>
      <c r="Y2" s="476"/>
      <c r="Z2" s="477"/>
      <c r="AA2" s="477"/>
      <c r="AB2" s="478" t="s">
        <v>3983</v>
      </c>
      <c r="AC2" s="479"/>
      <c r="AD2" s="479"/>
      <c r="AE2" s="479"/>
      <c r="AF2" s="479"/>
      <c r="AG2" s="479"/>
      <c r="AH2" s="479"/>
      <c r="AI2" s="479"/>
      <c r="AJ2" s="479"/>
      <c r="AK2" s="479"/>
      <c r="AL2" s="479"/>
      <c r="AM2" s="479"/>
      <c r="AN2" s="479"/>
      <c r="AO2" s="479"/>
      <c r="AP2" s="479"/>
      <c r="AQ2" s="479"/>
      <c r="AR2" s="479"/>
      <c r="AS2" s="479"/>
      <c r="AT2" s="479"/>
      <c r="AU2" s="479"/>
      <c r="AV2" s="479"/>
      <c r="AW2" s="479"/>
      <c r="AX2" s="479"/>
      <c r="AY2" s="479"/>
      <c r="AZ2" s="479"/>
      <c r="BA2" s="479"/>
      <c r="BB2" s="495"/>
      <c r="BC2" s="496" t="s">
        <v>3984</v>
      </c>
      <c r="BD2" s="497"/>
      <c r="BE2" s="497"/>
      <c r="BF2" s="504"/>
      <c r="BG2" s="505">
        <v>7163</v>
      </c>
      <c r="BH2" s="506"/>
      <c r="BI2" s="506"/>
      <c r="BJ2" s="506"/>
      <c r="BK2" s="506"/>
      <c r="BL2" s="506"/>
      <c r="BM2" s="513"/>
      <c r="BN2" s="505" t="s">
        <v>1446</v>
      </c>
      <c r="BO2" s="514" t="s">
        <v>1447</v>
      </c>
      <c r="BP2" s="515">
        <v>7166</v>
      </c>
      <c r="BQ2" s="514"/>
      <c r="BR2" s="516"/>
      <c r="BS2" s="517" t="s">
        <v>3985</v>
      </c>
      <c r="BT2" s="518"/>
    </row>
    <row r="3" s="56" customFormat="1" ht="39" customHeight="1" spans="1:72">
      <c r="A3" s="448"/>
      <c r="B3" s="448"/>
      <c r="C3" s="449"/>
      <c r="D3" s="448"/>
      <c r="E3" s="448"/>
      <c r="F3" s="450" t="s">
        <v>3986</v>
      </c>
      <c r="G3" s="450" t="s">
        <v>3987</v>
      </c>
      <c r="H3" s="450" t="s">
        <v>3988</v>
      </c>
      <c r="I3" s="450" t="s">
        <v>3986</v>
      </c>
      <c r="J3" s="450" t="s">
        <v>3987</v>
      </c>
      <c r="K3" s="450" t="s">
        <v>3988</v>
      </c>
      <c r="L3" s="450" t="s">
        <v>3986</v>
      </c>
      <c r="M3" s="450" t="s">
        <v>3987</v>
      </c>
      <c r="N3" s="450" t="s">
        <v>3988</v>
      </c>
      <c r="O3" s="450" t="s">
        <v>3986</v>
      </c>
      <c r="P3" s="450" t="s">
        <v>3987</v>
      </c>
      <c r="Q3" s="450" t="s">
        <v>3988</v>
      </c>
      <c r="R3" s="465" t="s">
        <v>3989</v>
      </c>
      <c r="S3" s="465" t="s">
        <v>3989</v>
      </c>
      <c r="T3" s="466" t="s">
        <v>3989</v>
      </c>
      <c r="U3" s="465" t="s">
        <v>3990</v>
      </c>
      <c r="V3" s="467" t="s">
        <v>3991</v>
      </c>
      <c r="W3" s="468"/>
      <c r="X3" s="469"/>
      <c r="Y3" s="480" t="s">
        <v>3992</v>
      </c>
      <c r="Z3" s="481"/>
      <c r="AA3" s="481"/>
      <c r="AB3" s="482" t="s">
        <v>3993</v>
      </c>
      <c r="AC3" s="483"/>
      <c r="AD3" s="483"/>
      <c r="AE3" s="483"/>
      <c r="AF3" s="483"/>
      <c r="AG3" s="491" t="s">
        <v>3994</v>
      </c>
      <c r="AH3" s="491"/>
      <c r="AI3" s="491"/>
      <c r="AJ3" s="491"/>
      <c r="AK3" s="491"/>
      <c r="AL3" s="483" t="s">
        <v>3995</v>
      </c>
      <c r="AM3" s="483"/>
      <c r="AN3" s="483"/>
      <c r="AO3" s="483"/>
      <c r="AP3" s="483" t="s">
        <v>3996</v>
      </c>
      <c r="AQ3" s="483"/>
      <c r="AR3" s="483"/>
      <c r="AS3" s="493" t="s">
        <v>3997</v>
      </c>
      <c r="AT3" s="493"/>
      <c r="AU3" s="493"/>
      <c r="AV3" s="494" t="s">
        <v>3998</v>
      </c>
      <c r="AW3" s="494" t="s">
        <v>1468</v>
      </c>
      <c r="AX3" s="494" t="s">
        <v>3999</v>
      </c>
      <c r="AY3" s="494" t="s">
        <v>4000</v>
      </c>
      <c r="AZ3" s="494" t="s">
        <v>4001</v>
      </c>
      <c r="BA3" s="494" t="s">
        <v>4002</v>
      </c>
      <c r="BB3" s="498" t="s">
        <v>4003</v>
      </c>
      <c r="BC3" s="499" t="s">
        <v>4004</v>
      </c>
      <c r="BD3" s="465" t="s">
        <v>4005</v>
      </c>
      <c r="BE3" s="465" t="s">
        <v>4006</v>
      </c>
      <c r="BF3" s="507" t="s">
        <v>4007</v>
      </c>
      <c r="BG3" s="508" t="s">
        <v>4008</v>
      </c>
      <c r="BH3" s="509" t="s">
        <v>4009</v>
      </c>
      <c r="BI3" s="508" t="s">
        <v>4010</v>
      </c>
      <c r="BJ3" s="508" t="s">
        <v>4011</v>
      </c>
      <c r="BK3" s="510" t="s">
        <v>1467</v>
      </c>
      <c r="BL3" s="510" t="s">
        <v>1468</v>
      </c>
      <c r="BM3" s="519" t="s">
        <v>4012</v>
      </c>
      <c r="BN3" s="520" t="s">
        <v>1470</v>
      </c>
      <c r="BO3" s="521" t="s">
        <v>1470</v>
      </c>
      <c r="BP3" s="520" t="s">
        <v>4004</v>
      </c>
      <c r="BQ3" s="510" t="s">
        <v>4006</v>
      </c>
      <c r="BR3" s="519" t="s">
        <v>4013</v>
      </c>
      <c r="BS3" s="522" t="s">
        <v>4014</v>
      </c>
      <c r="BT3" s="75" t="s">
        <v>29</v>
      </c>
    </row>
    <row r="4" s="435" customFormat="1" ht="18" customHeight="1" spans="1:72">
      <c r="A4" s="451"/>
      <c r="B4" s="451"/>
      <c r="C4" s="452"/>
      <c r="D4" s="451"/>
      <c r="E4" s="451"/>
      <c r="F4" s="453" t="s">
        <v>4015</v>
      </c>
      <c r="G4" s="453" t="s">
        <v>4016</v>
      </c>
      <c r="H4" s="453" t="s">
        <v>4017</v>
      </c>
      <c r="I4" s="453" t="s">
        <v>4015</v>
      </c>
      <c r="J4" s="453" t="s">
        <v>4016</v>
      </c>
      <c r="K4" s="453" t="s">
        <v>4017</v>
      </c>
      <c r="L4" s="453" t="s">
        <v>4015</v>
      </c>
      <c r="M4" s="453" t="s">
        <v>4016</v>
      </c>
      <c r="N4" s="453" t="s">
        <v>4017</v>
      </c>
      <c r="O4" s="453" t="s">
        <v>4015</v>
      </c>
      <c r="P4" s="453" t="s">
        <v>4016</v>
      </c>
      <c r="Q4" s="453" t="s">
        <v>4017</v>
      </c>
      <c r="R4" s="453"/>
      <c r="S4" s="453"/>
      <c r="T4" s="470"/>
      <c r="U4" s="471" t="s">
        <v>55</v>
      </c>
      <c r="V4" s="472" t="s">
        <v>3109</v>
      </c>
      <c r="W4" s="472" t="s">
        <v>65</v>
      </c>
      <c r="X4" s="472" t="s">
        <v>67</v>
      </c>
      <c r="Y4" s="472" t="s">
        <v>4018</v>
      </c>
      <c r="Z4" s="484"/>
      <c r="AA4" s="484"/>
      <c r="AB4" s="485" t="s">
        <v>2119</v>
      </c>
      <c r="AC4" s="474"/>
      <c r="AD4" s="474"/>
      <c r="AE4" s="474"/>
      <c r="AF4" s="474"/>
      <c r="AG4" s="474"/>
      <c r="AH4" s="474"/>
      <c r="AI4" s="474"/>
      <c r="AJ4" s="474"/>
      <c r="AK4" s="474"/>
      <c r="AL4" s="474"/>
      <c r="AM4" s="474"/>
      <c r="AN4" s="474"/>
      <c r="AO4" s="474"/>
      <c r="AP4" s="474"/>
      <c r="AQ4" s="474"/>
      <c r="AR4" s="474"/>
      <c r="AS4" s="474"/>
      <c r="AT4" s="474"/>
      <c r="AU4" s="474"/>
      <c r="AV4" s="474"/>
      <c r="AW4" s="474"/>
      <c r="AX4" s="474"/>
      <c r="AY4" s="474"/>
      <c r="AZ4" s="474"/>
      <c r="BA4" s="474"/>
      <c r="BB4" s="500"/>
      <c r="BC4" s="501"/>
      <c r="BD4" s="501"/>
      <c r="BE4" s="501"/>
      <c r="BF4" s="511"/>
      <c r="BG4" s="501"/>
      <c r="BH4" s="501"/>
      <c r="BI4" s="501"/>
      <c r="BJ4" s="501"/>
      <c r="BK4" s="501"/>
      <c r="BL4" s="501"/>
      <c r="BM4" s="523"/>
      <c r="BN4" s="485"/>
      <c r="BO4" s="511"/>
      <c r="BP4" s="485"/>
      <c r="BQ4" s="501"/>
      <c r="BR4" s="523"/>
      <c r="BS4" s="524"/>
      <c r="BT4" s="458"/>
    </row>
    <row r="5" s="435" customFormat="1" ht="18" customHeight="1" spans="1:72">
      <c r="A5" s="451"/>
      <c r="B5" s="451"/>
      <c r="C5" s="454"/>
      <c r="D5" s="451"/>
      <c r="E5" s="453"/>
      <c r="F5" s="455" t="s">
        <v>4019</v>
      </c>
      <c r="G5" s="455"/>
      <c r="H5" s="455"/>
      <c r="I5" s="455" t="s">
        <v>4020</v>
      </c>
      <c r="J5" s="455"/>
      <c r="K5" s="455"/>
      <c r="L5" s="455" t="s">
        <v>4021</v>
      </c>
      <c r="M5" s="455"/>
      <c r="N5" s="455"/>
      <c r="O5" s="461" t="s">
        <v>4022</v>
      </c>
      <c r="P5" s="462"/>
      <c r="Q5" s="473"/>
      <c r="R5" s="474" t="s">
        <v>4023</v>
      </c>
      <c r="S5" s="474" t="s">
        <v>4024</v>
      </c>
      <c r="T5" s="475" t="s">
        <v>4025</v>
      </c>
      <c r="U5" s="474"/>
      <c r="V5" s="474"/>
      <c r="W5" s="474"/>
      <c r="X5" s="474"/>
      <c r="Y5" s="474"/>
      <c r="Z5" s="486"/>
      <c r="AA5" s="486"/>
      <c r="AB5" s="485" t="s">
        <v>4026</v>
      </c>
      <c r="AC5" s="487" t="s">
        <v>4023</v>
      </c>
      <c r="AD5" s="487" t="s">
        <v>4024</v>
      </c>
      <c r="AE5" s="487" t="s">
        <v>4025</v>
      </c>
      <c r="AF5" s="488" t="s">
        <v>4027</v>
      </c>
      <c r="AG5" s="474" t="s">
        <v>4026</v>
      </c>
      <c r="AH5" s="487" t="s">
        <v>4023</v>
      </c>
      <c r="AI5" s="487" t="s">
        <v>4024</v>
      </c>
      <c r="AJ5" s="487" t="s">
        <v>4025</v>
      </c>
      <c r="AK5" s="492" t="s">
        <v>4027</v>
      </c>
      <c r="AL5" s="474" t="s">
        <v>4026</v>
      </c>
      <c r="AM5" s="487" t="s">
        <v>4023</v>
      </c>
      <c r="AN5" s="487" t="s">
        <v>4024</v>
      </c>
      <c r="AO5" s="487" t="s">
        <v>4025</v>
      </c>
      <c r="AP5" s="474" t="s">
        <v>4026</v>
      </c>
      <c r="AQ5" s="487" t="s">
        <v>4023</v>
      </c>
      <c r="AR5" s="487" t="s">
        <v>4028</v>
      </c>
      <c r="AS5" s="487" t="s">
        <v>4027</v>
      </c>
      <c r="AT5" s="487" t="s">
        <v>4029</v>
      </c>
      <c r="AU5" s="488" t="s">
        <v>4030</v>
      </c>
      <c r="AV5" s="474" t="s">
        <v>4031</v>
      </c>
      <c r="AW5" s="474"/>
      <c r="AX5" s="474"/>
      <c r="AY5" s="474"/>
      <c r="AZ5" s="474"/>
      <c r="BA5" s="474"/>
      <c r="BB5" s="500"/>
      <c r="BC5" s="501"/>
      <c r="BD5" s="474"/>
      <c r="BE5" s="474"/>
      <c r="BF5" s="512"/>
      <c r="BG5" s="474"/>
      <c r="BH5" s="474"/>
      <c r="BI5" s="474"/>
      <c r="BJ5" s="474"/>
      <c r="BK5" s="474"/>
      <c r="BL5" s="474"/>
      <c r="BM5" s="500"/>
      <c r="BN5" s="485"/>
      <c r="BO5" s="512"/>
      <c r="BP5" s="485"/>
      <c r="BQ5" s="474"/>
      <c r="BR5" s="500"/>
      <c r="BS5" s="524"/>
      <c r="BT5" s="458"/>
    </row>
    <row r="6" s="435" customFormat="1" ht="18" customHeight="1" spans="1:72">
      <c r="A6" s="451" t="s">
        <v>4032</v>
      </c>
      <c r="B6" s="456">
        <v>42691</v>
      </c>
      <c r="C6" s="454">
        <v>1000000430</v>
      </c>
      <c r="D6" s="451"/>
      <c r="E6" s="457"/>
      <c r="F6" s="453">
        <v>10000</v>
      </c>
      <c r="G6" s="453"/>
      <c r="H6" s="453"/>
      <c r="I6" s="453"/>
      <c r="J6" s="453"/>
      <c r="K6" s="453"/>
      <c r="L6" s="453"/>
      <c r="M6" s="453"/>
      <c r="N6" s="453"/>
      <c r="O6" s="453"/>
      <c r="P6" s="453"/>
      <c r="Q6" s="453"/>
      <c r="R6" s="453"/>
      <c r="S6" s="453"/>
      <c r="T6" s="453"/>
      <c r="U6" s="453"/>
      <c r="V6" s="453"/>
      <c r="W6" s="453"/>
      <c r="X6" s="453"/>
      <c r="Y6" s="453"/>
      <c r="Z6" s="489"/>
      <c r="AA6" s="489"/>
      <c r="AB6" s="490"/>
      <c r="AC6" s="453"/>
      <c r="AD6" s="453"/>
      <c r="AE6" s="453"/>
      <c r="AF6" s="453"/>
      <c r="AG6" s="453"/>
      <c r="AH6" s="453"/>
      <c r="AI6" s="453"/>
      <c r="AJ6" s="453"/>
      <c r="AK6" s="453"/>
      <c r="AL6" s="453"/>
      <c r="AM6" s="453"/>
      <c r="AN6" s="453"/>
      <c r="AO6" s="453"/>
      <c r="AP6" s="453"/>
      <c r="AQ6" s="453"/>
      <c r="AR6" s="453"/>
      <c r="AS6" s="453"/>
      <c r="AT6" s="453"/>
      <c r="AU6" s="453"/>
      <c r="AV6" s="453"/>
      <c r="AW6" s="453"/>
      <c r="AX6" s="453"/>
      <c r="AY6" s="453"/>
      <c r="AZ6" s="453"/>
      <c r="BA6" s="453"/>
      <c r="BB6" s="502"/>
      <c r="BC6" s="503"/>
      <c r="BD6" s="453"/>
      <c r="BE6" s="453"/>
      <c r="BF6" s="470"/>
      <c r="BG6" s="453"/>
      <c r="BH6" s="453"/>
      <c r="BI6" s="453"/>
      <c r="BJ6" s="453"/>
      <c r="BK6" s="453"/>
      <c r="BL6" s="453"/>
      <c r="BM6" s="502"/>
      <c r="BN6" s="490"/>
      <c r="BO6" s="470"/>
      <c r="BP6" s="490"/>
      <c r="BQ6" s="453"/>
      <c r="BR6" s="502"/>
      <c r="BS6" s="524"/>
      <c r="BT6" s="458"/>
    </row>
    <row r="7" s="435" customFormat="1" ht="18" customHeight="1" spans="1:72">
      <c r="A7" s="451" t="s">
        <v>4032</v>
      </c>
      <c r="B7" s="456">
        <v>42691</v>
      </c>
      <c r="C7" s="454">
        <v>1000000432</v>
      </c>
      <c r="D7" s="451"/>
      <c r="E7" s="457"/>
      <c r="F7" s="453"/>
      <c r="G7" s="453">
        <v>10000</v>
      </c>
      <c r="H7" s="453"/>
      <c r="I7" s="453"/>
      <c r="J7" s="453"/>
      <c r="K7" s="453"/>
      <c r="L7" s="453"/>
      <c r="M7" s="453"/>
      <c r="N7" s="453"/>
      <c r="O7" s="453"/>
      <c r="P7" s="453"/>
      <c r="Q7" s="453"/>
      <c r="R7" s="453"/>
      <c r="S7" s="453"/>
      <c r="T7" s="453"/>
      <c r="U7" s="453"/>
      <c r="V7" s="453"/>
      <c r="W7" s="453"/>
      <c r="X7" s="453"/>
      <c r="Y7" s="453"/>
      <c r="Z7" s="489"/>
      <c r="AA7" s="489"/>
      <c r="AB7" s="490"/>
      <c r="AC7" s="453"/>
      <c r="AD7" s="453"/>
      <c r="AE7" s="453"/>
      <c r="AF7" s="453"/>
      <c r="AG7" s="453"/>
      <c r="AH7" s="453"/>
      <c r="AI7" s="453"/>
      <c r="AJ7" s="453"/>
      <c r="AK7" s="453"/>
      <c r="AL7" s="453"/>
      <c r="AM7" s="453"/>
      <c r="AN7" s="453"/>
      <c r="AO7" s="453"/>
      <c r="AP7" s="453"/>
      <c r="AQ7" s="453"/>
      <c r="AR7" s="453"/>
      <c r="AS7" s="453"/>
      <c r="AT7" s="453"/>
      <c r="AU7" s="453"/>
      <c r="AV7" s="453"/>
      <c r="AW7" s="453"/>
      <c r="AX7" s="453"/>
      <c r="AY7" s="453"/>
      <c r="AZ7" s="453"/>
      <c r="BA7" s="453"/>
      <c r="BB7" s="502"/>
      <c r="BC7" s="503"/>
      <c r="BD7" s="453"/>
      <c r="BE7" s="453"/>
      <c r="BF7" s="470"/>
      <c r="BG7" s="453"/>
      <c r="BH7" s="453"/>
      <c r="BI7" s="453"/>
      <c r="BJ7" s="453"/>
      <c r="BK7" s="453"/>
      <c r="BL7" s="453"/>
      <c r="BM7" s="502"/>
      <c r="BN7" s="490"/>
      <c r="BO7" s="470"/>
      <c r="BP7" s="490"/>
      <c r="BQ7" s="453"/>
      <c r="BR7" s="502"/>
      <c r="BS7" s="524"/>
      <c r="BT7" s="458"/>
    </row>
    <row r="8" s="435" customFormat="1" ht="18" customHeight="1" spans="1:72">
      <c r="A8" s="451" t="s">
        <v>4032</v>
      </c>
      <c r="B8" s="456">
        <v>42691</v>
      </c>
      <c r="C8" s="454">
        <v>1000000434</v>
      </c>
      <c r="D8" s="451"/>
      <c r="E8" s="457"/>
      <c r="F8" s="453"/>
      <c r="G8" s="453"/>
      <c r="H8" s="453">
        <v>10000</v>
      </c>
      <c r="I8" s="453"/>
      <c r="J8" s="453"/>
      <c r="K8" s="453"/>
      <c r="L8" s="453"/>
      <c r="M8" s="453"/>
      <c r="N8" s="453"/>
      <c r="O8" s="453"/>
      <c r="P8" s="453"/>
      <c r="Q8" s="453"/>
      <c r="R8" s="453"/>
      <c r="S8" s="453"/>
      <c r="T8" s="453"/>
      <c r="U8" s="453"/>
      <c r="V8" s="453"/>
      <c r="W8" s="453"/>
      <c r="X8" s="453"/>
      <c r="Y8" s="453"/>
      <c r="Z8" s="489"/>
      <c r="AA8" s="489"/>
      <c r="AB8" s="490"/>
      <c r="AC8" s="453"/>
      <c r="AD8" s="453"/>
      <c r="AE8" s="453"/>
      <c r="AF8" s="453"/>
      <c r="AG8" s="453"/>
      <c r="AH8" s="453"/>
      <c r="AI8" s="453"/>
      <c r="AJ8" s="453"/>
      <c r="AK8" s="453"/>
      <c r="AL8" s="453"/>
      <c r="AM8" s="453"/>
      <c r="AN8" s="453"/>
      <c r="AO8" s="453"/>
      <c r="AP8" s="453"/>
      <c r="AQ8" s="453"/>
      <c r="AR8" s="453"/>
      <c r="AS8" s="453"/>
      <c r="AT8" s="453"/>
      <c r="AU8" s="453"/>
      <c r="AV8" s="453"/>
      <c r="AW8" s="453"/>
      <c r="AX8" s="453"/>
      <c r="AY8" s="453"/>
      <c r="AZ8" s="453"/>
      <c r="BA8" s="453"/>
      <c r="BB8" s="502"/>
      <c r="BC8" s="503"/>
      <c r="BD8" s="453"/>
      <c r="BE8" s="453"/>
      <c r="BF8" s="470"/>
      <c r="BG8" s="453"/>
      <c r="BH8" s="453"/>
      <c r="BI8" s="453"/>
      <c r="BJ8" s="453"/>
      <c r="BK8" s="453"/>
      <c r="BL8" s="453"/>
      <c r="BM8" s="502"/>
      <c r="BN8" s="490"/>
      <c r="BO8" s="470"/>
      <c r="BP8" s="490"/>
      <c r="BQ8" s="453"/>
      <c r="BR8" s="502"/>
      <c r="BS8" s="524"/>
      <c r="BT8" s="458"/>
    </row>
    <row r="9" s="435" customFormat="1" ht="18" customHeight="1" spans="1:72">
      <c r="A9" s="451" t="s">
        <v>4032</v>
      </c>
      <c r="B9" s="456">
        <v>42691</v>
      </c>
      <c r="C9" s="454">
        <v>1000000454</v>
      </c>
      <c r="D9" s="451"/>
      <c r="E9" s="457"/>
      <c r="F9" s="453"/>
      <c r="G9" s="453"/>
      <c r="H9" s="453"/>
      <c r="I9" s="453"/>
      <c r="J9" s="453"/>
      <c r="K9" s="453"/>
      <c r="L9" s="453"/>
      <c r="M9" s="453"/>
      <c r="N9" s="453"/>
      <c r="O9" s="453"/>
      <c r="P9" s="453"/>
      <c r="Q9" s="453"/>
      <c r="R9" s="453">
        <v>30000</v>
      </c>
      <c r="S9" s="453"/>
      <c r="T9" s="453"/>
      <c r="U9" s="453"/>
      <c r="V9" s="453"/>
      <c r="W9" s="453"/>
      <c r="X9" s="453"/>
      <c r="Y9" s="453"/>
      <c r="Z9" s="489"/>
      <c r="AA9" s="489"/>
      <c r="AB9" s="490"/>
      <c r="AC9" s="453"/>
      <c r="AD9" s="453"/>
      <c r="AE9" s="453"/>
      <c r="AF9" s="453"/>
      <c r="AG9" s="453"/>
      <c r="AH9" s="453"/>
      <c r="AI9" s="453"/>
      <c r="AJ9" s="453"/>
      <c r="AK9" s="453"/>
      <c r="AL9" s="453"/>
      <c r="AM9" s="453"/>
      <c r="AN9" s="453"/>
      <c r="AO9" s="453"/>
      <c r="AP9" s="453"/>
      <c r="AQ9" s="453"/>
      <c r="AR9" s="453"/>
      <c r="AS9" s="453"/>
      <c r="AT9" s="453"/>
      <c r="AU9" s="453"/>
      <c r="AV9" s="453"/>
      <c r="AW9" s="453"/>
      <c r="AX9" s="453"/>
      <c r="AY9" s="453"/>
      <c r="AZ9" s="453"/>
      <c r="BA9" s="453"/>
      <c r="BB9" s="502"/>
      <c r="BC9" s="503"/>
      <c r="BD9" s="453"/>
      <c r="BE9" s="453"/>
      <c r="BF9" s="470"/>
      <c r="BG9" s="453"/>
      <c r="BH9" s="453"/>
      <c r="BI9" s="453"/>
      <c r="BJ9" s="453"/>
      <c r="BK9" s="453"/>
      <c r="BL9" s="453"/>
      <c r="BM9" s="502"/>
      <c r="BN9" s="490"/>
      <c r="BO9" s="470"/>
      <c r="BP9" s="490"/>
      <c r="BQ9" s="453"/>
      <c r="BR9" s="502"/>
      <c r="BS9" s="524"/>
      <c r="BT9" s="458"/>
    </row>
    <row r="10" s="435" customFormat="1" ht="18" customHeight="1" spans="1:72">
      <c r="A10" s="451" t="s">
        <v>4032</v>
      </c>
      <c r="B10" s="456">
        <v>42943</v>
      </c>
      <c r="C10" s="454">
        <v>1000001114</v>
      </c>
      <c r="D10" s="451"/>
      <c r="E10" s="457"/>
      <c r="F10" s="453">
        <v>5000</v>
      </c>
      <c r="G10" s="453"/>
      <c r="H10" s="453"/>
      <c r="I10" s="453"/>
      <c r="J10" s="453"/>
      <c r="K10" s="453"/>
      <c r="L10" s="453"/>
      <c r="M10" s="453"/>
      <c r="N10" s="453"/>
      <c r="O10" s="453"/>
      <c r="P10" s="453"/>
      <c r="Q10" s="453"/>
      <c r="R10" s="453"/>
      <c r="S10" s="453"/>
      <c r="T10" s="453"/>
      <c r="U10" s="453"/>
      <c r="V10" s="453"/>
      <c r="W10" s="453"/>
      <c r="X10" s="453"/>
      <c r="Y10" s="453"/>
      <c r="Z10" s="489"/>
      <c r="AA10" s="489"/>
      <c r="AB10" s="490"/>
      <c r="AC10" s="453"/>
      <c r="AD10" s="453"/>
      <c r="AE10" s="453"/>
      <c r="AF10" s="453"/>
      <c r="AG10" s="453"/>
      <c r="AH10" s="453"/>
      <c r="AI10" s="453"/>
      <c r="AJ10" s="453"/>
      <c r="AK10" s="453"/>
      <c r="AL10" s="453"/>
      <c r="AM10" s="453"/>
      <c r="AN10" s="453"/>
      <c r="AO10" s="453"/>
      <c r="AP10" s="453"/>
      <c r="AQ10" s="453"/>
      <c r="AR10" s="453"/>
      <c r="AS10" s="453"/>
      <c r="AT10" s="453"/>
      <c r="AU10" s="453"/>
      <c r="AV10" s="453"/>
      <c r="AW10" s="453"/>
      <c r="AX10" s="453"/>
      <c r="AY10" s="453"/>
      <c r="AZ10" s="453"/>
      <c r="BA10" s="453"/>
      <c r="BB10" s="502"/>
      <c r="BC10" s="503"/>
      <c r="BD10" s="453"/>
      <c r="BE10" s="453"/>
      <c r="BF10" s="470"/>
      <c r="BG10" s="453"/>
      <c r="BH10" s="453"/>
      <c r="BI10" s="453"/>
      <c r="BJ10" s="453"/>
      <c r="BK10" s="453"/>
      <c r="BL10" s="453"/>
      <c r="BM10" s="502"/>
      <c r="BN10" s="490"/>
      <c r="BO10" s="470"/>
      <c r="BP10" s="490"/>
      <c r="BQ10" s="453"/>
      <c r="BR10" s="502"/>
      <c r="BS10" s="524"/>
      <c r="BT10" s="458"/>
    </row>
    <row r="11" s="435" customFormat="1" ht="18" customHeight="1" spans="1:72">
      <c r="A11" s="451" t="s">
        <v>4032</v>
      </c>
      <c r="B11" s="456">
        <v>42943</v>
      </c>
      <c r="C11" s="454">
        <v>1000001115</v>
      </c>
      <c r="D11" s="451"/>
      <c r="E11" s="457"/>
      <c r="F11" s="453"/>
      <c r="G11" s="453"/>
      <c r="H11" s="453">
        <v>5000</v>
      </c>
      <c r="I11" s="453"/>
      <c r="J11" s="453"/>
      <c r="K11" s="453"/>
      <c r="L11" s="453"/>
      <c r="M11" s="453"/>
      <c r="N11" s="453"/>
      <c r="O11" s="453"/>
      <c r="P11" s="453"/>
      <c r="Q11" s="453"/>
      <c r="R11" s="453"/>
      <c r="S11" s="453"/>
      <c r="T11" s="453"/>
      <c r="U11" s="453"/>
      <c r="V11" s="453"/>
      <c r="W11" s="453"/>
      <c r="X11" s="453"/>
      <c r="Y11" s="453"/>
      <c r="Z11" s="489"/>
      <c r="AA11" s="489"/>
      <c r="AB11" s="490"/>
      <c r="AC11" s="453"/>
      <c r="AD11" s="453"/>
      <c r="AE11" s="453"/>
      <c r="AF11" s="453"/>
      <c r="AG11" s="453"/>
      <c r="AH11" s="453"/>
      <c r="AI11" s="453"/>
      <c r="AJ11" s="453"/>
      <c r="AK11" s="453"/>
      <c r="AL11" s="453"/>
      <c r="AM11" s="453"/>
      <c r="AN11" s="453"/>
      <c r="AO11" s="453"/>
      <c r="AP11" s="453"/>
      <c r="AQ11" s="453"/>
      <c r="AR11" s="453"/>
      <c r="AS11" s="453"/>
      <c r="AT11" s="453"/>
      <c r="AU11" s="453"/>
      <c r="AV11" s="453"/>
      <c r="AW11" s="453"/>
      <c r="AX11" s="453"/>
      <c r="AY11" s="453"/>
      <c r="AZ11" s="453"/>
      <c r="BA11" s="453"/>
      <c r="BB11" s="502"/>
      <c r="BC11" s="503"/>
      <c r="BD11" s="453"/>
      <c r="BE11" s="453"/>
      <c r="BF11" s="470"/>
      <c r="BG11" s="453"/>
      <c r="BH11" s="453"/>
      <c r="BI11" s="453"/>
      <c r="BJ11" s="453"/>
      <c r="BK11" s="453"/>
      <c r="BL11" s="453"/>
      <c r="BM11" s="502"/>
      <c r="BN11" s="490"/>
      <c r="BO11" s="470"/>
      <c r="BP11" s="490"/>
      <c r="BQ11" s="453"/>
      <c r="BR11" s="502"/>
      <c r="BS11" s="524"/>
      <c r="BT11" s="458"/>
    </row>
    <row r="12" s="435" customFormat="1" ht="18" customHeight="1" spans="1:72">
      <c r="A12" s="451" t="s">
        <v>4032</v>
      </c>
      <c r="B12" s="456">
        <v>42943</v>
      </c>
      <c r="C12" s="454">
        <v>1000001116</v>
      </c>
      <c r="D12" s="451"/>
      <c r="E12" s="457"/>
      <c r="F12" s="453"/>
      <c r="G12" s="453"/>
      <c r="H12" s="453"/>
      <c r="I12" s="453"/>
      <c r="J12" s="453"/>
      <c r="K12" s="453"/>
      <c r="L12" s="453"/>
      <c r="M12" s="453"/>
      <c r="N12" s="453"/>
      <c r="O12" s="453"/>
      <c r="P12" s="453"/>
      <c r="Q12" s="453"/>
      <c r="R12" s="453">
        <v>10000</v>
      </c>
      <c r="S12" s="453"/>
      <c r="T12" s="453"/>
      <c r="U12" s="453"/>
      <c r="V12" s="453"/>
      <c r="W12" s="453"/>
      <c r="X12" s="453"/>
      <c r="Y12" s="453"/>
      <c r="Z12" s="489"/>
      <c r="AA12" s="489"/>
      <c r="AB12" s="490"/>
      <c r="AC12" s="453"/>
      <c r="AD12" s="453"/>
      <c r="AE12" s="453"/>
      <c r="AF12" s="453"/>
      <c r="AG12" s="453"/>
      <c r="AH12" s="453"/>
      <c r="AI12" s="453"/>
      <c r="AJ12" s="453"/>
      <c r="AK12" s="453"/>
      <c r="AL12" s="453"/>
      <c r="AM12" s="453"/>
      <c r="AN12" s="453"/>
      <c r="AO12" s="453"/>
      <c r="AP12" s="453"/>
      <c r="AQ12" s="453"/>
      <c r="AR12" s="453"/>
      <c r="AS12" s="453"/>
      <c r="AT12" s="453"/>
      <c r="AU12" s="453"/>
      <c r="AV12" s="453"/>
      <c r="AW12" s="453"/>
      <c r="AX12" s="453"/>
      <c r="AY12" s="453"/>
      <c r="AZ12" s="453"/>
      <c r="BA12" s="453"/>
      <c r="BB12" s="502"/>
      <c r="BC12" s="503"/>
      <c r="BD12" s="453"/>
      <c r="BE12" s="453"/>
      <c r="BF12" s="470"/>
      <c r="BG12" s="453"/>
      <c r="BH12" s="453"/>
      <c r="BI12" s="453"/>
      <c r="BJ12" s="453"/>
      <c r="BK12" s="453"/>
      <c r="BL12" s="453"/>
      <c r="BM12" s="502"/>
      <c r="BN12" s="490"/>
      <c r="BO12" s="470"/>
      <c r="BP12" s="490"/>
      <c r="BQ12" s="453"/>
      <c r="BR12" s="502"/>
      <c r="BS12" s="524"/>
      <c r="BT12" s="458"/>
    </row>
    <row r="13" s="435" customFormat="1" ht="18" customHeight="1" spans="1:72">
      <c r="A13" s="451" t="s">
        <v>4032</v>
      </c>
      <c r="B13" s="456">
        <v>42958</v>
      </c>
      <c r="C13" s="454">
        <v>1000001165</v>
      </c>
      <c r="D13" s="451"/>
      <c r="E13" s="457"/>
      <c r="F13" s="453">
        <v>5000</v>
      </c>
      <c r="G13" s="453"/>
      <c r="H13" s="453"/>
      <c r="I13" s="453"/>
      <c r="J13" s="453"/>
      <c r="K13" s="453"/>
      <c r="L13" s="453"/>
      <c r="M13" s="453"/>
      <c r="N13" s="453"/>
      <c r="O13" s="453"/>
      <c r="P13" s="453"/>
      <c r="Q13" s="453"/>
      <c r="R13" s="453"/>
      <c r="S13" s="453"/>
      <c r="T13" s="453"/>
      <c r="U13" s="453"/>
      <c r="V13" s="453"/>
      <c r="W13" s="453"/>
      <c r="X13" s="453"/>
      <c r="Y13" s="453"/>
      <c r="Z13" s="489"/>
      <c r="AA13" s="489"/>
      <c r="AB13" s="490"/>
      <c r="AC13" s="453"/>
      <c r="AD13" s="453"/>
      <c r="AE13" s="453"/>
      <c r="AF13" s="453"/>
      <c r="AG13" s="453"/>
      <c r="AH13" s="453"/>
      <c r="AI13" s="453"/>
      <c r="AJ13" s="453"/>
      <c r="AK13" s="453"/>
      <c r="AL13" s="453"/>
      <c r="AM13" s="453"/>
      <c r="AN13" s="453"/>
      <c r="AO13" s="453"/>
      <c r="AP13" s="453"/>
      <c r="AQ13" s="453"/>
      <c r="AR13" s="453"/>
      <c r="AS13" s="453"/>
      <c r="AT13" s="453"/>
      <c r="AU13" s="453"/>
      <c r="AV13" s="453"/>
      <c r="AW13" s="453"/>
      <c r="AX13" s="453"/>
      <c r="AY13" s="453"/>
      <c r="AZ13" s="453"/>
      <c r="BA13" s="453"/>
      <c r="BB13" s="502"/>
      <c r="BC13" s="503"/>
      <c r="BD13" s="453"/>
      <c r="BE13" s="453"/>
      <c r="BF13" s="470"/>
      <c r="BG13" s="453"/>
      <c r="BH13" s="453"/>
      <c r="BI13" s="453"/>
      <c r="BJ13" s="453"/>
      <c r="BK13" s="453"/>
      <c r="BL13" s="453"/>
      <c r="BM13" s="502"/>
      <c r="BN13" s="490"/>
      <c r="BO13" s="470"/>
      <c r="BP13" s="490"/>
      <c r="BQ13" s="453"/>
      <c r="BR13" s="502"/>
      <c r="BS13" s="524"/>
      <c r="BT13" s="458"/>
    </row>
    <row r="14" s="435" customFormat="1" ht="18" customHeight="1" spans="1:72">
      <c r="A14" s="451" t="s">
        <v>4032</v>
      </c>
      <c r="B14" s="456">
        <v>42958</v>
      </c>
      <c r="C14" s="454">
        <v>1000001166</v>
      </c>
      <c r="D14" s="451"/>
      <c r="E14" s="457"/>
      <c r="F14" s="453"/>
      <c r="G14" s="453">
        <v>8000</v>
      </c>
      <c r="H14" s="453"/>
      <c r="I14" s="453"/>
      <c r="J14" s="453"/>
      <c r="K14" s="453"/>
      <c r="L14" s="453"/>
      <c r="M14" s="453"/>
      <c r="N14" s="453"/>
      <c r="O14" s="453"/>
      <c r="P14" s="453"/>
      <c r="Q14" s="453"/>
      <c r="R14" s="453"/>
      <c r="S14" s="453"/>
      <c r="T14" s="453"/>
      <c r="U14" s="453"/>
      <c r="V14" s="453"/>
      <c r="W14" s="453"/>
      <c r="X14" s="453"/>
      <c r="Y14" s="453"/>
      <c r="Z14" s="489"/>
      <c r="AA14" s="489"/>
      <c r="AB14" s="490"/>
      <c r="AC14" s="453"/>
      <c r="AD14" s="453"/>
      <c r="AE14" s="453"/>
      <c r="AF14" s="453"/>
      <c r="AG14" s="453"/>
      <c r="AH14" s="453"/>
      <c r="AI14" s="453"/>
      <c r="AJ14" s="453"/>
      <c r="AK14" s="453"/>
      <c r="AL14" s="453"/>
      <c r="AM14" s="453"/>
      <c r="AN14" s="453"/>
      <c r="AO14" s="453"/>
      <c r="AP14" s="453"/>
      <c r="AQ14" s="453"/>
      <c r="AR14" s="453"/>
      <c r="AS14" s="453"/>
      <c r="AT14" s="453"/>
      <c r="AU14" s="453"/>
      <c r="AV14" s="453"/>
      <c r="AW14" s="453"/>
      <c r="AX14" s="453"/>
      <c r="AY14" s="453"/>
      <c r="AZ14" s="453"/>
      <c r="BA14" s="453"/>
      <c r="BB14" s="502"/>
      <c r="BC14" s="503"/>
      <c r="BD14" s="453"/>
      <c r="BE14" s="453"/>
      <c r="BF14" s="470"/>
      <c r="BG14" s="453"/>
      <c r="BH14" s="453"/>
      <c r="BI14" s="453"/>
      <c r="BJ14" s="453"/>
      <c r="BK14" s="453"/>
      <c r="BL14" s="453"/>
      <c r="BM14" s="502"/>
      <c r="BN14" s="490"/>
      <c r="BO14" s="470"/>
      <c r="BP14" s="490"/>
      <c r="BQ14" s="453"/>
      <c r="BR14" s="502"/>
      <c r="BS14" s="524"/>
      <c r="BT14" s="458"/>
    </row>
    <row r="15" s="435" customFormat="1" ht="18" customHeight="1" spans="1:72">
      <c r="A15" s="451" t="s">
        <v>4032</v>
      </c>
      <c r="B15" s="456">
        <v>42958</v>
      </c>
      <c r="C15" s="454">
        <v>1000001167</v>
      </c>
      <c r="D15" s="451"/>
      <c r="E15" s="457"/>
      <c r="F15" s="453"/>
      <c r="G15" s="453"/>
      <c r="H15" s="453">
        <v>5000</v>
      </c>
      <c r="I15" s="453"/>
      <c r="J15" s="453"/>
      <c r="K15" s="453"/>
      <c r="L15" s="453"/>
      <c r="M15" s="453"/>
      <c r="N15" s="453"/>
      <c r="O15" s="453"/>
      <c r="P15" s="453"/>
      <c r="Q15" s="453"/>
      <c r="R15" s="453"/>
      <c r="S15" s="453"/>
      <c r="T15" s="453"/>
      <c r="U15" s="453"/>
      <c r="V15" s="453"/>
      <c r="W15" s="453"/>
      <c r="X15" s="453"/>
      <c r="Y15" s="453"/>
      <c r="Z15" s="489"/>
      <c r="AA15" s="489"/>
      <c r="AB15" s="490"/>
      <c r="AC15" s="453"/>
      <c r="AD15" s="453"/>
      <c r="AE15" s="453"/>
      <c r="AF15" s="453"/>
      <c r="AG15" s="453"/>
      <c r="AH15" s="453"/>
      <c r="AI15" s="453"/>
      <c r="AJ15" s="453"/>
      <c r="AK15" s="453"/>
      <c r="AL15" s="453"/>
      <c r="AM15" s="453"/>
      <c r="AN15" s="453"/>
      <c r="AO15" s="453"/>
      <c r="AP15" s="453"/>
      <c r="AQ15" s="453"/>
      <c r="AR15" s="453"/>
      <c r="AS15" s="453"/>
      <c r="AT15" s="453"/>
      <c r="AU15" s="453"/>
      <c r="AV15" s="453"/>
      <c r="AW15" s="453"/>
      <c r="AX15" s="453"/>
      <c r="AY15" s="453"/>
      <c r="AZ15" s="453"/>
      <c r="BA15" s="453"/>
      <c r="BB15" s="502"/>
      <c r="BC15" s="503"/>
      <c r="BD15" s="453"/>
      <c r="BE15" s="453"/>
      <c r="BF15" s="470"/>
      <c r="BG15" s="453"/>
      <c r="BH15" s="453"/>
      <c r="BI15" s="453"/>
      <c r="BJ15" s="453"/>
      <c r="BK15" s="453"/>
      <c r="BL15" s="453"/>
      <c r="BM15" s="502"/>
      <c r="BN15" s="490"/>
      <c r="BO15" s="470"/>
      <c r="BP15" s="490"/>
      <c r="BQ15" s="453"/>
      <c r="BR15" s="502"/>
      <c r="BS15" s="524"/>
      <c r="BT15" s="458"/>
    </row>
    <row r="16" s="435" customFormat="1" ht="18" customHeight="1" spans="1:72">
      <c r="A16" s="451" t="s">
        <v>4032</v>
      </c>
      <c r="B16" s="456">
        <v>43081</v>
      </c>
      <c r="C16" s="454">
        <v>1000001523</v>
      </c>
      <c r="D16" s="451"/>
      <c r="E16" s="457"/>
      <c r="F16" s="453">
        <v>5000</v>
      </c>
      <c r="G16" s="453"/>
      <c r="H16" s="453"/>
      <c r="I16" s="453"/>
      <c r="J16" s="453"/>
      <c r="K16" s="453"/>
      <c r="L16" s="453"/>
      <c r="M16" s="453"/>
      <c r="N16" s="453"/>
      <c r="O16" s="453"/>
      <c r="P16" s="453"/>
      <c r="Q16" s="453"/>
      <c r="R16" s="453"/>
      <c r="S16" s="453"/>
      <c r="T16" s="453"/>
      <c r="U16" s="453"/>
      <c r="V16" s="453"/>
      <c r="W16" s="453"/>
      <c r="X16" s="453"/>
      <c r="Y16" s="453"/>
      <c r="Z16" s="489"/>
      <c r="AA16" s="489"/>
      <c r="AB16" s="490"/>
      <c r="AC16" s="453"/>
      <c r="AD16" s="453"/>
      <c r="AE16" s="453"/>
      <c r="AF16" s="453"/>
      <c r="AG16" s="453"/>
      <c r="AH16" s="453"/>
      <c r="AI16" s="453"/>
      <c r="AJ16" s="453"/>
      <c r="AK16" s="453"/>
      <c r="AL16" s="453"/>
      <c r="AM16" s="453"/>
      <c r="AN16" s="453"/>
      <c r="AO16" s="453"/>
      <c r="AP16" s="453"/>
      <c r="AQ16" s="453"/>
      <c r="AR16" s="453"/>
      <c r="AS16" s="453"/>
      <c r="AT16" s="453"/>
      <c r="AU16" s="453"/>
      <c r="AV16" s="453"/>
      <c r="AW16" s="453"/>
      <c r="AX16" s="453"/>
      <c r="AY16" s="453"/>
      <c r="AZ16" s="453"/>
      <c r="BA16" s="453"/>
      <c r="BB16" s="502"/>
      <c r="BC16" s="503"/>
      <c r="BD16" s="453"/>
      <c r="BE16" s="453"/>
      <c r="BF16" s="470"/>
      <c r="BG16" s="453"/>
      <c r="BH16" s="453"/>
      <c r="BI16" s="453"/>
      <c r="BJ16" s="453"/>
      <c r="BK16" s="453"/>
      <c r="BL16" s="453"/>
      <c r="BM16" s="502"/>
      <c r="BN16" s="490"/>
      <c r="BO16" s="470"/>
      <c r="BP16" s="490"/>
      <c r="BQ16" s="453"/>
      <c r="BR16" s="502"/>
      <c r="BS16" s="524"/>
      <c r="BT16" s="458"/>
    </row>
    <row r="17" s="435" customFormat="1" ht="18" customHeight="1" spans="1:72">
      <c r="A17" s="451" t="s">
        <v>4032</v>
      </c>
      <c r="B17" s="456">
        <v>43081</v>
      </c>
      <c r="C17" s="454">
        <v>1000001524</v>
      </c>
      <c r="D17" s="451"/>
      <c r="E17" s="457"/>
      <c r="F17" s="453"/>
      <c r="G17" s="453"/>
      <c r="H17" s="453"/>
      <c r="I17" s="453"/>
      <c r="J17" s="453"/>
      <c r="K17" s="453"/>
      <c r="L17" s="453"/>
      <c r="M17" s="453"/>
      <c r="N17" s="453"/>
      <c r="O17" s="453"/>
      <c r="P17" s="453"/>
      <c r="Q17" s="453"/>
      <c r="R17" s="453">
        <v>10000</v>
      </c>
      <c r="S17" s="453"/>
      <c r="T17" s="453"/>
      <c r="U17" s="453"/>
      <c r="V17" s="453"/>
      <c r="W17" s="453"/>
      <c r="X17" s="453"/>
      <c r="Y17" s="453"/>
      <c r="Z17" s="489"/>
      <c r="AA17" s="489"/>
      <c r="AB17" s="490"/>
      <c r="AC17" s="453"/>
      <c r="AD17" s="453"/>
      <c r="AE17" s="453"/>
      <c r="AF17" s="453"/>
      <c r="AG17" s="453"/>
      <c r="AH17" s="453"/>
      <c r="AI17" s="453"/>
      <c r="AJ17" s="453"/>
      <c r="AK17" s="453"/>
      <c r="AL17" s="453"/>
      <c r="AM17" s="453"/>
      <c r="AN17" s="453"/>
      <c r="AO17" s="453"/>
      <c r="AP17" s="453"/>
      <c r="AQ17" s="453"/>
      <c r="AR17" s="453"/>
      <c r="AS17" s="453"/>
      <c r="AT17" s="453"/>
      <c r="AU17" s="453"/>
      <c r="AV17" s="453"/>
      <c r="AW17" s="453"/>
      <c r="AX17" s="453"/>
      <c r="AY17" s="453"/>
      <c r="AZ17" s="453"/>
      <c r="BA17" s="453"/>
      <c r="BB17" s="502"/>
      <c r="BC17" s="503"/>
      <c r="BD17" s="453"/>
      <c r="BE17" s="453"/>
      <c r="BF17" s="470"/>
      <c r="BG17" s="453"/>
      <c r="BH17" s="453"/>
      <c r="BI17" s="453"/>
      <c r="BJ17" s="453"/>
      <c r="BK17" s="453"/>
      <c r="BL17" s="453"/>
      <c r="BM17" s="502"/>
      <c r="BN17" s="490"/>
      <c r="BO17" s="470"/>
      <c r="BP17" s="490"/>
      <c r="BQ17" s="453"/>
      <c r="BR17" s="502"/>
      <c r="BS17" s="524"/>
      <c r="BT17" s="458"/>
    </row>
    <row r="18" s="435" customFormat="1" ht="18" customHeight="1" spans="1:72">
      <c r="A18" s="451" t="s">
        <v>4032</v>
      </c>
      <c r="B18" s="456">
        <v>43104</v>
      </c>
      <c r="C18" s="454">
        <v>1000001587</v>
      </c>
      <c r="D18" s="451"/>
      <c r="E18" s="457"/>
      <c r="F18" s="453">
        <v>10000</v>
      </c>
      <c r="G18" s="453"/>
      <c r="H18" s="453"/>
      <c r="I18" s="453"/>
      <c r="J18" s="453"/>
      <c r="K18" s="453"/>
      <c r="L18" s="453"/>
      <c r="M18" s="453"/>
      <c r="N18" s="453"/>
      <c r="O18" s="453"/>
      <c r="P18" s="453"/>
      <c r="Q18" s="453"/>
      <c r="R18" s="453"/>
      <c r="S18" s="453"/>
      <c r="T18" s="453"/>
      <c r="U18" s="453"/>
      <c r="V18" s="453"/>
      <c r="W18" s="453"/>
      <c r="X18" s="453"/>
      <c r="Y18" s="453"/>
      <c r="Z18" s="489"/>
      <c r="AA18" s="489"/>
      <c r="AB18" s="490"/>
      <c r="AC18" s="453"/>
      <c r="AD18" s="453"/>
      <c r="AE18" s="453"/>
      <c r="AF18" s="453"/>
      <c r="AG18" s="453"/>
      <c r="AH18" s="453"/>
      <c r="AI18" s="453"/>
      <c r="AJ18" s="453"/>
      <c r="AK18" s="453"/>
      <c r="AL18" s="453"/>
      <c r="AM18" s="453"/>
      <c r="AN18" s="453"/>
      <c r="AO18" s="453"/>
      <c r="AP18" s="453"/>
      <c r="AQ18" s="453"/>
      <c r="AR18" s="453"/>
      <c r="AS18" s="453"/>
      <c r="AT18" s="453"/>
      <c r="AU18" s="453"/>
      <c r="AV18" s="453"/>
      <c r="AW18" s="453"/>
      <c r="AX18" s="453"/>
      <c r="AY18" s="453"/>
      <c r="AZ18" s="453"/>
      <c r="BA18" s="453"/>
      <c r="BB18" s="502"/>
      <c r="BC18" s="503"/>
      <c r="BD18" s="453"/>
      <c r="BE18" s="453"/>
      <c r="BF18" s="470"/>
      <c r="BG18" s="453"/>
      <c r="BH18" s="453"/>
      <c r="BI18" s="453"/>
      <c r="BJ18" s="453"/>
      <c r="BK18" s="453"/>
      <c r="BL18" s="453"/>
      <c r="BM18" s="502"/>
      <c r="BN18" s="490"/>
      <c r="BO18" s="470"/>
      <c r="BP18" s="490"/>
      <c r="BQ18" s="453"/>
      <c r="BR18" s="502"/>
      <c r="BS18" s="524"/>
      <c r="BT18" s="458"/>
    </row>
    <row r="19" s="435" customFormat="1" ht="18" customHeight="1" spans="1:72">
      <c r="A19" s="451" t="s">
        <v>4032</v>
      </c>
      <c r="B19" s="456">
        <v>43104</v>
      </c>
      <c r="C19" s="454">
        <v>1000001589</v>
      </c>
      <c r="D19" s="451"/>
      <c r="E19" s="457"/>
      <c r="F19" s="453"/>
      <c r="G19" s="453">
        <v>10000</v>
      </c>
      <c r="H19" s="453"/>
      <c r="I19" s="453"/>
      <c r="J19" s="453"/>
      <c r="K19" s="453"/>
      <c r="L19" s="453"/>
      <c r="M19" s="453"/>
      <c r="N19" s="453"/>
      <c r="O19" s="453"/>
      <c r="P19" s="453"/>
      <c r="Q19" s="453"/>
      <c r="R19" s="453"/>
      <c r="S19" s="453"/>
      <c r="T19" s="453"/>
      <c r="U19" s="453"/>
      <c r="V19" s="453"/>
      <c r="W19" s="453"/>
      <c r="X19" s="453"/>
      <c r="Y19" s="453"/>
      <c r="Z19" s="489"/>
      <c r="AA19" s="489"/>
      <c r="AB19" s="490"/>
      <c r="AC19" s="453"/>
      <c r="AD19" s="453"/>
      <c r="AE19" s="453"/>
      <c r="AF19" s="453"/>
      <c r="AG19" s="453"/>
      <c r="AH19" s="453"/>
      <c r="AI19" s="453"/>
      <c r="AJ19" s="453"/>
      <c r="AK19" s="453"/>
      <c r="AL19" s="453"/>
      <c r="AM19" s="453"/>
      <c r="AN19" s="453"/>
      <c r="AO19" s="453"/>
      <c r="AP19" s="453"/>
      <c r="AQ19" s="453"/>
      <c r="AR19" s="453"/>
      <c r="AS19" s="453"/>
      <c r="AT19" s="453"/>
      <c r="AU19" s="453"/>
      <c r="AV19" s="453"/>
      <c r="AW19" s="453"/>
      <c r="AX19" s="453"/>
      <c r="AY19" s="453"/>
      <c r="AZ19" s="453"/>
      <c r="BA19" s="453"/>
      <c r="BB19" s="502"/>
      <c r="BC19" s="503"/>
      <c r="BD19" s="453"/>
      <c r="BE19" s="453"/>
      <c r="BF19" s="470"/>
      <c r="BG19" s="453"/>
      <c r="BH19" s="453"/>
      <c r="BI19" s="453"/>
      <c r="BJ19" s="453"/>
      <c r="BK19" s="453"/>
      <c r="BL19" s="453"/>
      <c r="BM19" s="502"/>
      <c r="BN19" s="490"/>
      <c r="BO19" s="470"/>
      <c r="BP19" s="490"/>
      <c r="BQ19" s="453"/>
      <c r="BR19" s="502"/>
      <c r="BS19" s="524"/>
      <c r="BT19" s="458"/>
    </row>
    <row r="20" s="435" customFormat="1" ht="18" customHeight="1" spans="1:72">
      <c r="A20" s="451" t="s">
        <v>4032</v>
      </c>
      <c r="B20" s="456">
        <v>43104</v>
      </c>
      <c r="C20" s="454">
        <v>1000001588</v>
      </c>
      <c r="D20" s="451"/>
      <c r="E20" s="457"/>
      <c r="F20" s="453"/>
      <c r="G20" s="453"/>
      <c r="H20" s="453">
        <v>10000</v>
      </c>
      <c r="I20" s="453"/>
      <c r="J20" s="453"/>
      <c r="K20" s="453"/>
      <c r="L20" s="453"/>
      <c r="M20" s="453"/>
      <c r="N20" s="453"/>
      <c r="O20" s="453"/>
      <c r="P20" s="453"/>
      <c r="Q20" s="453"/>
      <c r="R20" s="453"/>
      <c r="S20" s="453"/>
      <c r="T20" s="453"/>
      <c r="U20" s="453"/>
      <c r="V20" s="453"/>
      <c r="W20" s="453"/>
      <c r="X20" s="453"/>
      <c r="Y20" s="453"/>
      <c r="Z20" s="489"/>
      <c r="AA20" s="489"/>
      <c r="AB20" s="490"/>
      <c r="AC20" s="453"/>
      <c r="AD20" s="453"/>
      <c r="AE20" s="453"/>
      <c r="AF20" s="453"/>
      <c r="AG20" s="453"/>
      <c r="AH20" s="453"/>
      <c r="AI20" s="453"/>
      <c r="AJ20" s="453"/>
      <c r="AK20" s="453"/>
      <c r="AL20" s="453"/>
      <c r="AM20" s="453"/>
      <c r="AN20" s="453"/>
      <c r="AO20" s="453"/>
      <c r="AP20" s="453"/>
      <c r="AQ20" s="453"/>
      <c r="AR20" s="453"/>
      <c r="AS20" s="453"/>
      <c r="AT20" s="453"/>
      <c r="AU20" s="453"/>
      <c r="AV20" s="453"/>
      <c r="AW20" s="453"/>
      <c r="AX20" s="453"/>
      <c r="AY20" s="453"/>
      <c r="AZ20" s="453"/>
      <c r="BA20" s="453"/>
      <c r="BB20" s="502"/>
      <c r="BC20" s="503"/>
      <c r="BD20" s="453"/>
      <c r="BE20" s="453"/>
      <c r="BF20" s="470"/>
      <c r="BG20" s="453"/>
      <c r="BH20" s="453"/>
      <c r="BI20" s="453"/>
      <c r="BJ20" s="453"/>
      <c r="BK20" s="453"/>
      <c r="BL20" s="453"/>
      <c r="BM20" s="502"/>
      <c r="BN20" s="490"/>
      <c r="BO20" s="470"/>
      <c r="BP20" s="490"/>
      <c r="BQ20" s="453"/>
      <c r="BR20" s="502"/>
      <c r="BS20" s="524"/>
      <c r="BT20" s="458"/>
    </row>
    <row r="21" s="435" customFormat="1" ht="18" customHeight="1" spans="1:72">
      <c r="A21" s="451" t="s">
        <v>4032</v>
      </c>
      <c r="B21" s="456">
        <v>43104</v>
      </c>
      <c r="C21" s="454">
        <v>1000001590</v>
      </c>
      <c r="D21" s="451"/>
      <c r="E21" s="457"/>
      <c r="F21" s="453"/>
      <c r="G21" s="453"/>
      <c r="H21" s="453"/>
      <c r="I21" s="453"/>
      <c r="J21" s="453"/>
      <c r="K21" s="453"/>
      <c r="L21" s="453"/>
      <c r="M21" s="453"/>
      <c r="N21" s="453"/>
      <c r="O21" s="453"/>
      <c r="P21" s="453"/>
      <c r="Q21" s="453"/>
      <c r="R21" s="453">
        <v>30000</v>
      </c>
      <c r="S21" s="453"/>
      <c r="T21" s="453"/>
      <c r="U21" s="453"/>
      <c r="V21" s="453"/>
      <c r="W21" s="453"/>
      <c r="X21" s="453"/>
      <c r="Y21" s="453"/>
      <c r="Z21" s="489"/>
      <c r="AA21" s="489"/>
      <c r="AB21" s="490"/>
      <c r="AC21" s="453"/>
      <c r="AD21" s="453"/>
      <c r="AE21" s="453"/>
      <c r="AF21" s="453"/>
      <c r="AG21" s="453"/>
      <c r="AH21" s="453"/>
      <c r="AI21" s="453"/>
      <c r="AJ21" s="453"/>
      <c r="AK21" s="453"/>
      <c r="AL21" s="453"/>
      <c r="AM21" s="453"/>
      <c r="AN21" s="453"/>
      <c r="AO21" s="453"/>
      <c r="AP21" s="453"/>
      <c r="AQ21" s="453"/>
      <c r="AR21" s="453"/>
      <c r="AS21" s="453"/>
      <c r="AT21" s="453"/>
      <c r="AU21" s="453"/>
      <c r="AV21" s="453"/>
      <c r="AW21" s="453"/>
      <c r="AX21" s="453"/>
      <c r="AY21" s="453"/>
      <c r="AZ21" s="453"/>
      <c r="BA21" s="453"/>
      <c r="BB21" s="502"/>
      <c r="BC21" s="503"/>
      <c r="BD21" s="453"/>
      <c r="BE21" s="453"/>
      <c r="BF21" s="470"/>
      <c r="BG21" s="453"/>
      <c r="BH21" s="453"/>
      <c r="BI21" s="453"/>
      <c r="BJ21" s="453"/>
      <c r="BK21" s="453"/>
      <c r="BL21" s="453"/>
      <c r="BM21" s="502"/>
      <c r="BN21" s="490"/>
      <c r="BO21" s="470"/>
      <c r="BP21" s="490"/>
      <c r="BQ21" s="453"/>
      <c r="BR21" s="502"/>
      <c r="BS21" s="524"/>
      <c r="BT21" s="458"/>
    </row>
    <row r="22" s="435" customFormat="1" ht="18" customHeight="1" spans="1:72">
      <c r="A22" s="451" t="s">
        <v>4032</v>
      </c>
      <c r="B22" s="456">
        <v>43166</v>
      </c>
      <c r="C22" s="454">
        <v>1000001742</v>
      </c>
      <c r="D22" s="451"/>
      <c r="E22" s="457"/>
      <c r="F22" s="453"/>
      <c r="G22" s="453"/>
      <c r="H22" s="453">
        <v>12000</v>
      </c>
      <c r="I22" s="453"/>
      <c r="J22" s="453"/>
      <c r="K22" s="453"/>
      <c r="L22" s="453"/>
      <c r="M22" s="453"/>
      <c r="N22" s="453"/>
      <c r="O22" s="453"/>
      <c r="P22" s="453"/>
      <c r="Q22" s="453"/>
      <c r="R22" s="453"/>
      <c r="S22" s="453"/>
      <c r="T22" s="453"/>
      <c r="U22" s="453"/>
      <c r="V22" s="453"/>
      <c r="W22" s="453"/>
      <c r="X22" s="453"/>
      <c r="Y22" s="453"/>
      <c r="Z22" s="489"/>
      <c r="AA22" s="489"/>
      <c r="AB22" s="490"/>
      <c r="AC22" s="453"/>
      <c r="AD22" s="453"/>
      <c r="AE22" s="453"/>
      <c r="AF22" s="453"/>
      <c r="AG22" s="453"/>
      <c r="AH22" s="453"/>
      <c r="AI22" s="453"/>
      <c r="AJ22" s="453"/>
      <c r="AK22" s="453"/>
      <c r="AL22" s="453"/>
      <c r="AM22" s="453"/>
      <c r="AN22" s="453"/>
      <c r="AO22" s="453"/>
      <c r="AP22" s="453"/>
      <c r="AQ22" s="453"/>
      <c r="AR22" s="453"/>
      <c r="AS22" s="453"/>
      <c r="AT22" s="453"/>
      <c r="AU22" s="453"/>
      <c r="AV22" s="453"/>
      <c r="AW22" s="453"/>
      <c r="AX22" s="453"/>
      <c r="AY22" s="453"/>
      <c r="AZ22" s="453"/>
      <c r="BA22" s="453"/>
      <c r="BB22" s="502"/>
      <c r="BC22" s="503"/>
      <c r="BD22" s="453"/>
      <c r="BE22" s="453"/>
      <c r="BF22" s="470"/>
      <c r="BG22" s="453"/>
      <c r="BH22" s="453"/>
      <c r="BI22" s="453"/>
      <c r="BJ22" s="453"/>
      <c r="BK22" s="453"/>
      <c r="BL22" s="453"/>
      <c r="BM22" s="502"/>
      <c r="BN22" s="490"/>
      <c r="BO22" s="470"/>
      <c r="BP22" s="490"/>
      <c r="BQ22" s="453"/>
      <c r="BR22" s="502"/>
      <c r="BS22" s="524"/>
      <c r="BT22" s="458"/>
    </row>
    <row r="23" s="435" customFormat="1" ht="18" customHeight="1" spans="1:72">
      <c r="A23" s="451" t="s">
        <v>4032</v>
      </c>
      <c r="B23" s="456">
        <v>43204</v>
      </c>
      <c r="C23" s="454">
        <v>1000001899</v>
      </c>
      <c r="D23" s="451"/>
      <c r="E23" s="457"/>
      <c r="F23" s="453">
        <v>5000</v>
      </c>
      <c r="G23" s="453"/>
      <c r="H23" s="453"/>
      <c r="I23" s="453"/>
      <c r="J23" s="453"/>
      <c r="K23" s="453"/>
      <c r="L23" s="453"/>
      <c r="M23" s="453"/>
      <c r="N23" s="453"/>
      <c r="O23" s="453"/>
      <c r="P23" s="453"/>
      <c r="Q23" s="453"/>
      <c r="R23" s="453"/>
      <c r="S23" s="453"/>
      <c r="T23" s="453"/>
      <c r="U23" s="453"/>
      <c r="V23" s="453"/>
      <c r="W23" s="453"/>
      <c r="X23" s="453"/>
      <c r="Y23" s="453"/>
      <c r="Z23" s="489"/>
      <c r="AA23" s="489"/>
      <c r="AB23" s="490"/>
      <c r="AC23" s="453"/>
      <c r="AD23" s="453"/>
      <c r="AE23" s="453"/>
      <c r="AF23" s="453"/>
      <c r="AG23" s="453"/>
      <c r="AH23" s="453"/>
      <c r="AI23" s="453"/>
      <c r="AJ23" s="453"/>
      <c r="AK23" s="453"/>
      <c r="AL23" s="453"/>
      <c r="AM23" s="453"/>
      <c r="AN23" s="453"/>
      <c r="AO23" s="453"/>
      <c r="AP23" s="453"/>
      <c r="AQ23" s="453"/>
      <c r="AR23" s="453"/>
      <c r="AS23" s="453"/>
      <c r="AT23" s="453"/>
      <c r="AU23" s="453"/>
      <c r="AV23" s="453"/>
      <c r="AW23" s="453"/>
      <c r="AX23" s="453"/>
      <c r="AY23" s="453"/>
      <c r="AZ23" s="453"/>
      <c r="BA23" s="453"/>
      <c r="BB23" s="502"/>
      <c r="BC23" s="503"/>
      <c r="BD23" s="453"/>
      <c r="BE23" s="453"/>
      <c r="BF23" s="470"/>
      <c r="BG23" s="453"/>
      <c r="BH23" s="453"/>
      <c r="BI23" s="453"/>
      <c r="BJ23" s="453"/>
      <c r="BK23" s="453"/>
      <c r="BL23" s="453"/>
      <c r="BM23" s="502"/>
      <c r="BN23" s="490"/>
      <c r="BO23" s="470"/>
      <c r="BP23" s="490"/>
      <c r="BQ23" s="453"/>
      <c r="BR23" s="502"/>
      <c r="BS23" s="524"/>
      <c r="BT23" s="458"/>
    </row>
    <row r="24" s="435" customFormat="1" ht="18" customHeight="1" spans="1:72">
      <c r="A24" s="451" t="s">
        <v>4032</v>
      </c>
      <c r="B24" s="456">
        <v>43204</v>
      </c>
      <c r="C24" s="454">
        <v>1000001900</v>
      </c>
      <c r="D24" s="451"/>
      <c r="E24" s="457"/>
      <c r="F24" s="453"/>
      <c r="G24" s="453"/>
      <c r="H24" s="453"/>
      <c r="I24" s="453"/>
      <c r="J24" s="453"/>
      <c r="K24" s="453"/>
      <c r="L24" s="453"/>
      <c r="M24" s="453"/>
      <c r="N24" s="453"/>
      <c r="O24" s="453"/>
      <c r="P24" s="453"/>
      <c r="Q24" s="453"/>
      <c r="R24" s="453">
        <v>10000</v>
      </c>
      <c r="S24" s="453"/>
      <c r="T24" s="453"/>
      <c r="U24" s="453"/>
      <c r="V24" s="453"/>
      <c r="W24" s="453"/>
      <c r="X24" s="453"/>
      <c r="Y24" s="453"/>
      <c r="Z24" s="489"/>
      <c r="AA24" s="489"/>
      <c r="AB24" s="490"/>
      <c r="AC24" s="453"/>
      <c r="AD24" s="453"/>
      <c r="AE24" s="453"/>
      <c r="AF24" s="453"/>
      <c r="AG24" s="453"/>
      <c r="AH24" s="453"/>
      <c r="AI24" s="453"/>
      <c r="AJ24" s="453"/>
      <c r="AK24" s="453"/>
      <c r="AL24" s="453"/>
      <c r="AM24" s="453"/>
      <c r="AN24" s="453"/>
      <c r="AO24" s="453"/>
      <c r="AP24" s="453"/>
      <c r="AQ24" s="453"/>
      <c r="AR24" s="453"/>
      <c r="AS24" s="453"/>
      <c r="AT24" s="453"/>
      <c r="AU24" s="453"/>
      <c r="AV24" s="453"/>
      <c r="AW24" s="453"/>
      <c r="AX24" s="453"/>
      <c r="AY24" s="453"/>
      <c r="AZ24" s="453"/>
      <c r="BA24" s="453"/>
      <c r="BB24" s="502"/>
      <c r="BC24" s="503"/>
      <c r="BD24" s="453"/>
      <c r="BE24" s="453"/>
      <c r="BF24" s="470"/>
      <c r="BG24" s="453"/>
      <c r="BH24" s="453"/>
      <c r="BI24" s="453"/>
      <c r="BJ24" s="453"/>
      <c r="BK24" s="453"/>
      <c r="BL24" s="453"/>
      <c r="BM24" s="502"/>
      <c r="BN24" s="490"/>
      <c r="BO24" s="470"/>
      <c r="BP24" s="490"/>
      <c r="BQ24" s="453"/>
      <c r="BR24" s="502"/>
      <c r="BS24" s="524"/>
      <c r="BT24" s="458"/>
    </row>
    <row r="25" s="435" customFormat="1" ht="18" customHeight="1" spans="1:72">
      <c r="A25" s="451" t="s">
        <v>4032</v>
      </c>
      <c r="B25" s="456">
        <v>43257</v>
      </c>
      <c r="C25" s="454">
        <v>1000002204</v>
      </c>
      <c r="D25" s="451"/>
      <c r="E25" s="457"/>
      <c r="F25" s="453">
        <v>8000</v>
      </c>
      <c r="G25" s="453"/>
      <c r="H25" s="453"/>
      <c r="I25" s="453"/>
      <c r="J25" s="453"/>
      <c r="K25" s="453"/>
      <c r="L25" s="453"/>
      <c r="M25" s="453"/>
      <c r="N25" s="453"/>
      <c r="O25" s="453"/>
      <c r="P25" s="453"/>
      <c r="Q25" s="453"/>
      <c r="R25" s="453"/>
      <c r="S25" s="453"/>
      <c r="T25" s="453"/>
      <c r="U25" s="453"/>
      <c r="V25" s="453"/>
      <c r="W25" s="453"/>
      <c r="X25" s="453"/>
      <c r="Y25" s="453"/>
      <c r="Z25" s="489"/>
      <c r="AA25" s="489"/>
      <c r="AB25" s="490"/>
      <c r="AC25" s="453"/>
      <c r="AD25" s="453"/>
      <c r="AE25" s="453"/>
      <c r="AF25" s="453"/>
      <c r="AG25" s="453"/>
      <c r="AH25" s="453"/>
      <c r="AI25" s="453"/>
      <c r="AJ25" s="453"/>
      <c r="AK25" s="453"/>
      <c r="AL25" s="453"/>
      <c r="AM25" s="453"/>
      <c r="AN25" s="453"/>
      <c r="AO25" s="453"/>
      <c r="AP25" s="453"/>
      <c r="AQ25" s="453"/>
      <c r="AR25" s="453"/>
      <c r="AS25" s="453"/>
      <c r="AT25" s="453"/>
      <c r="AU25" s="453"/>
      <c r="AV25" s="453"/>
      <c r="AW25" s="453"/>
      <c r="AX25" s="453"/>
      <c r="AY25" s="453"/>
      <c r="AZ25" s="453"/>
      <c r="BA25" s="453"/>
      <c r="BB25" s="502"/>
      <c r="BC25" s="503"/>
      <c r="BD25" s="453"/>
      <c r="BE25" s="453"/>
      <c r="BF25" s="470"/>
      <c r="BG25" s="453"/>
      <c r="BH25" s="453"/>
      <c r="BI25" s="453"/>
      <c r="BJ25" s="453"/>
      <c r="BK25" s="453"/>
      <c r="BL25" s="453"/>
      <c r="BM25" s="502"/>
      <c r="BN25" s="490"/>
      <c r="BO25" s="470"/>
      <c r="BP25" s="490"/>
      <c r="BQ25" s="453"/>
      <c r="BR25" s="502"/>
      <c r="BS25" s="524"/>
      <c r="BT25" s="458"/>
    </row>
    <row r="26" s="435" customFormat="1" ht="18" customHeight="1" spans="1:72">
      <c r="A26" s="451" t="s">
        <v>4032</v>
      </c>
      <c r="B26" s="456">
        <v>43257</v>
      </c>
      <c r="C26" s="454">
        <v>1000002205</v>
      </c>
      <c r="D26" s="451"/>
      <c r="E26" s="457"/>
      <c r="F26" s="453"/>
      <c r="G26" s="453">
        <v>5000</v>
      </c>
      <c r="H26" s="453"/>
      <c r="I26" s="453"/>
      <c r="J26" s="453"/>
      <c r="K26" s="453"/>
      <c r="L26" s="453"/>
      <c r="M26" s="453"/>
      <c r="N26" s="453"/>
      <c r="O26" s="453"/>
      <c r="P26" s="453"/>
      <c r="Q26" s="453"/>
      <c r="R26" s="453"/>
      <c r="S26" s="453"/>
      <c r="T26" s="453"/>
      <c r="U26" s="453"/>
      <c r="V26" s="453"/>
      <c r="W26" s="453"/>
      <c r="X26" s="453"/>
      <c r="Y26" s="453"/>
      <c r="Z26" s="489"/>
      <c r="AA26" s="489"/>
      <c r="AB26" s="490"/>
      <c r="AC26" s="453"/>
      <c r="AD26" s="453"/>
      <c r="AE26" s="453"/>
      <c r="AF26" s="453"/>
      <c r="AG26" s="453"/>
      <c r="AH26" s="453"/>
      <c r="AI26" s="453"/>
      <c r="AJ26" s="453"/>
      <c r="AK26" s="453"/>
      <c r="AL26" s="453"/>
      <c r="AM26" s="453"/>
      <c r="AN26" s="453"/>
      <c r="AO26" s="453"/>
      <c r="AP26" s="453"/>
      <c r="AQ26" s="453"/>
      <c r="AR26" s="453"/>
      <c r="AS26" s="453"/>
      <c r="AT26" s="453"/>
      <c r="AU26" s="453"/>
      <c r="AV26" s="453"/>
      <c r="AW26" s="453"/>
      <c r="AX26" s="453"/>
      <c r="AY26" s="453"/>
      <c r="AZ26" s="453"/>
      <c r="BA26" s="453"/>
      <c r="BB26" s="502"/>
      <c r="BC26" s="503"/>
      <c r="BD26" s="453"/>
      <c r="BE26" s="453"/>
      <c r="BF26" s="470"/>
      <c r="BG26" s="453"/>
      <c r="BH26" s="453"/>
      <c r="BI26" s="453"/>
      <c r="BJ26" s="453"/>
      <c r="BK26" s="453"/>
      <c r="BL26" s="453"/>
      <c r="BM26" s="502"/>
      <c r="BN26" s="490"/>
      <c r="BO26" s="470"/>
      <c r="BP26" s="490"/>
      <c r="BQ26" s="453"/>
      <c r="BR26" s="502"/>
      <c r="BS26" s="524"/>
      <c r="BT26" s="458"/>
    </row>
    <row r="27" s="435" customFormat="1" ht="18" customHeight="1" spans="1:72">
      <c r="A27" s="451" t="s">
        <v>4032</v>
      </c>
      <c r="B27" s="456">
        <v>43297</v>
      </c>
      <c r="C27" s="454">
        <v>1000002386</v>
      </c>
      <c r="D27" s="451"/>
      <c r="E27" s="457"/>
      <c r="F27" s="453">
        <v>20000</v>
      </c>
      <c r="G27" s="453"/>
      <c r="H27" s="453"/>
      <c r="I27" s="453"/>
      <c r="J27" s="453"/>
      <c r="K27" s="453"/>
      <c r="L27" s="453"/>
      <c r="M27" s="453"/>
      <c r="N27" s="453"/>
      <c r="O27" s="453"/>
      <c r="P27" s="453"/>
      <c r="Q27" s="453"/>
      <c r="R27" s="453"/>
      <c r="S27" s="453"/>
      <c r="T27" s="453"/>
      <c r="U27" s="453"/>
      <c r="V27" s="453"/>
      <c r="W27" s="453"/>
      <c r="X27" s="453"/>
      <c r="Y27" s="453"/>
      <c r="Z27" s="489"/>
      <c r="AA27" s="489"/>
      <c r="AB27" s="490"/>
      <c r="AC27" s="453"/>
      <c r="AD27" s="453"/>
      <c r="AE27" s="453"/>
      <c r="AF27" s="453"/>
      <c r="AG27" s="453"/>
      <c r="AH27" s="453"/>
      <c r="AI27" s="453"/>
      <c r="AJ27" s="453"/>
      <c r="AK27" s="453"/>
      <c r="AL27" s="453"/>
      <c r="AM27" s="453"/>
      <c r="AN27" s="453"/>
      <c r="AO27" s="453"/>
      <c r="AP27" s="453"/>
      <c r="AQ27" s="453"/>
      <c r="AR27" s="453"/>
      <c r="AS27" s="453"/>
      <c r="AT27" s="453"/>
      <c r="AU27" s="453"/>
      <c r="AV27" s="453"/>
      <c r="AW27" s="453"/>
      <c r="AX27" s="453"/>
      <c r="AY27" s="453"/>
      <c r="AZ27" s="453"/>
      <c r="BA27" s="453"/>
      <c r="BB27" s="502"/>
      <c r="BC27" s="503"/>
      <c r="BD27" s="453"/>
      <c r="BE27" s="453"/>
      <c r="BF27" s="470"/>
      <c r="BG27" s="453"/>
      <c r="BH27" s="453"/>
      <c r="BI27" s="453"/>
      <c r="BJ27" s="453"/>
      <c r="BK27" s="453"/>
      <c r="BL27" s="453"/>
      <c r="BM27" s="502"/>
      <c r="BN27" s="490"/>
      <c r="BO27" s="470"/>
      <c r="BP27" s="490"/>
      <c r="BQ27" s="453"/>
      <c r="BR27" s="502"/>
      <c r="BS27" s="524"/>
      <c r="BT27" s="458"/>
    </row>
    <row r="28" s="435" customFormat="1" ht="18" customHeight="1" spans="1:72">
      <c r="A28" s="451" t="s">
        <v>4032</v>
      </c>
      <c r="B28" s="456">
        <v>43297</v>
      </c>
      <c r="C28" s="454">
        <v>1000002387</v>
      </c>
      <c r="D28" s="451"/>
      <c r="E28" s="457"/>
      <c r="F28" s="453"/>
      <c r="G28" s="453">
        <v>6000</v>
      </c>
      <c r="H28" s="453"/>
      <c r="I28" s="453"/>
      <c r="J28" s="453"/>
      <c r="K28" s="453"/>
      <c r="L28" s="453"/>
      <c r="M28" s="453"/>
      <c r="N28" s="453"/>
      <c r="O28" s="453"/>
      <c r="P28" s="453"/>
      <c r="Q28" s="453"/>
      <c r="R28" s="453"/>
      <c r="S28" s="453"/>
      <c r="T28" s="453"/>
      <c r="U28" s="453"/>
      <c r="V28" s="453"/>
      <c r="W28" s="453"/>
      <c r="X28" s="453"/>
      <c r="Y28" s="453"/>
      <c r="Z28" s="489"/>
      <c r="AA28" s="489"/>
      <c r="AB28" s="490"/>
      <c r="AC28" s="453"/>
      <c r="AD28" s="453"/>
      <c r="AE28" s="453"/>
      <c r="AF28" s="453"/>
      <c r="AG28" s="453"/>
      <c r="AH28" s="453"/>
      <c r="AI28" s="453"/>
      <c r="AJ28" s="453"/>
      <c r="AK28" s="453"/>
      <c r="AL28" s="453"/>
      <c r="AM28" s="453"/>
      <c r="AN28" s="453"/>
      <c r="AO28" s="453"/>
      <c r="AP28" s="453"/>
      <c r="AQ28" s="453"/>
      <c r="AR28" s="453"/>
      <c r="AS28" s="453"/>
      <c r="AT28" s="453"/>
      <c r="AU28" s="453"/>
      <c r="AV28" s="453"/>
      <c r="AW28" s="453"/>
      <c r="AX28" s="453"/>
      <c r="AY28" s="453"/>
      <c r="AZ28" s="453"/>
      <c r="BA28" s="453"/>
      <c r="BB28" s="502"/>
      <c r="BC28" s="503"/>
      <c r="BD28" s="453"/>
      <c r="BE28" s="453"/>
      <c r="BF28" s="470"/>
      <c r="BG28" s="453"/>
      <c r="BH28" s="453"/>
      <c r="BI28" s="453"/>
      <c r="BJ28" s="453"/>
      <c r="BK28" s="453"/>
      <c r="BL28" s="453"/>
      <c r="BM28" s="502"/>
      <c r="BN28" s="490"/>
      <c r="BO28" s="470"/>
      <c r="BP28" s="490"/>
      <c r="BQ28" s="453"/>
      <c r="BR28" s="502"/>
      <c r="BS28" s="524"/>
      <c r="BT28" s="458"/>
    </row>
    <row r="29" s="435" customFormat="1" ht="18" customHeight="1" spans="1:72">
      <c r="A29" s="451" t="s">
        <v>4032</v>
      </c>
      <c r="B29" s="456">
        <v>43297</v>
      </c>
      <c r="C29" s="454">
        <v>1000002388</v>
      </c>
      <c r="D29" s="451"/>
      <c r="E29" s="457"/>
      <c r="F29" s="453"/>
      <c r="G29" s="453"/>
      <c r="H29" s="453">
        <v>20000</v>
      </c>
      <c r="I29" s="453"/>
      <c r="J29" s="453"/>
      <c r="K29" s="453"/>
      <c r="L29" s="453"/>
      <c r="M29" s="453"/>
      <c r="N29" s="453"/>
      <c r="O29" s="453"/>
      <c r="P29" s="453"/>
      <c r="Q29" s="453"/>
      <c r="R29" s="453"/>
      <c r="S29" s="453"/>
      <c r="T29" s="453"/>
      <c r="U29" s="453"/>
      <c r="V29" s="453"/>
      <c r="W29" s="453"/>
      <c r="X29" s="453"/>
      <c r="Y29" s="453"/>
      <c r="Z29" s="489"/>
      <c r="AA29" s="489"/>
      <c r="AB29" s="490"/>
      <c r="AC29" s="453"/>
      <c r="AD29" s="453"/>
      <c r="AE29" s="453"/>
      <c r="AF29" s="453"/>
      <c r="AG29" s="453"/>
      <c r="AH29" s="453"/>
      <c r="AI29" s="453"/>
      <c r="AJ29" s="453"/>
      <c r="AK29" s="453"/>
      <c r="AL29" s="453"/>
      <c r="AM29" s="453"/>
      <c r="AN29" s="453"/>
      <c r="AO29" s="453"/>
      <c r="AP29" s="453"/>
      <c r="AQ29" s="453"/>
      <c r="AR29" s="453"/>
      <c r="AS29" s="453"/>
      <c r="AT29" s="453"/>
      <c r="AU29" s="453"/>
      <c r="AV29" s="453"/>
      <c r="AW29" s="453"/>
      <c r="AX29" s="453"/>
      <c r="AY29" s="453"/>
      <c r="AZ29" s="453"/>
      <c r="BA29" s="453"/>
      <c r="BB29" s="502"/>
      <c r="BC29" s="503"/>
      <c r="BD29" s="453"/>
      <c r="BE29" s="453"/>
      <c r="BF29" s="470"/>
      <c r="BG29" s="453"/>
      <c r="BH29" s="453"/>
      <c r="BI29" s="453"/>
      <c r="BJ29" s="453"/>
      <c r="BK29" s="453"/>
      <c r="BL29" s="453"/>
      <c r="BM29" s="502"/>
      <c r="BN29" s="490"/>
      <c r="BO29" s="470"/>
      <c r="BP29" s="490"/>
      <c r="BQ29" s="453"/>
      <c r="BR29" s="502"/>
      <c r="BS29" s="524"/>
      <c r="BT29" s="458"/>
    </row>
    <row r="30" s="435" customFormat="1" ht="18" customHeight="1" spans="1:72">
      <c r="A30" s="451" t="s">
        <v>4032</v>
      </c>
      <c r="B30" s="456">
        <v>43297</v>
      </c>
      <c r="C30" s="454">
        <v>1000002389</v>
      </c>
      <c r="D30" s="451"/>
      <c r="E30" s="457"/>
      <c r="F30" s="453"/>
      <c r="G30" s="453"/>
      <c r="H30" s="453"/>
      <c r="I30" s="453"/>
      <c r="J30" s="453"/>
      <c r="K30" s="453"/>
      <c r="L30" s="453"/>
      <c r="M30" s="453"/>
      <c r="N30" s="453"/>
      <c r="O30" s="453"/>
      <c r="P30" s="453"/>
      <c r="Q30" s="453"/>
      <c r="R30" s="453">
        <v>30000</v>
      </c>
      <c r="S30" s="453"/>
      <c r="T30" s="453"/>
      <c r="U30" s="453"/>
      <c r="V30" s="453"/>
      <c r="W30" s="453"/>
      <c r="X30" s="453"/>
      <c r="Y30" s="453"/>
      <c r="Z30" s="489"/>
      <c r="AA30" s="489"/>
      <c r="AB30" s="490"/>
      <c r="AC30" s="453"/>
      <c r="AD30" s="453"/>
      <c r="AE30" s="453"/>
      <c r="AF30" s="453"/>
      <c r="AG30" s="453"/>
      <c r="AH30" s="453"/>
      <c r="AI30" s="453"/>
      <c r="AJ30" s="453"/>
      <c r="AK30" s="453"/>
      <c r="AL30" s="453"/>
      <c r="AM30" s="453"/>
      <c r="AN30" s="453"/>
      <c r="AO30" s="453"/>
      <c r="AP30" s="453"/>
      <c r="AQ30" s="453"/>
      <c r="AR30" s="453"/>
      <c r="AS30" s="453"/>
      <c r="AT30" s="453"/>
      <c r="AU30" s="453"/>
      <c r="AV30" s="453"/>
      <c r="AW30" s="453"/>
      <c r="AX30" s="453"/>
      <c r="AY30" s="453"/>
      <c r="AZ30" s="453"/>
      <c r="BA30" s="453"/>
      <c r="BB30" s="502"/>
      <c r="BC30" s="503"/>
      <c r="BD30" s="453"/>
      <c r="BE30" s="453"/>
      <c r="BF30" s="470"/>
      <c r="BG30" s="453"/>
      <c r="BH30" s="453"/>
      <c r="BI30" s="453"/>
      <c r="BJ30" s="453"/>
      <c r="BK30" s="453"/>
      <c r="BL30" s="453"/>
      <c r="BM30" s="502"/>
      <c r="BN30" s="490"/>
      <c r="BO30" s="470"/>
      <c r="BP30" s="490"/>
      <c r="BQ30" s="453"/>
      <c r="BR30" s="502"/>
      <c r="BS30" s="524"/>
      <c r="BT30" s="458"/>
    </row>
    <row r="31" s="435" customFormat="1" ht="18" customHeight="1" spans="1:72">
      <c r="A31" s="451" t="s">
        <v>4032</v>
      </c>
      <c r="B31" s="456">
        <v>43385</v>
      </c>
      <c r="C31" s="454">
        <v>1000002677</v>
      </c>
      <c r="D31" s="451"/>
      <c r="E31" s="457"/>
      <c r="F31" s="453">
        <v>5000</v>
      </c>
      <c r="G31" s="453"/>
      <c r="H31" s="453"/>
      <c r="I31" s="453"/>
      <c r="J31" s="453"/>
      <c r="K31" s="453"/>
      <c r="L31" s="453"/>
      <c r="M31" s="453"/>
      <c r="N31" s="453"/>
      <c r="O31" s="453"/>
      <c r="P31" s="453"/>
      <c r="Q31" s="453"/>
      <c r="R31" s="453"/>
      <c r="S31" s="453"/>
      <c r="T31" s="453"/>
      <c r="U31" s="453"/>
      <c r="V31" s="453"/>
      <c r="W31" s="453"/>
      <c r="X31" s="453"/>
      <c r="Y31" s="453"/>
      <c r="Z31" s="489"/>
      <c r="AA31" s="489"/>
      <c r="AB31" s="490"/>
      <c r="AC31" s="453"/>
      <c r="AD31" s="453"/>
      <c r="AE31" s="453"/>
      <c r="AF31" s="453"/>
      <c r="AG31" s="453"/>
      <c r="AH31" s="453"/>
      <c r="AI31" s="453"/>
      <c r="AJ31" s="453"/>
      <c r="AK31" s="453"/>
      <c r="AL31" s="453"/>
      <c r="AM31" s="453"/>
      <c r="AN31" s="453"/>
      <c r="AO31" s="453"/>
      <c r="AP31" s="453"/>
      <c r="AQ31" s="453"/>
      <c r="AR31" s="453"/>
      <c r="AS31" s="453"/>
      <c r="AT31" s="453"/>
      <c r="AU31" s="453"/>
      <c r="AV31" s="453"/>
      <c r="AW31" s="453"/>
      <c r="AX31" s="453"/>
      <c r="AY31" s="453"/>
      <c r="AZ31" s="453"/>
      <c r="BA31" s="453"/>
      <c r="BB31" s="502"/>
      <c r="BC31" s="503"/>
      <c r="BD31" s="453"/>
      <c r="BE31" s="453"/>
      <c r="BF31" s="470"/>
      <c r="BG31" s="453"/>
      <c r="BH31" s="453"/>
      <c r="BI31" s="453"/>
      <c r="BJ31" s="453"/>
      <c r="BK31" s="453"/>
      <c r="BL31" s="453"/>
      <c r="BM31" s="502"/>
      <c r="BN31" s="490"/>
      <c r="BO31" s="470"/>
      <c r="BP31" s="490"/>
      <c r="BQ31" s="453"/>
      <c r="BR31" s="502"/>
      <c r="BS31" s="524"/>
      <c r="BT31" s="458"/>
    </row>
    <row r="32" s="435" customFormat="1" ht="18" customHeight="1" spans="1:72">
      <c r="A32" s="451" t="s">
        <v>4032</v>
      </c>
      <c r="B32" s="456">
        <v>43385</v>
      </c>
      <c r="C32" s="454">
        <v>1000002678</v>
      </c>
      <c r="D32" s="451"/>
      <c r="E32" s="457"/>
      <c r="F32" s="453"/>
      <c r="G32" s="453">
        <v>5000</v>
      </c>
      <c r="H32" s="453"/>
      <c r="I32" s="453"/>
      <c r="J32" s="453"/>
      <c r="K32" s="453"/>
      <c r="L32" s="453"/>
      <c r="M32" s="453"/>
      <c r="N32" s="453"/>
      <c r="O32" s="453"/>
      <c r="P32" s="453"/>
      <c r="Q32" s="453"/>
      <c r="R32" s="453"/>
      <c r="S32" s="453"/>
      <c r="T32" s="453"/>
      <c r="U32" s="453"/>
      <c r="V32" s="453"/>
      <c r="W32" s="453"/>
      <c r="X32" s="453"/>
      <c r="Y32" s="453"/>
      <c r="Z32" s="489"/>
      <c r="AA32" s="489"/>
      <c r="AB32" s="490"/>
      <c r="AC32" s="453"/>
      <c r="AD32" s="453"/>
      <c r="AE32" s="453"/>
      <c r="AF32" s="453"/>
      <c r="AG32" s="453"/>
      <c r="AH32" s="453"/>
      <c r="AI32" s="453"/>
      <c r="AJ32" s="453"/>
      <c r="AK32" s="453"/>
      <c r="AL32" s="453"/>
      <c r="AM32" s="453"/>
      <c r="AN32" s="453"/>
      <c r="AO32" s="453"/>
      <c r="AP32" s="453"/>
      <c r="AQ32" s="453"/>
      <c r="AR32" s="453"/>
      <c r="AS32" s="453"/>
      <c r="AT32" s="453"/>
      <c r="AU32" s="453"/>
      <c r="AV32" s="453"/>
      <c r="AW32" s="453"/>
      <c r="AX32" s="453"/>
      <c r="AY32" s="453"/>
      <c r="AZ32" s="453"/>
      <c r="BA32" s="453"/>
      <c r="BB32" s="502"/>
      <c r="BC32" s="503"/>
      <c r="BD32" s="453"/>
      <c r="BE32" s="453"/>
      <c r="BF32" s="470"/>
      <c r="BG32" s="453"/>
      <c r="BH32" s="453"/>
      <c r="BI32" s="453"/>
      <c r="BJ32" s="453"/>
      <c r="BK32" s="453"/>
      <c r="BL32" s="453"/>
      <c r="BM32" s="502"/>
      <c r="BN32" s="490"/>
      <c r="BO32" s="470"/>
      <c r="BP32" s="490"/>
      <c r="BQ32" s="453"/>
      <c r="BR32" s="502"/>
      <c r="BS32" s="524"/>
      <c r="BT32" s="458"/>
    </row>
    <row r="33" s="435" customFormat="1" ht="18" customHeight="1" spans="1:72">
      <c r="A33" s="451" t="s">
        <v>4032</v>
      </c>
      <c r="B33" s="456">
        <v>43385</v>
      </c>
      <c r="C33" s="454">
        <v>1000002679</v>
      </c>
      <c r="D33" s="451"/>
      <c r="E33" s="457"/>
      <c r="F33" s="453"/>
      <c r="G33" s="453"/>
      <c r="H33" s="453">
        <v>6000</v>
      </c>
      <c r="I33" s="453"/>
      <c r="J33" s="453"/>
      <c r="K33" s="453"/>
      <c r="L33" s="453"/>
      <c r="M33" s="453"/>
      <c r="N33" s="453"/>
      <c r="O33" s="453"/>
      <c r="P33" s="453"/>
      <c r="Q33" s="453"/>
      <c r="R33" s="453"/>
      <c r="S33" s="453"/>
      <c r="T33" s="453"/>
      <c r="U33" s="453"/>
      <c r="V33" s="453"/>
      <c r="W33" s="453"/>
      <c r="X33" s="453"/>
      <c r="Y33" s="453"/>
      <c r="Z33" s="489"/>
      <c r="AA33" s="489"/>
      <c r="AB33" s="490"/>
      <c r="AC33" s="453"/>
      <c r="AD33" s="453"/>
      <c r="AE33" s="453"/>
      <c r="AF33" s="453"/>
      <c r="AG33" s="453"/>
      <c r="AH33" s="453"/>
      <c r="AI33" s="453"/>
      <c r="AJ33" s="453"/>
      <c r="AK33" s="453"/>
      <c r="AL33" s="453"/>
      <c r="AM33" s="453"/>
      <c r="AN33" s="453"/>
      <c r="AO33" s="453"/>
      <c r="AP33" s="453"/>
      <c r="AQ33" s="453"/>
      <c r="AR33" s="453"/>
      <c r="AS33" s="453"/>
      <c r="AT33" s="453"/>
      <c r="AU33" s="453"/>
      <c r="AV33" s="453"/>
      <c r="AW33" s="453"/>
      <c r="AX33" s="453"/>
      <c r="AY33" s="453"/>
      <c r="AZ33" s="453"/>
      <c r="BA33" s="453"/>
      <c r="BB33" s="502"/>
      <c r="BC33" s="503"/>
      <c r="BD33" s="453"/>
      <c r="BE33" s="453"/>
      <c r="BF33" s="470"/>
      <c r="BG33" s="453"/>
      <c r="BH33" s="453"/>
      <c r="BI33" s="453"/>
      <c r="BJ33" s="453"/>
      <c r="BK33" s="453"/>
      <c r="BL33" s="453"/>
      <c r="BM33" s="502"/>
      <c r="BN33" s="490"/>
      <c r="BO33" s="470"/>
      <c r="BP33" s="490"/>
      <c r="BQ33" s="453"/>
      <c r="BR33" s="502"/>
      <c r="BS33" s="524"/>
      <c r="BT33" s="458"/>
    </row>
    <row r="34" s="435" customFormat="1" ht="18" customHeight="1" spans="1:72">
      <c r="A34" s="451" t="s">
        <v>4032</v>
      </c>
      <c r="B34" s="456">
        <v>43385</v>
      </c>
      <c r="C34" s="454">
        <v>1000002680</v>
      </c>
      <c r="D34" s="458"/>
      <c r="E34" s="457"/>
      <c r="F34" s="453"/>
      <c r="G34" s="453"/>
      <c r="H34" s="453"/>
      <c r="I34" s="453"/>
      <c r="J34" s="453"/>
      <c r="K34" s="453"/>
      <c r="L34" s="453"/>
      <c r="M34" s="453"/>
      <c r="N34" s="453"/>
      <c r="O34" s="453"/>
      <c r="P34" s="453"/>
      <c r="Q34" s="453"/>
      <c r="R34" s="453">
        <v>20000</v>
      </c>
      <c r="S34" s="453"/>
      <c r="T34" s="453"/>
      <c r="U34" s="453"/>
      <c r="V34" s="453"/>
      <c r="W34" s="453"/>
      <c r="X34" s="453"/>
      <c r="Y34" s="453"/>
      <c r="Z34" s="489"/>
      <c r="AA34" s="489"/>
      <c r="AB34" s="490"/>
      <c r="AC34" s="453"/>
      <c r="AD34" s="453"/>
      <c r="AE34" s="453"/>
      <c r="AF34" s="453"/>
      <c r="AG34" s="453"/>
      <c r="AH34" s="453"/>
      <c r="AI34" s="453"/>
      <c r="AJ34" s="453"/>
      <c r="AK34" s="453"/>
      <c r="AL34" s="453"/>
      <c r="AM34" s="453"/>
      <c r="AN34" s="453"/>
      <c r="AO34" s="453"/>
      <c r="AP34" s="453"/>
      <c r="AQ34" s="453"/>
      <c r="AR34" s="453"/>
      <c r="AS34" s="453"/>
      <c r="AT34" s="453"/>
      <c r="AU34" s="453"/>
      <c r="AV34" s="453"/>
      <c r="AW34" s="453"/>
      <c r="AX34" s="453"/>
      <c r="AY34" s="453"/>
      <c r="AZ34" s="453"/>
      <c r="BA34" s="453"/>
      <c r="BB34" s="502"/>
      <c r="BC34" s="503"/>
      <c r="BD34" s="453"/>
      <c r="BE34" s="453"/>
      <c r="BF34" s="470"/>
      <c r="BG34" s="453"/>
      <c r="BH34" s="453"/>
      <c r="BI34" s="453"/>
      <c r="BJ34" s="453"/>
      <c r="BK34" s="453"/>
      <c r="BL34" s="453"/>
      <c r="BM34" s="502"/>
      <c r="BN34" s="490"/>
      <c r="BO34" s="470"/>
      <c r="BP34" s="490"/>
      <c r="BQ34" s="453"/>
      <c r="BR34" s="502"/>
      <c r="BS34" s="524"/>
      <c r="BT34" s="458"/>
    </row>
    <row r="35" s="435" customFormat="1" ht="18" customHeight="1" spans="1:72">
      <c r="A35" s="451" t="s">
        <v>4032</v>
      </c>
      <c r="B35" s="456">
        <v>43448</v>
      </c>
      <c r="C35" s="454">
        <v>1000002889</v>
      </c>
      <c r="D35" s="451"/>
      <c r="E35" s="457"/>
      <c r="F35" s="453">
        <v>5000</v>
      </c>
      <c r="G35" s="453"/>
      <c r="H35" s="453"/>
      <c r="I35" s="453"/>
      <c r="J35" s="453"/>
      <c r="K35" s="453"/>
      <c r="L35" s="453"/>
      <c r="M35" s="453"/>
      <c r="N35" s="453"/>
      <c r="O35" s="453"/>
      <c r="P35" s="453"/>
      <c r="Q35" s="453"/>
      <c r="R35" s="453"/>
      <c r="S35" s="453"/>
      <c r="T35" s="453"/>
      <c r="U35" s="453"/>
      <c r="V35" s="453"/>
      <c r="W35" s="453"/>
      <c r="X35" s="453"/>
      <c r="Y35" s="453"/>
      <c r="Z35" s="489"/>
      <c r="AA35" s="489"/>
      <c r="AB35" s="490"/>
      <c r="AC35" s="453"/>
      <c r="AD35" s="453"/>
      <c r="AE35" s="453"/>
      <c r="AF35" s="453"/>
      <c r="AG35" s="453"/>
      <c r="AH35" s="453"/>
      <c r="AI35" s="453"/>
      <c r="AJ35" s="453"/>
      <c r="AK35" s="453"/>
      <c r="AL35" s="453"/>
      <c r="AM35" s="453"/>
      <c r="AN35" s="453"/>
      <c r="AO35" s="453"/>
      <c r="AP35" s="453"/>
      <c r="AQ35" s="453"/>
      <c r="AR35" s="453"/>
      <c r="AS35" s="453"/>
      <c r="AT35" s="453"/>
      <c r="AU35" s="453"/>
      <c r="AV35" s="453"/>
      <c r="AW35" s="453"/>
      <c r="AX35" s="453"/>
      <c r="AY35" s="453"/>
      <c r="AZ35" s="453"/>
      <c r="BA35" s="453"/>
      <c r="BB35" s="502"/>
      <c r="BC35" s="503"/>
      <c r="BD35" s="453"/>
      <c r="BE35" s="453"/>
      <c r="BF35" s="470"/>
      <c r="BG35" s="453"/>
      <c r="BH35" s="453"/>
      <c r="BI35" s="453"/>
      <c r="BJ35" s="453"/>
      <c r="BK35" s="453"/>
      <c r="BL35" s="453"/>
      <c r="BM35" s="502"/>
      <c r="BN35" s="490"/>
      <c r="BO35" s="470"/>
      <c r="BP35" s="490"/>
      <c r="BQ35" s="453"/>
      <c r="BR35" s="502"/>
      <c r="BS35" s="524"/>
      <c r="BT35" s="458"/>
    </row>
    <row r="36" s="435" customFormat="1" ht="18" customHeight="1" spans="1:72">
      <c r="A36" s="451" t="s">
        <v>4032</v>
      </c>
      <c r="B36" s="456">
        <v>43448</v>
      </c>
      <c r="C36" s="454">
        <v>1000002890</v>
      </c>
      <c r="D36" s="451"/>
      <c r="E36" s="457"/>
      <c r="F36" s="453"/>
      <c r="G36" s="453"/>
      <c r="H36" s="453">
        <v>5000</v>
      </c>
      <c r="I36" s="453"/>
      <c r="J36" s="453"/>
      <c r="K36" s="453"/>
      <c r="L36" s="453"/>
      <c r="M36" s="453"/>
      <c r="N36" s="453"/>
      <c r="O36" s="453"/>
      <c r="P36" s="453"/>
      <c r="Q36" s="453"/>
      <c r="R36" s="453"/>
      <c r="S36" s="453"/>
      <c r="T36" s="453"/>
      <c r="U36" s="453"/>
      <c r="V36" s="453"/>
      <c r="W36" s="453"/>
      <c r="X36" s="453"/>
      <c r="Y36" s="453"/>
      <c r="Z36" s="489"/>
      <c r="AA36" s="489"/>
      <c r="AB36" s="490"/>
      <c r="AC36" s="453"/>
      <c r="AD36" s="453"/>
      <c r="AE36" s="453"/>
      <c r="AF36" s="453"/>
      <c r="AG36" s="453"/>
      <c r="AH36" s="453"/>
      <c r="AI36" s="453"/>
      <c r="AJ36" s="453"/>
      <c r="AK36" s="453"/>
      <c r="AL36" s="453"/>
      <c r="AM36" s="453"/>
      <c r="AN36" s="453"/>
      <c r="AO36" s="453"/>
      <c r="AP36" s="453"/>
      <c r="AQ36" s="453"/>
      <c r="AR36" s="453"/>
      <c r="AS36" s="453"/>
      <c r="AT36" s="453"/>
      <c r="AU36" s="453"/>
      <c r="AV36" s="453"/>
      <c r="AW36" s="453"/>
      <c r="AX36" s="453"/>
      <c r="AY36" s="453"/>
      <c r="AZ36" s="453"/>
      <c r="BA36" s="453"/>
      <c r="BB36" s="502"/>
      <c r="BC36" s="503"/>
      <c r="BD36" s="453"/>
      <c r="BE36" s="453"/>
      <c r="BF36" s="470"/>
      <c r="BG36" s="453"/>
      <c r="BH36" s="453"/>
      <c r="BI36" s="453"/>
      <c r="BJ36" s="453"/>
      <c r="BK36" s="453"/>
      <c r="BL36" s="453"/>
      <c r="BM36" s="502"/>
      <c r="BN36" s="490"/>
      <c r="BO36" s="470"/>
      <c r="BP36" s="490"/>
      <c r="BQ36" s="453"/>
      <c r="BR36" s="502"/>
      <c r="BS36" s="524"/>
      <c r="BT36" s="458"/>
    </row>
    <row r="37" s="435" customFormat="1" ht="18" customHeight="1" spans="1:72">
      <c r="A37" s="451" t="s">
        <v>4032</v>
      </c>
      <c r="B37" s="456">
        <v>43448</v>
      </c>
      <c r="C37" s="454">
        <v>1000002891</v>
      </c>
      <c r="D37" s="451"/>
      <c r="E37" s="457"/>
      <c r="F37" s="453"/>
      <c r="G37" s="453"/>
      <c r="H37" s="453"/>
      <c r="I37" s="453"/>
      <c r="J37" s="453"/>
      <c r="K37" s="453"/>
      <c r="L37" s="453"/>
      <c r="M37" s="453"/>
      <c r="N37" s="453"/>
      <c r="O37" s="453"/>
      <c r="P37" s="453"/>
      <c r="Q37" s="453"/>
      <c r="R37" s="453">
        <v>10000</v>
      </c>
      <c r="S37" s="453"/>
      <c r="T37" s="453"/>
      <c r="U37" s="453"/>
      <c r="V37" s="453"/>
      <c r="W37" s="453"/>
      <c r="X37" s="453"/>
      <c r="Y37" s="453"/>
      <c r="Z37" s="489"/>
      <c r="AA37" s="489"/>
      <c r="AB37" s="490"/>
      <c r="AC37" s="453"/>
      <c r="AD37" s="453"/>
      <c r="AE37" s="453"/>
      <c r="AF37" s="453"/>
      <c r="AG37" s="453"/>
      <c r="AH37" s="453"/>
      <c r="AI37" s="453"/>
      <c r="AJ37" s="453"/>
      <c r="AK37" s="453"/>
      <c r="AL37" s="453"/>
      <c r="AM37" s="453"/>
      <c r="AN37" s="453"/>
      <c r="AO37" s="453"/>
      <c r="AP37" s="453"/>
      <c r="AQ37" s="453"/>
      <c r="AR37" s="453"/>
      <c r="AS37" s="453"/>
      <c r="AT37" s="453"/>
      <c r="AU37" s="453"/>
      <c r="AV37" s="453"/>
      <c r="AW37" s="453"/>
      <c r="AX37" s="453"/>
      <c r="AY37" s="453"/>
      <c r="AZ37" s="453"/>
      <c r="BA37" s="453"/>
      <c r="BB37" s="502"/>
      <c r="BC37" s="503"/>
      <c r="BD37" s="453"/>
      <c r="BE37" s="453"/>
      <c r="BF37" s="470"/>
      <c r="BG37" s="453"/>
      <c r="BH37" s="453"/>
      <c r="BI37" s="453"/>
      <c r="BJ37" s="453"/>
      <c r="BK37" s="453"/>
      <c r="BL37" s="453"/>
      <c r="BM37" s="502"/>
      <c r="BN37" s="490"/>
      <c r="BO37" s="470"/>
      <c r="BP37" s="490"/>
      <c r="BQ37" s="453"/>
      <c r="BR37" s="502"/>
      <c r="BS37" s="524"/>
      <c r="BT37" s="458"/>
    </row>
    <row r="38" s="435" customFormat="1" ht="18" customHeight="1" spans="1:72">
      <c r="A38" s="451" t="s">
        <v>4032</v>
      </c>
      <c r="B38" s="456">
        <v>43510</v>
      </c>
      <c r="C38" s="454">
        <v>1000003108</v>
      </c>
      <c r="D38" s="451"/>
      <c r="E38" s="457"/>
      <c r="F38" s="453"/>
      <c r="G38" s="453"/>
      <c r="H38" s="453"/>
      <c r="I38" s="453"/>
      <c r="J38" s="453"/>
      <c r="K38" s="453">
        <v>6000</v>
      </c>
      <c r="L38" s="453"/>
      <c r="M38" s="453"/>
      <c r="N38" s="453"/>
      <c r="O38" s="453"/>
      <c r="P38" s="453"/>
      <c r="Q38" s="453"/>
      <c r="R38" s="453"/>
      <c r="S38" s="453"/>
      <c r="T38" s="453"/>
      <c r="U38" s="453"/>
      <c r="V38" s="453"/>
      <c r="W38" s="453"/>
      <c r="X38" s="453"/>
      <c r="Y38" s="453"/>
      <c r="Z38" s="489"/>
      <c r="AA38" s="489"/>
      <c r="AB38" s="490"/>
      <c r="AC38" s="453"/>
      <c r="AD38" s="453"/>
      <c r="AE38" s="453"/>
      <c r="AF38" s="453"/>
      <c r="AG38" s="453"/>
      <c r="AH38" s="453"/>
      <c r="AI38" s="453"/>
      <c r="AJ38" s="453"/>
      <c r="AK38" s="453"/>
      <c r="AL38" s="453"/>
      <c r="AM38" s="453"/>
      <c r="AN38" s="453"/>
      <c r="AO38" s="453"/>
      <c r="AP38" s="453"/>
      <c r="AQ38" s="453"/>
      <c r="AR38" s="453"/>
      <c r="AS38" s="453"/>
      <c r="AT38" s="453"/>
      <c r="AU38" s="453"/>
      <c r="AV38" s="453"/>
      <c r="AW38" s="453"/>
      <c r="AX38" s="453"/>
      <c r="AY38" s="453"/>
      <c r="AZ38" s="453"/>
      <c r="BA38" s="453"/>
      <c r="BB38" s="502"/>
      <c r="BC38" s="503"/>
      <c r="BD38" s="453"/>
      <c r="BE38" s="453"/>
      <c r="BF38" s="470"/>
      <c r="BG38" s="453"/>
      <c r="BH38" s="453"/>
      <c r="BI38" s="453"/>
      <c r="BJ38" s="453"/>
      <c r="BK38" s="453"/>
      <c r="BL38" s="453"/>
      <c r="BM38" s="502"/>
      <c r="BN38" s="490"/>
      <c r="BO38" s="470"/>
      <c r="BP38" s="490"/>
      <c r="BQ38" s="453"/>
      <c r="BR38" s="502"/>
      <c r="BS38" s="524"/>
      <c r="BT38" s="458"/>
    </row>
    <row r="39" s="435" customFormat="1" ht="18" customHeight="1" spans="1:72">
      <c r="A39" s="451" t="s">
        <v>4032</v>
      </c>
      <c r="B39" s="456">
        <v>43510</v>
      </c>
      <c r="C39" s="454">
        <v>1000003050</v>
      </c>
      <c r="D39" s="451"/>
      <c r="E39" s="457"/>
      <c r="F39" s="453"/>
      <c r="G39" s="453"/>
      <c r="H39" s="453"/>
      <c r="I39" s="453"/>
      <c r="J39" s="453"/>
      <c r="K39" s="453"/>
      <c r="L39" s="453"/>
      <c r="M39" s="453"/>
      <c r="N39" s="453"/>
      <c r="O39" s="453"/>
      <c r="P39" s="453"/>
      <c r="Q39" s="453"/>
      <c r="R39" s="453">
        <v>2000</v>
      </c>
      <c r="S39" s="453"/>
      <c r="T39" s="453"/>
      <c r="U39" s="453"/>
      <c r="V39" s="453"/>
      <c r="W39" s="453"/>
      <c r="X39" s="453"/>
      <c r="Y39" s="453"/>
      <c r="Z39" s="489"/>
      <c r="AA39" s="489"/>
      <c r="AB39" s="490"/>
      <c r="AC39" s="453"/>
      <c r="AD39" s="453"/>
      <c r="AE39" s="453"/>
      <c r="AF39" s="453"/>
      <c r="AG39" s="453"/>
      <c r="AH39" s="453"/>
      <c r="AI39" s="453"/>
      <c r="AJ39" s="453"/>
      <c r="AK39" s="453"/>
      <c r="AL39" s="453"/>
      <c r="AM39" s="453"/>
      <c r="AN39" s="453"/>
      <c r="AO39" s="453"/>
      <c r="AP39" s="453"/>
      <c r="AQ39" s="453"/>
      <c r="AR39" s="453"/>
      <c r="AS39" s="453"/>
      <c r="AT39" s="453"/>
      <c r="AU39" s="453"/>
      <c r="AV39" s="453"/>
      <c r="AW39" s="453"/>
      <c r="AX39" s="453"/>
      <c r="AY39" s="453"/>
      <c r="AZ39" s="453"/>
      <c r="BA39" s="453"/>
      <c r="BB39" s="502"/>
      <c r="BC39" s="503"/>
      <c r="BD39" s="453"/>
      <c r="BE39" s="453"/>
      <c r="BF39" s="470"/>
      <c r="BG39" s="453"/>
      <c r="BH39" s="453"/>
      <c r="BI39" s="453"/>
      <c r="BJ39" s="453"/>
      <c r="BK39" s="453"/>
      <c r="BL39" s="453"/>
      <c r="BM39" s="502"/>
      <c r="BN39" s="490"/>
      <c r="BO39" s="470"/>
      <c r="BP39" s="490"/>
      <c r="BQ39" s="453"/>
      <c r="BR39" s="502"/>
      <c r="BS39" s="524"/>
      <c r="BT39" s="458"/>
    </row>
    <row r="40" s="435" customFormat="1" ht="18" customHeight="1" spans="1:72">
      <c r="A40" s="451" t="s">
        <v>4032</v>
      </c>
      <c r="B40" s="456">
        <v>43523</v>
      </c>
      <c r="C40" s="454">
        <v>1000003105</v>
      </c>
      <c r="D40" s="451"/>
      <c r="E40" s="457"/>
      <c r="F40" s="453"/>
      <c r="G40" s="453"/>
      <c r="H40" s="453"/>
      <c r="I40" s="453">
        <v>15000</v>
      </c>
      <c r="J40" s="453"/>
      <c r="K40" s="453"/>
      <c r="L40" s="453"/>
      <c r="M40" s="453"/>
      <c r="N40" s="453"/>
      <c r="O40" s="453"/>
      <c r="P40" s="453"/>
      <c r="Q40" s="453"/>
      <c r="R40" s="453"/>
      <c r="S40" s="453"/>
      <c r="T40" s="453"/>
      <c r="U40" s="453"/>
      <c r="V40" s="453"/>
      <c r="W40" s="453"/>
      <c r="X40" s="453"/>
      <c r="Y40" s="453"/>
      <c r="Z40" s="489"/>
      <c r="AA40" s="489"/>
      <c r="AB40" s="490"/>
      <c r="AC40" s="453"/>
      <c r="AD40" s="453"/>
      <c r="AE40" s="453"/>
      <c r="AF40" s="453"/>
      <c r="AG40" s="453"/>
      <c r="AH40" s="453"/>
      <c r="AI40" s="453"/>
      <c r="AJ40" s="453"/>
      <c r="AK40" s="453"/>
      <c r="AL40" s="453"/>
      <c r="AM40" s="453"/>
      <c r="AN40" s="453"/>
      <c r="AO40" s="453"/>
      <c r="AP40" s="453"/>
      <c r="AQ40" s="453"/>
      <c r="AR40" s="453"/>
      <c r="AS40" s="453"/>
      <c r="AT40" s="453"/>
      <c r="AU40" s="453"/>
      <c r="AV40" s="453"/>
      <c r="AW40" s="453"/>
      <c r="AX40" s="453"/>
      <c r="AY40" s="453"/>
      <c r="AZ40" s="453"/>
      <c r="BA40" s="453"/>
      <c r="BB40" s="502"/>
      <c r="BC40" s="503"/>
      <c r="BD40" s="453"/>
      <c r="BE40" s="453"/>
      <c r="BF40" s="470"/>
      <c r="BG40" s="453"/>
      <c r="BH40" s="453"/>
      <c r="BI40" s="453"/>
      <c r="BJ40" s="453"/>
      <c r="BK40" s="453"/>
      <c r="BL40" s="453"/>
      <c r="BM40" s="502"/>
      <c r="BN40" s="490"/>
      <c r="BO40" s="470"/>
      <c r="BP40" s="490"/>
      <c r="BQ40" s="453"/>
      <c r="BR40" s="502"/>
      <c r="BS40" s="524"/>
      <c r="BT40" s="458"/>
    </row>
    <row r="41" s="435" customFormat="1" ht="18" customHeight="1" spans="1:72">
      <c r="A41" s="451" t="s">
        <v>4032</v>
      </c>
      <c r="B41" s="456">
        <v>43523</v>
      </c>
      <c r="C41" s="454">
        <v>1000003106</v>
      </c>
      <c r="D41" s="451"/>
      <c r="E41" s="457"/>
      <c r="F41" s="453"/>
      <c r="G41" s="453"/>
      <c r="H41" s="453"/>
      <c r="I41" s="453"/>
      <c r="J41" s="453">
        <v>15000</v>
      </c>
      <c r="K41" s="453"/>
      <c r="L41" s="453"/>
      <c r="M41" s="453"/>
      <c r="N41" s="453"/>
      <c r="O41" s="453"/>
      <c r="P41" s="453"/>
      <c r="Q41" s="453"/>
      <c r="R41" s="453"/>
      <c r="S41" s="453"/>
      <c r="T41" s="453"/>
      <c r="U41" s="453"/>
      <c r="V41" s="453"/>
      <c r="W41" s="453"/>
      <c r="X41" s="453"/>
      <c r="Y41" s="453"/>
      <c r="Z41" s="489"/>
      <c r="AA41" s="489"/>
      <c r="AB41" s="490"/>
      <c r="AC41" s="453"/>
      <c r="AD41" s="453"/>
      <c r="AE41" s="453"/>
      <c r="AF41" s="453"/>
      <c r="AG41" s="453"/>
      <c r="AH41" s="453"/>
      <c r="AI41" s="453"/>
      <c r="AJ41" s="453"/>
      <c r="AK41" s="453"/>
      <c r="AL41" s="453"/>
      <c r="AM41" s="453"/>
      <c r="AN41" s="453"/>
      <c r="AO41" s="453"/>
      <c r="AP41" s="453"/>
      <c r="AQ41" s="453"/>
      <c r="AR41" s="453"/>
      <c r="AS41" s="453"/>
      <c r="AT41" s="453"/>
      <c r="AU41" s="453"/>
      <c r="AV41" s="453"/>
      <c r="AW41" s="453"/>
      <c r="AX41" s="453"/>
      <c r="AY41" s="453"/>
      <c r="AZ41" s="453"/>
      <c r="BA41" s="453"/>
      <c r="BB41" s="502"/>
      <c r="BC41" s="503"/>
      <c r="BD41" s="453"/>
      <c r="BE41" s="453"/>
      <c r="BF41" s="470"/>
      <c r="BG41" s="453"/>
      <c r="BH41" s="453"/>
      <c r="BI41" s="453"/>
      <c r="BJ41" s="453"/>
      <c r="BK41" s="453"/>
      <c r="BL41" s="453"/>
      <c r="BM41" s="502"/>
      <c r="BN41" s="490"/>
      <c r="BO41" s="470"/>
      <c r="BP41" s="490"/>
      <c r="BQ41" s="453"/>
      <c r="BR41" s="502"/>
      <c r="BS41" s="524"/>
      <c r="BT41" s="458"/>
    </row>
    <row r="42" s="435" customFormat="1" ht="18" customHeight="1" spans="1:72">
      <c r="A42" s="451" t="s">
        <v>4032</v>
      </c>
      <c r="B42" s="456">
        <v>43523</v>
      </c>
      <c r="C42" s="454">
        <v>1000003107</v>
      </c>
      <c r="D42" s="451"/>
      <c r="E42" s="457"/>
      <c r="F42" s="453"/>
      <c r="G42" s="453"/>
      <c r="H42" s="453"/>
      <c r="I42" s="453"/>
      <c r="J42" s="453"/>
      <c r="K42" s="453">
        <v>15000</v>
      </c>
      <c r="L42" s="453"/>
      <c r="M42" s="453"/>
      <c r="N42" s="453"/>
      <c r="O42" s="453"/>
      <c r="P42" s="453"/>
      <c r="Q42" s="453"/>
      <c r="R42" s="453"/>
      <c r="S42" s="453"/>
      <c r="T42" s="453"/>
      <c r="U42" s="453"/>
      <c r="V42" s="453"/>
      <c r="W42" s="453"/>
      <c r="X42" s="453"/>
      <c r="Y42" s="453"/>
      <c r="Z42" s="489"/>
      <c r="AA42" s="489"/>
      <c r="AB42" s="490"/>
      <c r="AC42" s="453"/>
      <c r="AD42" s="453"/>
      <c r="AE42" s="453"/>
      <c r="AF42" s="453"/>
      <c r="AG42" s="453"/>
      <c r="AH42" s="453"/>
      <c r="AI42" s="453"/>
      <c r="AJ42" s="453"/>
      <c r="AK42" s="453"/>
      <c r="AL42" s="453"/>
      <c r="AM42" s="453"/>
      <c r="AN42" s="453"/>
      <c r="AO42" s="453"/>
      <c r="AP42" s="453"/>
      <c r="AQ42" s="453"/>
      <c r="AR42" s="453"/>
      <c r="AS42" s="453"/>
      <c r="AT42" s="453"/>
      <c r="AU42" s="453"/>
      <c r="AV42" s="453"/>
      <c r="AW42" s="453"/>
      <c r="AX42" s="453"/>
      <c r="AY42" s="453"/>
      <c r="AZ42" s="453"/>
      <c r="BA42" s="453"/>
      <c r="BB42" s="502"/>
      <c r="BC42" s="503"/>
      <c r="BD42" s="453"/>
      <c r="BE42" s="453"/>
      <c r="BF42" s="470"/>
      <c r="BG42" s="453"/>
      <c r="BH42" s="453"/>
      <c r="BI42" s="453"/>
      <c r="BJ42" s="453"/>
      <c r="BK42" s="453"/>
      <c r="BL42" s="453"/>
      <c r="BM42" s="502"/>
      <c r="BN42" s="490"/>
      <c r="BO42" s="470"/>
      <c r="BP42" s="490"/>
      <c r="BQ42" s="453"/>
      <c r="BR42" s="502"/>
      <c r="BS42" s="524"/>
      <c r="BT42" s="458"/>
    </row>
    <row r="43" s="435" customFormat="1" ht="18" customHeight="1" spans="1:72">
      <c r="A43" s="451" t="s">
        <v>4032</v>
      </c>
      <c r="B43" s="456">
        <v>43523</v>
      </c>
      <c r="C43" s="454">
        <v>1000003109</v>
      </c>
      <c r="D43" s="451"/>
      <c r="E43" s="457"/>
      <c r="F43" s="453"/>
      <c r="G43" s="453"/>
      <c r="H43" s="453"/>
      <c r="I43" s="453"/>
      <c r="J43" s="453"/>
      <c r="K43" s="453"/>
      <c r="L43" s="453"/>
      <c r="M43" s="453"/>
      <c r="N43" s="453"/>
      <c r="O43" s="453"/>
      <c r="P43" s="453"/>
      <c r="Q43" s="453"/>
      <c r="R43" s="453">
        <v>40000</v>
      </c>
      <c r="S43" s="453"/>
      <c r="T43" s="453"/>
      <c r="U43" s="453"/>
      <c r="V43" s="453"/>
      <c r="W43" s="453"/>
      <c r="X43" s="453"/>
      <c r="Y43" s="453"/>
      <c r="Z43" s="489"/>
      <c r="AA43" s="489"/>
      <c r="AB43" s="490"/>
      <c r="AC43" s="453"/>
      <c r="AD43" s="453"/>
      <c r="AE43" s="453"/>
      <c r="AF43" s="453"/>
      <c r="AG43" s="453"/>
      <c r="AH43" s="453"/>
      <c r="AI43" s="453"/>
      <c r="AJ43" s="453"/>
      <c r="AK43" s="453"/>
      <c r="AL43" s="453"/>
      <c r="AM43" s="453"/>
      <c r="AN43" s="453"/>
      <c r="AO43" s="453"/>
      <c r="AP43" s="453"/>
      <c r="AQ43" s="453"/>
      <c r="AR43" s="453"/>
      <c r="AS43" s="453"/>
      <c r="AT43" s="453"/>
      <c r="AU43" s="453"/>
      <c r="AV43" s="453"/>
      <c r="AW43" s="453"/>
      <c r="AX43" s="453"/>
      <c r="AY43" s="453"/>
      <c r="AZ43" s="453"/>
      <c r="BA43" s="453"/>
      <c r="BB43" s="502"/>
      <c r="BC43" s="503"/>
      <c r="BD43" s="453"/>
      <c r="BE43" s="453"/>
      <c r="BF43" s="470"/>
      <c r="BG43" s="453"/>
      <c r="BH43" s="453"/>
      <c r="BI43" s="453"/>
      <c r="BJ43" s="453"/>
      <c r="BK43" s="453"/>
      <c r="BL43" s="453"/>
      <c r="BM43" s="502"/>
      <c r="BN43" s="490"/>
      <c r="BO43" s="470"/>
      <c r="BP43" s="490"/>
      <c r="BQ43" s="453"/>
      <c r="BR43" s="502"/>
      <c r="BS43" s="524"/>
      <c r="BT43" s="458"/>
    </row>
    <row r="44" s="435" customFormat="1" ht="18" customHeight="1" spans="1:72">
      <c r="A44" s="451"/>
      <c r="B44" s="456">
        <v>43559</v>
      </c>
      <c r="C44" s="454"/>
      <c r="D44" s="451"/>
      <c r="E44" s="457"/>
      <c r="F44" s="453"/>
      <c r="G44" s="453"/>
      <c r="H44" s="453"/>
      <c r="I44" s="453"/>
      <c r="J44" s="453"/>
      <c r="K44" s="453"/>
      <c r="L44" s="453"/>
      <c r="M44" s="453"/>
      <c r="N44" s="453"/>
      <c r="O44" s="453"/>
      <c r="P44" s="453"/>
      <c r="Q44" s="453"/>
      <c r="R44" s="453"/>
      <c r="S44" s="453"/>
      <c r="T44" s="453"/>
      <c r="U44" s="453"/>
      <c r="V44" s="453"/>
      <c r="W44" s="453"/>
      <c r="X44" s="453"/>
      <c r="Y44" s="453"/>
      <c r="Z44" s="489"/>
      <c r="AA44" s="489"/>
      <c r="AB44" s="490"/>
      <c r="AC44" s="453"/>
      <c r="AD44" s="453"/>
      <c r="AE44" s="453"/>
      <c r="AF44" s="453"/>
      <c r="AG44" s="453"/>
      <c r="AH44" s="453"/>
      <c r="AI44" s="453"/>
      <c r="AJ44" s="453"/>
      <c r="AK44" s="453"/>
      <c r="AL44" s="453"/>
      <c r="AM44" s="453"/>
      <c r="AN44" s="453"/>
      <c r="AO44" s="453"/>
      <c r="AP44" s="453"/>
      <c r="AQ44" s="453"/>
      <c r="AR44" s="453"/>
      <c r="AS44" s="453"/>
      <c r="AT44" s="453"/>
      <c r="AU44" s="453"/>
      <c r="AV44" s="453">
        <v>300000</v>
      </c>
      <c r="AW44" s="453"/>
      <c r="AX44" s="453"/>
      <c r="AY44" s="453"/>
      <c r="AZ44" s="453"/>
      <c r="BA44" s="453"/>
      <c r="BB44" s="502"/>
      <c r="BC44" s="503"/>
      <c r="BD44" s="453"/>
      <c r="BE44" s="453"/>
      <c r="BF44" s="470"/>
      <c r="BG44" s="453"/>
      <c r="BH44" s="453"/>
      <c r="BI44" s="453"/>
      <c r="BJ44" s="453"/>
      <c r="BK44" s="453"/>
      <c r="BL44" s="453"/>
      <c r="BM44" s="502"/>
      <c r="BN44" s="490"/>
      <c r="BO44" s="470"/>
      <c r="BP44" s="490"/>
      <c r="BQ44" s="453"/>
      <c r="BR44" s="502"/>
      <c r="BS44" s="524"/>
      <c r="BT44" s="458"/>
    </row>
    <row r="45" s="435" customFormat="1" ht="18" customHeight="1" spans="1:72">
      <c r="A45" s="451" t="s">
        <v>4033</v>
      </c>
      <c r="B45" s="456">
        <v>43574</v>
      </c>
      <c r="C45" s="454">
        <v>1000003283</v>
      </c>
      <c r="D45" s="451"/>
      <c r="E45" s="457"/>
      <c r="F45" s="453"/>
      <c r="G45" s="453"/>
      <c r="H45" s="453"/>
      <c r="I45" s="453"/>
      <c r="J45" s="453"/>
      <c r="K45" s="453"/>
      <c r="L45" s="453"/>
      <c r="M45" s="453"/>
      <c r="N45" s="453"/>
      <c r="O45" s="453"/>
      <c r="P45" s="453"/>
      <c r="Q45" s="453"/>
      <c r="R45" s="453"/>
      <c r="S45" s="453"/>
      <c r="T45" s="453"/>
      <c r="U45" s="453"/>
      <c r="V45" s="453"/>
      <c r="W45" s="453"/>
      <c r="X45" s="453"/>
      <c r="Y45" s="453"/>
      <c r="Z45" s="489"/>
      <c r="AA45" s="489"/>
      <c r="AB45" s="490">
        <v>40000</v>
      </c>
      <c r="AC45" s="453"/>
      <c r="AD45" s="453"/>
      <c r="AE45" s="453"/>
      <c r="AF45" s="453"/>
      <c r="AG45" s="453"/>
      <c r="AH45" s="453"/>
      <c r="AI45" s="453"/>
      <c r="AJ45" s="453"/>
      <c r="AK45" s="453"/>
      <c r="AL45" s="453"/>
      <c r="AM45" s="453"/>
      <c r="AN45" s="453"/>
      <c r="AO45" s="453"/>
      <c r="AP45" s="453"/>
      <c r="AQ45" s="453"/>
      <c r="AR45" s="453"/>
      <c r="AS45" s="453"/>
      <c r="AT45" s="453"/>
      <c r="AU45" s="453"/>
      <c r="AV45" s="453"/>
      <c r="AW45" s="453"/>
      <c r="AX45" s="453"/>
      <c r="AY45" s="453"/>
      <c r="AZ45" s="453"/>
      <c r="BA45" s="453"/>
      <c r="BB45" s="502"/>
      <c r="BC45" s="503"/>
      <c r="BD45" s="453"/>
      <c r="BE45" s="453"/>
      <c r="BF45" s="470"/>
      <c r="BG45" s="453"/>
      <c r="BH45" s="453"/>
      <c r="BI45" s="453"/>
      <c r="BJ45" s="453"/>
      <c r="BK45" s="453"/>
      <c r="BL45" s="453"/>
      <c r="BM45" s="502"/>
      <c r="BN45" s="490"/>
      <c r="BO45" s="470"/>
      <c r="BP45" s="490"/>
      <c r="BQ45" s="453"/>
      <c r="BR45" s="502"/>
      <c r="BS45" s="524"/>
      <c r="BT45" s="458"/>
    </row>
    <row r="46" s="435" customFormat="1" ht="18" customHeight="1" spans="1:72">
      <c r="A46" s="451" t="s">
        <v>4033</v>
      </c>
      <c r="B46" s="456">
        <v>43574</v>
      </c>
      <c r="C46" s="454">
        <v>1000003284</v>
      </c>
      <c r="D46" s="451"/>
      <c r="E46" s="457"/>
      <c r="F46" s="453"/>
      <c r="G46" s="453"/>
      <c r="H46" s="453"/>
      <c r="I46" s="453"/>
      <c r="J46" s="453"/>
      <c r="K46" s="453"/>
      <c r="L46" s="453"/>
      <c r="M46" s="453"/>
      <c r="N46" s="453"/>
      <c r="O46" s="453"/>
      <c r="P46" s="453"/>
      <c r="Q46" s="453"/>
      <c r="R46" s="453"/>
      <c r="S46" s="453"/>
      <c r="T46" s="453"/>
      <c r="U46" s="453"/>
      <c r="V46" s="453"/>
      <c r="W46" s="453"/>
      <c r="X46" s="453"/>
      <c r="Y46" s="453"/>
      <c r="Z46" s="489"/>
      <c r="AA46" s="489"/>
      <c r="AB46" s="490"/>
      <c r="AC46" s="453"/>
      <c r="AD46" s="453"/>
      <c r="AE46" s="453"/>
      <c r="AF46" s="453"/>
      <c r="AG46" s="453">
        <v>15000</v>
      </c>
      <c r="AH46" s="453"/>
      <c r="AI46" s="453"/>
      <c r="AJ46" s="453"/>
      <c r="AK46" s="453"/>
      <c r="AL46" s="453"/>
      <c r="AM46" s="453"/>
      <c r="AN46" s="453"/>
      <c r="AO46" s="453"/>
      <c r="AP46" s="453"/>
      <c r="AQ46" s="453"/>
      <c r="AR46" s="453"/>
      <c r="AS46" s="453"/>
      <c r="AT46" s="453"/>
      <c r="AU46" s="453"/>
      <c r="AV46" s="453"/>
      <c r="AW46" s="453"/>
      <c r="AX46" s="453"/>
      <c r="AY46" s="453"/>
      <c r="AZ46" s="453"/>
      <c r="BA46" s="453"/>
      <c r="BB46" s="502"/>
      <c r="BC46" s="503"/>
      <c r="BD46" s="453"/>
      <c r="BE46" s="453"/>
      <c r="BF46" s="470"/>
      <c r="BG46" s="453"/>
      <c r="BH46" s="453"/>
      <c r="BI46" s="453"/>
      <c r="BJ46" s="453"/>
      <c r="BK46" s="453"/>
      <c r="BL46" s="453"/>
      <c r="BM46" s="502"/>
      <c r="BN46" s="490"/>
      <c r="BO46" s="470"/>
      <c r="BP46" s="490"/>
      <c r="BQ46" s="453"/>
      <c r="BR46" s="502"/>
      <c r="BS46" s="524"/>
      <c r="BT46" s="458"/>
    </row>
    <row r="47" s="435" customFormat="1" ht="18" customHeight="1" spans="1:72">
      <c r="A47" s="451" t="s">
        <v>4033</v>
      </c>
      <c r="B47" s="456">
        <v>43574</v>
      </c>
      <c r="C47" s="454">
        <v>1000003298</v>
      </c>
      <c r="D47" s="451"/>
      <c r="E47" s="457"/>
      <c r="F47" s="453"/>
      <c r="G47" s="453"/>
      <c r="H47" s="453"/>
      <c r="I47" s="453"/>
      <c r="J47" s="453"/>
      <c r="K47" s="453"/>
      <c r="L47" s="453"/>
      <c r="M47" s="453"/>
      <c r="N47" s="453"/>
      <c r="O47" s="453"/>
      <c r="P47" s="453"/>
      <c r="Q47" s="453"/>
      <c r="R47" s="453"/>
      <c r="S47" s="453"/>
      <c r="T47" s="453"/>
      <c r="U47" s="453"/>
      <c r="V47" s="453"/>
      <c r="W47" s="453"/>
      <c r="X47" s="453"/>
      <c r="Y47" s="453"/>
      <c r="Z47" s="489"/>
      <c r="AA47" s="489"/>
      <c r="AB47" s="490"/>
      <c r="AC47" s="453"/>
      <c r="AD47" s="453"/>
      <c r="AE47" s="453"/>
      <c r="AF47" s="453"/>
      <c r="AG47" s="453"/>
      <c r="AH47" s="453"/>
      <c r="AI47" s="453"/>
      <c r="AJ47" s="453"/>
      <c r="AK47" s="453"/>
      <c r="AL47" s="453">
        <v>40000</v>
      </c>
      <c r="AM47" s="453"/>
      <c r="AN47" s="453"/>
      <c r="AO47" s="453"/>
      <c r="AP47" s="453"/>
      <c r="AQ47" s="453"/>
      <c r="AR47" s="453"/>
      <c r="AS47" s="453"/>
      <c r="AT47" s="453"/>
      <c r="AU47" s="453"/>
      <c r="AV47" s="453"/>
      <c r="AW47" s="453"/>
      <c r="AX47" s="453"/>
      <c r="AY47" s="453"/>
      <c r="AZ47" s="453"/>
      <c r="BA47" s="453"/>
      <c r="BB47" s="502"/>
      <c r="BC47" s="503"/>
      <c r="BD47" s="453"/>
      <c r="BE47" s="453"/>
      <c r="BF47" s="470"/>
      <c r="BG47" s="453"/>
      <c r="BH47" s="453"/>
      <c r="BI47" s="453"/>
      <c r="BJ47" s="453"/>
      <c r="BK47" s="453"/>
      <c r="BL47" s="453"/>
      <c r="BM47" s="502"/>
      <c r="BN47" s="490"/>
      <c r="BO47" s="470"/>
      <c r="BP47" s="490"/>
      <c r="BQ47" s="453"/>
      <c r="BR47" s="502"/>
      <c r="BS47" s="524"/>
      <c r="BT47" s="458"/>
    </row>
    <row r="48" s="435" customFormat="1" ht="18" customHeight="1" spans="1:72">
      <c r="A48" s="451" t="s">
        <v>4033</v>
      </c>
      <c r="B48" s="456">
        <v>43574</v>
      </c>
      <c r="C48" s="454">
        <v>1000003299</v>
      </c>
      <c r="D48" s="451"/>
      <c r="E48" s="457"/>
      <c r="F48" s="453"/>
      <c r="G48" s="453"/>
      <c r="H48" s="453"/>
      <c r="I48" s="453"/>
      <c r="J48" s="453"/>
      <c r="K48" s="453"/>
      <c r="L48" s="453"/>
      <c r="M48" s="453"/>
      <c r="N48" s="453"/>
      <c r="O48" s="453"/>
      <c r="P48" s="453"/>
      <c r="Q48" s="453"/>
      <c r="R48" s="453"/>
      <c r="S48" s="453"/>
      <c r="T48" s="453"/>
      <c r="U48" s="453"/>
      <c r="V48" s="453"/>
      <c r="W48" s="453"/>
      <c r="X48" s="453"/>
      <c r="Y48" s="453"/>
      <c r="Z48" s="489"/>
      <c r="AA48" s="489"/>
      <c r="AB48" s="490"/>
      <c r="AC48" s="453"/>
      <c r="AD48" s="453"/>
      <c r="AE48" s="453"/>
      <c r="AF48" s="453"/>
      <c r="AG48" s="453"/>
      <c r="AH48" s="453"/>
      <c r="AI48" s="453"/>
      <c r="AJ48" s="453"/>
      <c r="AK48" s="453"/>
      <c r="AL48" s="453"/>
      <c r="AM48" s="453"/>
      <c r="AN48" s="453"/>
      <c r="AO48" s="453"/>
      <c r="AP48" s="453">
        <v>15000</v>
      </c>
      <c r="AQ48" s="453"/>
      <c r="AR48" s="453"/>
      <c r="AS48" s="453"/>
      <c r="AT48" s="453"/>
      <c r="AU48" s="453"/>
      <c r="AV48" s="453"/>
      <c r="AW48" s="453"/>
      <c r="AX48" s="453"/>
      <c r="AY48" s="453"/>
      <c r="AZ48" s="453"/>
      <c r="BA48" s="453"/>
      <c r="BB48" s="502"/>
      <c r="BC48" s="503"/>
      <c r="BD48" s="453"/>
      <c r="BE48" s="453"/>
      <c r="BF48" s="470"/>
      <c r="BG48" s="453"/>
      <c r="BH48" s="453"/>
      <c r="BI48" s="453"/>
      <c r="BJ48" s="453"/>
      <c r="BK48" s="453"/>
      <c r="BL48" s="453"/>
      <c r="BM48" s="502"/>
      <c r="BN48" s="490"/>
      <c r="BO48" s="470"/>
      <c r="BP48" s="490"/>
      <c r="BQ48" s="453"/>
      <c r="BR48" s="502"/>
      <c r="BS48" s="524"/>
      <c r="BT48" s="458"/>
    </row>
    <row r="49" s="435" customFormat="1" ht="18" customHeight="1" spans="1:72">
      <c r="A49" s="451" t="s">
        <v>4033</v>
      </c>
      <c r="B49" s="456">
        <v>43579</v>
      </c>
      <c r="C49" s="454">
        <v>1000003334</v>
      </c>
      <c r="D49" s="451"/>
      <c r="E49" s="457"/>
      <c r="F49" s="453"/>
      <c r="G49" s="453"/>
      <c r="H49" s="453"/>
      <c r="I49" s="453"/>
      <c r="J49" s="453"/>
      <c r="K49" s="453"/>
      <c r="L49" s="453"/>
      <c r="M49" s="453"/>
      <c r="N49" s="453"/>
      <c r="O49" s="453"/>
      <c r="P49" s="453"/>
      <c r="Q49" s="453"/>
      <c r="R49" s="453"/>
      <c r="S49" s="453"/>
      <c r="T49" s="453"/>
      <c r="U49" s="453"/>
      <c r="V49" s="453"/>
      <c r="W49" s="453"/>
      <c r="X49" s="453"/>
      <c r="Y49" s="453"/>
      <c r="Z49" s="489"/>
      <c r="AA49" s="489"/>
      <c r="AB49" s="490">
        <v>80000</v>
      </c>
      <c r="AC49" s="453"/>
      <c r="AD49" s="453"/>
      <c r="AE49" s="453"/>
      <c r="AF49" s="453"/>
      <c r="AG49" s="453"/>
      <c r="AH49" s="453"/>
      <c r="AI49" s="453"/>
      <c r="AJ49" s="453"/>
      <c r="AK49" s="453"/>
      <c r="AL49" s="453"/>
      <c r="AM49" s="453"/>
      <c r="AN49" s="453"/>
      <c r="AO49" s="453"/>
      <c r="AP49" s="453"/>
      <c r="AQ49" s="453"/>
      <c r="AR49" s="453"/>
      <c r="AS49" s="453"/>
      <c r="AT49" s="453"/>
      <c r="AU49" s="453"/>
      <c r="AV49" s="453"/>
      <c r="AW49" s="453"/>
      <c r="AX49" s="453"/>
      <c r="AY49" s="453"/>
      <c r="AZ49" s="453"/>
      <c r="BA49" s="453"/>
      <c r="BB49" s="502"/>
      <c r="BC49" s="503"/>
      <c r="BD49" s="453"/>
      <c r="BE49" s="453"/>
      <c r="BF49" s="470"/>
      <c r="BG49" s="453"/>
      <c r="BH49" s="453"/>
      <c r="BI49" s="453"/>
      <c r="BJ49" s="453"/>
      <c r="BK49" s="453"/>
      <c r="BL49" s="453"/>
      <c r="BM49" s="502"/>
      <c r="BN49" s="490"/>
      <c r="BO49" s="470"/>
      <c r="BP49" s="490"/>
      <c r="BQ49" s="453"/>
      <c r="BR49" s="502"/>
      <c r="BS49" s="524"/>
      <c r="BT49" s="458"/>
    </row>
    <row r="50" s="435" customFormat="1" ht="18" customHeight="1" spans="1:72">
      <c r="A50" s="451" t="s">
        <v>4033</v>
      </c>
      <c r="B50" s="456">
        <v>43579</v>
      </c>
      <c r="C50" s="454">
        <v>1000003335</v>
      </c>
      <c r="D50" s="451"/>
      <c r="E50" s="457"/>
      <c r="F50" s="453"/>
      <c r="G50" s="453"/>
      <c r="H50" s="453"/>
      <c r="I50" s="453"/>
      <c r="J50" s="453"/>
      <c r="K50" s="453"/>
      <c r="L50" s="453"/>
      <c r="M50" s="453"/>
      <c r="N50" s="453"/>
      <c r="O50" s="453"/>
      <c r="P50" s="453"/>
      <c r="Q50" s="453"/>
      <c r="R50" s="453"/>
      <c r="S50" s="453"/>
      <c r="T50" s="453"/>
      <c r="U50" s="453"/>
      <c r="V50" s="453"/>
      <c r="W50" s="453"/>
      <c r="X50" s="453"/>
      <c r="Y50" s="453"/>
      <c r="Z50" s="489"/>
      <c r="AA50" s="489"/>
      <c r="AB50" s="490"/>
      <c r="AC50" s="453"/>
      <c r="AD50" s="453"/>
      <c r="AE50" s="453"/>
      <c r="AF50" s="453"/>
      <c r="AG50" s="453">
        <v>30000</v>
      </c>
      <c r="AH50" s="453"/>
      <c r="AI50" s="453"/>
      <c r="AJ50" s="453"/>
      <c r="AK50" s="453"/>
      <c r="AL50" s="453"/>
      <c r="AM50" s="453"/>
      <c r="AN50" s="453"/>
      <c r="AO50" s="453"/>
      <c r="AP50" s="453"/>
      <c r="AQ50" s="453"/>
      <c r="AR50" s="453"/>
      <c r="AS50" s="453"/>
      <c r="AT50" s="453"/>
      <c r="AU50" s="453"/>
      <c r="AV50" s="453"/>
      <c r="AW50" s="453"/>
      <c r="AX50" s="453"/>
      <c r="AY50" s="453"/>
      <c r="AZ50" s="453"/>
      <c r="BA50" s="453"/>
      <c r="BB50" s="502"/>
      <c r="BC50" s="503"/>
      <c r="BD50" s="453"/>
      <c r="BE50" s="453"/>
      <c r="BF50" s="470"/>
      <c r="BG50" s="453"/>
      <c r="BH50" s="453"/>
      <c r="BI50" s="453"/>
      <c r="BJ50" s="453"/>
      <c r="BK50" s="453"/>
      <c r="BL50" s="453"/>
      <c r="BM50" s="502"/>
      <c r="BN50" s="490"/>
      <c r="BO50" s="470"/>
      <c r="BP50" s="490"/>
      <c r="BQ50" s="453"/>
      <c r="BR50" s="502"/>
      <c r="BS50" s="524"/>
      <c r="BT50" s="458"/>
    </row>
    <row r="51" s="435" customFormat="1" ht="18" customHeight="1" spans="1:72">
      <c r="A51" s="451" t="s">
        <v>4033</v>
      </c>
      <c r="B51" s="456">
        <v>43579</v>
      </c>
      <c r="C51" s="454">
        <v>1000003336</v>
      </c>
      <c r="D51" s="451"/>
      <c r="E51" s="457"/>
      <c r="F51" s="453"/>
      <c r="G51" s="453"/>
      <c r="H51" s="453"/>
      <c r="I51" s="453"/>
      <c r="J51" s="453"/>
      <c r="K51" s="453"/>
      <c r="L51" s="453"/>
      <c r="M51" s="453"/>
      <c r="N51" s="453"/>
      <c r="O51" s="453"/>
      <c r="P51" s="453"/>
      <c r="Q51" s="453"/>
      <c r="R51" s="453"/>
      <c r="S51" s="453"/>
      <c r="T51" s="453"/>
      <c r="U51" s="453"/>
      <c r="V51" s="453"/>
      <c r="W51" s="453"/>
      <c r="X51" s="453"/>
      <c r="Y51" s="453"/>
      <c r="Z51" s="489"/>
      <c r="AA51" s="489"/>
      <c r="AB51" s="490"/>
      <c r="AC51" s="453"/>
      <c r="AD51" s="453"/>
      <c r="AE51" s="453"/>
      <c r="AF51" s="453"/>
      <c r="AG51" s="453"/>
      <c r="AH51" s="453"/>
      <c r="AI51" s="453"/>
      <c r="AJ51" s="453"/>
      <c r="AK51" s="453"/>
      <c r="AL51" s="453">
        <v>120000</v>
      </c>
      <c r="AM51" s="453"/>
      <c r="AN51" s="453"/>
      <c r="AO51" s="453"/>
      <c r="AP51" s="453"/>
      <c r="AQ51" s="453"/>
      <c r="AR51" s="453"/>
      <c r="AS51" s="453"/>
      <c r="AT51" s="453"/>
      <c r="AU51" s="453"/>
      <c r="AV51" s="453"/>
      <c r="AW51" s="453"/>
      <c r="AX51" s="453"/>
      <c r="AY51" s="453"/>
      <c r="AZ51" s="453"/>
      <c r="BA51" s="453"/>
      <c r="BB51" s="502"/>
      <c r="BC51" s="503"/>
      <c r="BD51" s="453"/>
      <c r="BE51" s="453"/>
      <c r="BF51" s="470"/>
      <c r="BG51" s="453"/>
      <c r="BH51" s="453"/>
      <c r="BI51" s="453"/>
      <c r="BJ51" s="453"/>
      <c r="BK51" s="453"/>
      <c r="BL51" s="453"/>
      <c r="BM51" s="502"/>
      <c r="BN51" s="490"/>
      <c r="BO51" s="470"/>
      <c r="BP51" s="490"/>
      <c r="BQ51" s="453"/>
      <c r="BR51" s="502"/>
      <c r="BS51" s="524"/>
      <c r="BT51" s="458"/>
    </row>
    <row r="52" s="435" customFormat="1" ht="18" customHeight="1" spans="1:72">
      <c r="A52" s="451" t="s">
        <v>4033</v>
      </c>
      <c r="B52" s="456">
        <v>43579</v>
      </c>
      <c r="C52" s="454">
        <v>1000003337</v>
      </c>
      <c r="D52" s="451"/>
      <c r="E52" s="457"/>
      <c r="F52" s="453"/>
      <c r="G52" s="453"/>
      <c r="H52" s="453"/>
      <c r="I52" s="453"/>
      <c r="J52" s="453"/>
      <c r="K52" s="453"/>
      <c r="L52" s="453"/>
      <c r="M52" s="453"/>
      <c r="N52" s="453"/>
      <c r="O52" s="453"/>
      <c r="P52" s="453"/>
      <c r="Q52" s="453"/>
      <c r="R52" s="453"/>
      <c r="S52" s="453"/>
      <c r="T52" s="453"/>
      <c r="U52" s="453"/>
      <c r="V52" s="453"/>
      <c r="W52" s="453"/>
      <c r="X52" s="453"/>
      <c r="Y52" s="453"/>
      <c r="Z52" s="489"/>
      <c r="AA52" s="489"/>
      <c r="AB52" s="490"/>
      <c r="AC52" s="453"/>
      <c r="AD52" s="453"/>
      <c r="AE52" s="453"/>
      <c r="AF52" s="453"/>
      <c r="AG52" s="453"/>
      <c r="AH52" s="453"/>
      <c r="AI52" s="453"/>
      <c r="AJ52" s="453"/>
      <c r="AK52" s="453"/>
      <c r="AL52" s="453"/>
      <c r="AM52" s="453"/>
      <c r="AN52" s="453"/>
      <c r="AO52" s="453"/>
      <c r="AP52" s="453">
        <v>30000</v>
      </c>
      <c r="AQ52" s="453"/>
      <c r="AR52" s="453"/>
      <c r="AS52" s="453"/>
      <c r="AT52" s="453"/>
      <c r="AU52" s="453"/>
      <c r="AV52" s="453"/>
      <c r="AW52" s="453"/>
      <c r="AX52" s="453"/>
      <c r="AY52" s="453"/>
      <c r="AZ52" s="453"/>
      <c r="BA52" s="453"/>
      <c r="BB52" s="502"/>
      <c r="BC52" s="503"/>
      <c r="BD52" s="453"/>
      <c r="BE52" s="453"/>
      <c r="BF52" s="470"/>
      <c r="BG52" s="453"/>
      <c r="BH52" s="453"/>
      <c r="BI52" s="453"/>
      <c r="BJ52" s="453"/>
      <c r="BK52" s="453"/>
      <c r="BL52" s="453"/>
      <c r="BM52" s="502"/>
      <c r="BN52" s="490"/>
      <c r="BO52" s="470"/>
      <c r="BP52" s="490"/>
      <c r="BQ52" s="453"/>
      <c r="BR52" s="502"/>
      <c r="BS52" s="524"/>
      <c r="BT52" s="458"/>
    </row>
    <row r="53" s="435" customFormat="1" ht="18" customHeight="1" spans="1:72">
      <c r="A53" s="451" t="s">
        <v>4033</v>
      </c>
      <c r="B53" s="456">
        <v>43607</v>
      </c>
      <c r="C53" s="454">
        <v>1000003499</v>
      </c>
      <c r="D53" s="451"/>
      <c r="E53" s="457"/>
      <c r="F53" s="453"/>
      <c r="G53" s="453"/>
      <c r="H53" s="453"/>
      <c r="I53" s="453"/>
      <c r="J53" s="453"/>
      <c r="K53" s="453"/>
      <c r="L53" s="453"/>
      <c r="M53" s="453"/>
      <c r="N53" s="453"/>
      <c r="O53" s="453"/>
      <c r="P53" s="453"/>
      <c r="Q53" s="453"/>
      <c r="R53" s="453"/>
      <c r="S53" s="453"/>
      <c r="T53" s="453"/>
      <c r="U53" s="453"/>
      <c r="V53" s="453"/>
      <c r="W53" s="453"/>
      <c r="X53" s="453"/>
      <c r="Y53" s="453"/>
      <c r="Z53" s="489"/>
      <c r="AA53" s="489"/>
      <c r="AB53" s="490">
        <v>200000</v>
      </c>
      <c r="AC53" s="453"/>
      <c r="AD53" s="453"/>
      <c r="AE53" s="453"/>
      <c r="AF53" s="453"/>
      <c r="AG53" s="453"/>
      <c r="AH53" s="453"/>
      <c r="AI53" s="453"/>
      <c r="AJ53" s="453"/>
      <c r="AK53" s="453"/>
      <c r="AL53" s="453"/>
      <c r="AM53" s="453"/>
      <c r="AN53" s="453"/>
      <c r="AO53" s="453"/>
      <c r="AP53" s="453"/>
      <c r="AQ53" s="453"/>
      <c r="AR53" s="453"/>
      <c r="AS53" s="453"/>
      <c r="AT53" s="453"/>
      <c r="AU53" s="453"/>
      <c r="AV53" s="453"/>
      <c r="AW53" s="453"/>
      <c r="AX53" s="453"/>
      <c r="AY53" s="453"/>
      <c r="AZ53" s="453"/>
      <c r="BA53" s="453"/>
      <c r="BB53" s="502"/>
      <c r="BC53" s="503"/>
      <c r="BD53" s="453"/>
      <c r="BE53" s="453"/>
      <c r="BF53" s="470"/>
      <c r="BG53" s="453"/>
      <c r="BH53" s="453"/>
      <c r="BI53" s="453"/>
      <c r="BJ53" s="453"/>
      <c r="BK53" s="453"/>
      <c r="BL53" s="453"/>
      <c r="BM53" s="502"/>
      <c r="BN53" s="490"/>
      <c r="BO53" s="470"/>
      <c r="BP53" s="490"/>
      <c r="BQ53" s="453"/>
      <c r="BR53" s="502"/>
      <c r="BS53" s="524"/>
      <c r="BT53" s="458"/>
    </row>
    <row r="54" s="435" customFormat="1" ht="18" customHeight="1" spans="1:72">
      <c r="A54" s="451" t="s">
        <v>4033</v>
      </c>
      <c r="B54" s="456">
        <v>43607</v>
      </c>
      <c r="C54" s="454">
        <v>1000003500</v>
      </c>
      <c r="D54" s="451"/>
      <c r="E54" s="457"/>
      <c r="F54" s="453"/>
      <c r="G54" s="453"/>
      <c r="H54" s="453"/>
      <c r="I54" s="453"/>
      <c r="J54" s="453"/>
      <c r="K54" s="453"/>
      <c r="L54" s="453"/>
      <c r="M54" s="453"/>
      <c r="N54" s="453"/>
      <c r="O54" s="453"/>
      <c r="P54" s="453"/>
      <c r="Q54" s="453"/>
      <c r="R54" s="453"/>
      <c r="S54" s="453"/>
      <c r="T54" s="453"/>
      <c r="U54" s="453"/>
      <c r="V54" s="453"/>
      <c r="W54" s="453"/>
      <c r="X54" s="453"/>
      <c r="Y54" s="453"/>
      <c r="Z54" s="489"/>
      <c r="AA54" s="489"/>
      <c r="AB54" s="490"/>
      <c r="AC54" s="453"/>
      <c r="AD54" s="453"/>
      <c r="AE54" s="453"/>
      <c r="AF54" s="453"/>
      <c r="AG54" s="453">
        <v>40000</v>
      </c>
      <c r="AH54" s="453"/>
      <c r="AI54" s="453"/>
      <c r="AJ54" s="453"/>
      <c r="AK54" s="453"/>
      <c r="AL54" s="453"/>
      <c r="AM54" s="453"/>
      <c r="AN54" s="453"/>
      <c r="AO54" s="453"/>
      <c r="AP54" s="453"/>
      <c r="AQ54" s="453"/>
      <c r="AR54" s="453"/>
      <c r="AS54" s="453"/>
      <c r="AT54" s="453"/>
      <c r="AU54" s="453"/>
      <c r="AV54" s="453"/>
      <c r="AW54" s="453"/>
      <c r="AX54" s="453"/>
      <c r="AY54" s="453"/>
      <c r="AZ54" s="453"/>
      <c r="BA54" s="453"/>
      <c r="BB54" s="502"/>
      <c r="BC54" s="503"/>
      <c r="BD54" s="453"/>
      <c r="BE54" s="453"/>
      <c r="BF54" s="470"/>
      <c r="BG54" s="453"/>
      <c r="BH54" s="453"/>
      <c r="BI54" s="453"/>
      <c r="BJ54" s="453"/>
      <c r="BK54" s="453"/>
      <c r="BL54" s="453"/>
      <c r="BM54" s="502"/>
      <c r="BN54" s="490"/>
      <c r="BO54" s="470"/>
      <c r="BP54" s="490"/>
      <c r="BQ54" s="453"/>
      <c r="BR54" s="502"/>
      <c r="BS54" s="524"/>
      <c r="BT54" s="458"/>
    </row>
    <row r="55" s="435" customFormat="1" ht="18" customHeight="1" spans="1:72">
      <c r="A55" s="451" t="s">
        <v>4033</v>
      </c>
      <c r="B55" s="456">
        <v>43607</v>
      </c>
      <c r="C55" s="454">
        <v>1000003501</v>
      </c>
      <c r="D55" s="451"/>
      <c r="E55" s="457"/>
      <c r="F55" s="453"/>
      <c r="G55" s="453"/>
      <c r="H55" s="453"/>
      <c r="I55" s="453"/>
      <c r="J55" s="453"/>
      <c r="K55" s="453"/>
      <c r="L55" s="453"/>
      <c r="M55" s="453"/>
      <c r="N55" s="453"/>
      <c r="O55" s="453"/>
      <c r="P55" s="453"/>
      <c r="Q55" s="453"/>
      <c r="R55" s="453"/>
      <c r="S55" s="453"/>
      <c r="T55" s="453"/>
      <c r="U55" s="453"/>
      <c r="V55" s="453"/>
      <c r="W55" s="453"/>
      <c r="X55" s="453"/>
      <c r="Y55" s="453"/>
      <c r="Z55" s="489"/>
      <c r="AA55" s="489"/>
      <c r="AB55" s="490"/>
      <c r="AC55" s="453"/>
      <c r="AD55" s="453"/>
      <c r="AE55" s="453"/>
      <c r="AF55" s="453"/>
      <c r="AG55" s="453"/>
      <c r="AH55" s="453"/>
      <c r="AI55" s="453"/>
      <c r="AJ55" s="453"/>
      <c r="AK55" s="453"/>
      <c r="AL55" s="453">
        <v>230000</v>
      </c>
      <c r="AM55" s="453"/>
      <c r="AN55" s="453"/>
      <c r="AO55" s="453"/>
      <c r="AP55" s="453"/>
      <c r="AQ55" s="453"/>
      <c r="AR55" s="453"/>
      <c r="AS55" s="453"/>
      <c r="AT55" s="453"/>
      <c r="AU55" s="453"/>
      <c r="AV55" s="453"/>
      <c r="AW55" s="453"/>
      <c r="AX55" s="453"/>
      <c r="AY55" s="453"/>
      <c r="AZ55" s="453"/>
      <c r="BA55" s="453"/>
      <c r="BB55" s="502"/>
      <c r="BC55" s="503"/>
      <c r="BD55" s="453"/>
      <c r="BE55" s="453"/>
      <c r="BF55" s="470"/>
      <c r="BG55" s="453"/>
      <c r="BH55" s="453"/>
      <c r="BI55" s="453"/>
      <c r="BJ55" s="453"/>
      <c r="BK55" s="453"/>
      <c r="BL55" s="453"/>
      <c r="BM55" s="502"/>
      <c r="BN55" s="490"/>
      <c r="BO55" s="470"/>
      <c r="BP55" s="490"/>
      <c r="BQ55" s="453"/>
      <c r="BR55" s="502"/>
      <c r="BS55" s="524"/>
      <c r="BT55" s="458"/>
    </row>
    <row r="56" s="435" customFormat="1" ht="18" customHeight="1" spans="1:72">
      <c r="A56" s="451" t="s">
        <v>4033</v>
      </c>
      <c r="B56" s="456">
        <v>43607</v>
      </c>
      <c r="C56" s="454">
        <v>1000003502</v>
      </c>
      <c r="D56" s="451"/>
      <c r="E56" s="457"/>
      <c r="F56" s="453"/>
      <c r="G56" s="453"/>
      <c r="H56" s="453"/>
      <c r="I56" s="453"/>
      <c r="J56" s="453"/>
      <c r="K56" s="453"/>
      <c r="L56" s="453"/>
      <c r="M56" s="453"/>
      <c r="N56" s="453"/>
      <c r="O56" s="453"/>
      <c r="P56" s="453"/>
      <c r="Q56" s="453"/>
      <c r="R56" s="453"/>
      <c r="S56" s="453"/>
      <c r="T56" s="453"/>
      <c r="U56" s="453"/>
      <c r="V56" s="453"/>
      <c r="W56" s="453"/>
      <c r="X56" s="453"/>
      <c r="Y56" s="453"/>
      <c r="Z56" s="489"/>
      <c r="AA56" s="489"/>
      <c r="AB56" s="490"/>
      <c r="AC56" s="453"/>
      <c r="AD56" s="453"/>
      <c r="AE56" s="453"/>
      <c r="AF56" s="453"/>
      <c r="AG56" s="453"/>
      <c r="AH56" s="453"/>
      <c r="AI56" s="453"/>
      <c r="AJ56" s="453"/>
      <c r="AK56" s="453"/>
      <c r="AL56" s="453"/>
      <c r="AM56" s="453"/>
      <c r="AN56" s="453"/>
      <c r="AO56" s="453"/>
      <c r="AP56" s="453">
        <v>40000</v>
      </c>
      <c r="AQ56" s="453"/>
      <c r="AR56" s="453"/>
      <c r="AS56" s="453"/>
      <c r="AT56" s="453"/>
      <c r="AU56" s="453"/>
      <c r="AV56" s="453"/>
      <c r="AW56" s="453"/>
      <c r="AX56" s="453"/>
      <c r="AY56" s="453"/>
      <c r="AZ56" s="453"/>
      <c r="BA56" s="453"/>
      <c r="BB56" s="502"/>
      <c r="BC56" s="503"/>
      <c r="BD56" s="453"/>
      <c r="BE56" s="453"/>
      <c r="BF56" s="470"/>
      <c r="BG56" s="453"/>
      <c r="BH56" s="453"/>
      <c r="BI56" s="453"/>
      <c r="BJ56" s="453"/>
      <c r="BK56" s="453"/>
      <c r="BL56" s="453"/>
      <c r="BM56" s="502"/>
      <c r="BN56" s="490"/>
      <c r="BO56" s="470"/>
      <c r="BP56" s="490"/>
      <c r="BQ56" s="453"/>
      <c r="BR56" s="502"/>
      <c r="BS56" s="524"/>
      <c r="BT56" s="458"/>
    </row>
    <row r="57" s="435" customFormat="1" ht="18" customHeight="1" spans="1:72">
      <c r="A57" s="451" t="s">
        <v>4033</v>
      </c>
      <c r="B57" s="456">
        <v>43630</v>
      </c>
      <c r="C57" s="454">
        <v>1000003684</v>
      </c>
      <c r="D57" s="451"/>
      <c r="E57" s="457"/>
      <c r="F57" s="453"/>
      <c r="G57" s="453"/>
      <c r="H57" s="453"/>
      <c r="I57" s="453"/>
      <c r="J57" s="453"/>
      <c r="K57" s="453"/>
      <c r="L57" s="453"/>
      <c r="M57" s="453"/>
      <c r="N57" s="453"/>
      <c r="O57" s="453"/>
      <c r="P57" s="453"/>
      <c r="Q57" s="453"/>
      <c r="R57" s="453"/>
      <c r="S57" s="453"/>
      <c r="T57" s="453"/>
      <c r="U57" s="453"/>
      <c r="V57" s="453"/>
      <c r="W57" s="453"/>
      <c r="X57" s="453"/>
      <c r="Y57" s="453"/>
      <c r="Z57" s="489"/>
      <c r="AA57" s="489"/>
      <c r="AB57" s="490">
        <v>110000</v>
      </c>
      <c r="AC57" s="453"/>
      <c r="AD57" s="453"/>
      <c r="AE57" s="453"/>
      <c r="AF57" s="453"/>
      <c r="AG57" s="453"/>
      <c r="AH57" s="453"/>
      <c r="AI57" s="453"/>
      <c r="AJ57" s="453"/>
      <c r="AK57" s="453"/>
      <c r="AL57" s="453"/>
      <c r="AM57" s="453"/>
      <c r="AN57" s="453"/>
      <c r="AO57" s="453"/>
      <c r="AP57" s="453"/>
      <c r="AQ57" s="453"/>
      <c r="AR57" s="453"/>
      <c r="AS57" s="453"/>
      <c r="AT57" s="453"/>
      <c r="AU57" s="453"/>
      <c r="AV57" s="453"/>
      <c r="AW57" s="453"/>
      <c r="AX57" s="453"/>
      <c r="AY57" s="453"/>
      <c r="AZ57" s="453"/>
      <c r="BA57" s="453"/>
      <c r="BB57" s="502"/>
      <c r="BC57" s="503"/>
      <c r="BD57" s="453"/>
      <c r="BE57" s="453"/>
      <c r="BF57" s="470"/>
      <c r="BG57" s="453"/>
      <c r="BH57" s="453"/>
      <c r="BI57" s="453"/>
      <c r="BJ57" s="453"/>
      <c r="BK57" s="453"/>
      <c r="BL57" s="453"/>
      <c r="BM57" s="502"/>
      <c r="BN57" s="490"/>
      <c r="BO57" s="470"/>
      <c r="BP57" s="490"/>
      <c r="BQ57" s="453"/>
      <c r="BR57" s="502"/>
      <c r="BS57" s="524"/>
      <c r="BT57" s="458"/>
    </row>
    <row r="58" s="435" customFormat="1" ht="18" customHeight="1" spans="1:72">
      <c r="A58" s="451" t="s">
        <v>4033</v>
      </c>
      <c r="B58" s="456">
        <v>43630</v>
      </c>
      <c r="C58" s="459">
        <v>1000003685</v>
      </c>
      <c r="D58" s="451"/>
      <c r="E58" s="457"/>
      <c r="F58" s="453"/>
      <c r="G58" s="453"/>
      <c r="H58" s="453"/>
      <c r="I58" s="453"/>
      <c r="J58" s="453"/>
      <c r="K58" s="453"/>
      <c r="L58" s="453"/>
      <c r="M58" s="453"/>
      <c r="N58" s="453"/>
      <c r="O58" s="453"/>
      <c r="P58" s="453"/>
      <c r="Q58" s="453"/>
      <c r="R58" s="453"/>
      <c r="S58" s="453"/>
      <c r="T58" s="453"/>
      <c r="U58" s="453"/>
      <c r="V58" s="453"/>
      <c r="W58" s="453"/>
      <c r="X58" s="453"/>
      <c r="Y58" s="453"/>
      <c r="Z58" s="489"/>
      <c r="AA58" s="489"/>
      <c r="AB58" s="490"/>
      <c r="AC58" s="453"/>
      <c r="AD58" s="453"/>
      <c r="AE58" s="453"/>
      <c r="AF58" s="453"/>
      <c r="AG58" s="453"/>
      <c r="AH58" s="453"/>
      <c r="AI58" s="453"/>
      <c r="AJ58" s="453"/>
      <c r="AK58" s="453"/>
      <c r="AL58" s="453">
        <v>110000</v>
      </c>
      <c r="AM58" s="453"/>
      <c r="AN58" s="453"/>
      <c r="AO58" s="453"/>
      <c r="AP58" s="453"/>
      <c r="AQ58" s="453"/>
      <c r="AR58" s="453"/>
      <c r="AS58" s="453"/>
      <c r="AT58" s="453"/>
      <c r="AU58" s="453"/>
      <c r="AV58" s="453"/>
      <c r="AW58" s="453"/>
      <c r="AX58" s="453"/>
      <c r="AY58" s="453"/>
      <c r="AZ58" s="453"/>
      <c r="BA58" s="453"/>
      <c r="BB58" s="502"/>
      <c r="BC58" s="503"/>
      <c r="BD58" s="453"/>
      <c r="BE58" s="453"/>
      <c r="BF58" s="470"/>
      <c r="BG58" s="453"/>
      <c r="BH58" s="453"/>
      <c r="BI58" s="453"/>
      <c r="BJ58" s="453"/>
      <c r="BK58" s="453"/>
      <c r="BL58" s="453"/>
      <c r="BM58" s="502"/>
      <c r="BN58" s="490"/>
      <c r="BO58" s="470"/>
      <c r="BP58" s="490"/>
      <c r="BQ58" s="453"/>
      <c r="BR58" s="502"/>
      <c r="BS58" s="524"/>
      <c r="BT58" s="458"/>
    </row>
    <row r="59" s="435" customFormat="1" ht="18" customHeight="1" spans="1:72">
      <c r="A59" s="451" t="s">
        <v>4033</v>
      </c>
      <c r="B59" s="456">
        <v>43636</v>
      </c>
      <c r="C59" s="459"/>
      <c r="D59" s="451"/>
      <c r="E59" s="457"/>
      <c r="F59" s="453"/>
      <c r="G59" s="453"/>
      <c r="H59" s="453"/>
      <c r="I59" s="453"/>
      <c r="J59" s="453"/>
      <c r="K59" s="453"/>
      <c r="L59" s="453"/>
      <c r="M59" s="453"/>
      <c r="N59" s="453"/>
      <c r="O59" s="453"/>
      <c r="P59" s="453"/>
      <c r="Q59" s="453"/>
      <c r="R59" s="453"/>
      <c r="S59" s="453"/>
      <c r="T59" s="453"/>
      <c r="U59" s="453"/>
      <c r="V59" s="453"/>
      <c r="W59" s="453"/>
      <c r="X59" s="453"/>
      <c r="Y59" s="453"/>
      <c r="Z59" s="489"/>
      <c r="AA59" s="489"/>
      <c r="AB59" s="490"/>
      <c r="AC59" s="453"/>
      <c r="AD59" s="453"/>
      <c r="AE59" s="453"/>
      <c r="AF59" s="453"/>
      <c r="AG59" s="453"/>
      <c r="AH59" s="453"/>
      <c r="AI59" s="453"/>
      <c r="AJ59" s="453"/>
      <c r="AK59" s="453"/>
      <c r="AL59" s="453"/>
      <c r="AM59" s="453"/>
      <c r="AN59" s="453"/>
      <c r="AO59" s="453"/>
      <c r="AP59" s="453"/>
      <c r="AQ59" s="453"/>
      <c r="AR59" s="453"/>
      <c r="AS59" s="453"/>
      <c r="AT59" s="453"/>
      <c r="AU59" s="453"/>
      <c r="AV59" s="453">
        <v>350000</v>
      </c>
      <c r="AW59" s="453"/>
      <c r="AX59" s="453"/>
      <c r="AY59" s="453"/>
      <c r="AZ59" s="453"/>
      <c r="BA59" s="453"/>
      <c r="BB59" s="502"/>
      <c r="BC59" s="503"/>
      <c r="BD59" s="453"/>
      <c r="BE59" s="453"/>
      <c r="BF59" s="470"/>
      <c r="BG59" s="453"/>
      <c r="BH59" s="453"/>
      <c r="BI59" s="453"/>
      <c r="BJ59" s="453"/>
      <c r="BK59" s="453"/>
      <c r="BL59" s="453"/>
      <c r="BM59" s="502"/>
      <c r="BN59" s="490"/>
      <c r="BO59" s="470"/>
      <c r="BP59" s="490"/>
      <c r="BQ59" s="453"/>
      <c r="BR59" s="502"/>
      <c r="BS59" s="524"/>
      <c r="BT59" s="458"/>
    </row>
    <row r="60" s="435" customFormat="1" ht="18" customHeight="1" spans="1:72">
      <c r="A60" s="451" t="s">
        <v>4033</v>
      </c>
      <c r="B60" s="456">
        <v>43657</v>
      </c>
      <c r="C60" s="459">
        <v>1000003843</v>
      </c>
      <c r="D60" s="451"/>
      <c r="E60" s="457"/>
      <c r="F60" s="453"/>
      <c r="G60" s="453"/>
      <c r="H60" s="453"/>
      <c r="I60" s="453"/>
      <c r="J60" s="453"/>
      <c r="K60" s="453"/>
      <c r="L60" s="453"/>
      <c r="M60" s="453"/>
      <c r="N60" s="453"/>
      <c r="O60" s="453"/>
      <c r="P60" s="453"/>
      <c r="Q60" s="453"/>
      <c r="R60" s="453"/>
      <c r="S60" s="453"/>
      <c r="T60" s="453"/>
      <c r="U60" s="453"/>
      <c r="V60" s="453"/>
      <c r="W60" s="453"/>
      <c r="X60" s="453"/>
      <c r="Y60" s="453"/>
      <c r="Z60" s="489"/>
      <c r="AA60" s="489"/>
      <c r="AB60" s="490">
        <v>100000</v>
      </c>
      <c r="AC60" s="453"/>
      <c r="AD60" s="453"/>
      <c r="AE60" s="453"/>
      <c r="AF60" s="453"/>
      <c r="AG60" s="453"/>
      <c r="AH60" s="453"/>
      <c r="AI60" s="453"/>
      <c r="AJ60" s="453"/>
      <c r="AK60" s="453"/>
      <c r="AL60" s="453"/>
      <c r="AM60" s="453"/>
      <c r="AN60" s="453"/>
      <c r="AO60" s="453"/>
      <c r="AP60" s="453"/>
      <c r="AQ60" s="453"/>
      <c r="AR60" s="453"/>
      <c r="AS60" s="453"/>
      <c r="AT60" s="453"/>
      <c r="AU60" s="453"/>
      <c r="AV60" s="453"/>
      <c r="AW60" s="453"/>
      <c r="AX60" s="453"/>
      <c r="AY60" s="453"/>
      <c r="AZ60" s="453"/>
      <c r="BA60" s="453"/>
      <c r="BB60" s="502"/>
      <c r="BC60" s="503"/>
      <c r="BD60" s="453"/>
      <c r="BE60" s="453"/>
      <c r="BF60" s="470"/>
      <c r="BG60" s="453"/>
      <c r="BH60" s="453"/>
      <c r="BI60" s="453"/>
      <c r="BJ60" s="453"/>
      <c r="BK60" s="453"/>
      <c r="BL60" s="453"/>
      <c r="BM60" s="502"/>
      <c r="BN60" s="490"/>
      <c r="BO60" s="470"/>
      <c r="BP60" s="490"/>
      <c r="BQ60" s="453"/>
      <c r="BR60" s="502"/>
      <c r="BS60" s="524"/>
      <c r="BT60" s="458"/>
    </row>
    <row r="61" s="435" customFormat="1" ht="18" customHeight="1" spans="1:72">
      <c r="A61" s="451" t="s">
        <v>4033</v>
      </c>
      <c r="B61" s="456">
        <v>43657</v>
      </c>
      <c r="C61" s="459">
        <v>1000003844</v>
      </c>
      <c r="D61" s="451"/>
      <c r="E61" s="457"/>
      <c r="F61" s="453"/>
      <c r="G61" s="453"/>
      <c r="H61" s="453"/>
      <c r="I61" s="453"/>
      <c r="J61" s="453"/>
      <c r="K61" s="453"/>
      <c r="L61" s="453"/>
      <c r="M61" s="453"/>
      <c r="N61" s="453"/>
      <c r="O61" s="453"/>
      <c r="P61" s="453"/>
      <c r="Q61" s="453"/>
      <c r="R61" s="453"/>
      <c r="S61" s="453"/>
      <c r="T61" s="453"/>
      <c r="U61" s="453"/>
      <c r="V61" s="453"/>
      <c r="W61" s="453"/>
      <c r="X61" s="453"/>
      <c r="Y61" s="453"/>
      <c r="Z61" s="489"/>
      <c r="AA61" s="489"/>
      <c r="AB61" s="490"/>
      <c r="AC61" s="453"/>
      <c r="AD61" s="453"/>
      <c r="AE61" s="453"/>
      <c r="AF61" s="453"/>
      <c r="AG61" s="453"/>
      <c r="AH61" s="453"/>
      <c r="AI61" s="453"/>
      <c r="AJ61" s="453"/>
      <c r="AK61" s="453"/>
      <c r="AL61" s="453">
        <v>150000</v>
      </c>
      <c r="AM61" s="453"/>
      <c r="AN61" s="453"/>
      <c r="AO61" s="453"/>
      <c r="AP61" s="453"/>
      <c r="AQ61" s="453"/>
      <c r="AR61" s="453"/>
      <c r="AS61" s="453"/>
      <c r="AT61" s="453"/>
      <c r="AU61" s="453"/>
      <c r="AV61" s="453"/>
      <c r="AW61" s="453"/>
      <c r="AX61" s="453"/>
      <c r="AY61" s="453"/>
      <c r="AZ61" s="453"/>
      <c r="BA61" s="453"/>
      <c r="BB61" s="502"/>
      <c r="BC61" s="503"/>
      <c r="BD61" s="453"/>
      <c r="BE61" s="453"/>
      <c r="BF61" s="470"/>
      <c r="BG61" s="453"/>
      <c r="BH61" s="453"/>
      <c r="BI61" s="453"/>
      <c r="BJ61" s="453"/>
      <c r="BK61" s="453"/>
      <c r="BL61" s="453"/>
      <c r="BM61" s="502"/>
      <c r="BN61" s="490"/>
      <c r="BO61" s="470"/>
      <c r="BP61" s="490"/>
      <c r="BQ61" s="453"/>
      <c r="BR61" s="502"/>
      <c r="BS61" s="524"/>
      <c r="BT61" s="458"/>
    </row>
    <row r="62" s="435" customFormat="1" ht="18" customHeight="1" spans="1:72">
      <c r="A62" s="451" t="s">
        <v>4033</v>
      </c>
      <c r="B62" s="456">
        <v>43657</v>
      </c>
      <c r="C62" s="459">
        <v>1000003845</v>
      </c>
      <c r="D62" s="451"/>
      <c r="E62" s="457"/>
      <c r="F62" s="453"/>
      <c r="G62" s="453"/>
      <c r="H62" s="453"/>
      <c r="I62" s="453"/>
      <c r="J62" s="453"/>
      <c r="K62" s="453"/>
      <c r="L62" s="453"/>
      <c r="M62" s="453"/>
      <c r="N62" s="453"/>
      <c r="O62" s="453"/>
      <c r="P62" s="453"/>
      <c r="Q62" s="453"/>
      <c r="R62" s="453"/>
      <c r="S62" s="453"/>
      <c r="T62" s="453"/>
      <c r="U62" s="453"/>
      <c r="V62" s="453"/>
      <c r="W62" s="453"/>
      <c r="X62" s="453"/>
      <c r="Y62" s="453"/>
      <c r="Z62" s="489"/>
      <c r="AA62" s="489"/>
      <c r="AB62" s="490"/>
      <c r="AC62" s="453"/>
      <c r="AD62" s="453"/>
      <c r="AE62" s="453"/>
      <c r="AF62" s="453"/>
      <c r="AG62" s="453">
        <v>30000</v>
      </c>
      <c r="AH62" s="453"/>
      <c r="AI62" s="453"/>
      <c r="AJ62" s="453"/>
      <c r="AK62" s="453"/>
      <c r="AL62" s="453"/>
      <c r="AM62" s="453"/>
      <c r="AN62" s="453"/>
      <c r="AO62" s="453"/>
      <c r="AP62" s="453"/>
      <c r="AQ62" s="453"/>
      <c r="AR62" s="453"/>
      <c r="AS62" s="453"/>
      <c r="AT62" s="453"/>
      <c r="AU62" s="453"/>
      <c r="AV62" s="453"/>
      <c r="AW62" s="453"/>
      <c r="AX62" s="453"/>
      <c r="AY62" s="453"/>
      <c r="AZ62" s="453"/>
      <c r="BA62" s="453"/>
      <c r="BB62" s="502"/>
      <c r="BC62" s="503"/>
      <c r="BD62" s="453"/>
      <c r="BE62" s="453"/>
      <c r="BF62" s="470"/>
      <c r="BG62" s="453"/>
      <c r="BH62" s="453"/>
      <c r="BI62" s="453"/>
      <c r="BJ62" s="453"/>
      <c r="BK62" s="453"/>
      <c r="BL62" s="453"/>
      <c r="BM62" s="502"/>
      <c r="BN62" s="490"/>
      <c r="BO62" s="470"/>
      <c r="BP62" s="490"/>
      <c r="BQ62" s="453"/>
      <c r="BR62" s="502"/>
      <c r="BS62" s="524"/>
      <c r="BT62" s="458"/>
    </row>
    <row r="63" s="435" customFormat="1" ht="18" customHeight="1" spans="1:72">
      <c r="A63" s="451" t="s">
        <v>4033</v>
      </c>
      <c r="B63" s="456">
        <v>43657</v>
      </c>
      <c r="C63" s="459">
        <v>1000003846</v>
      </c>
      <c r="D63" s="451"/>
      <c r="E63" s="457"/>
      <c r="F63" s="453"/>
      <c r="G63" s="453"/>
      <c r="H63" s="453"/>
      <c r="I63" s="453"/>
      <c r="J63" s="453"/>
      <c r="K63" s="453"/>
      <c r="L63" s="453"/>
      <c r="M63" s="453"/>
      <c r="N63" s="453"/>
      <c r="O63" s="453"/>
      <c r="P63" s="453"/>
      <c r="Q63" s="453"/>
      <c r="R63" s="453"/>
      <c r="S63" s="453"/>
      <c r="T63" s="453"/>
      <c r="U63" s="453"/>
      <c r="V63" s="453"/>
      <c r="W63" s="453"/>
      <c r="X63" s="453"/>
      <c r="Y63" s="453"/>
      <c r="Z63" s="489"/>
      <c r="AA63" s="489"/>
      <c r="AB63" s="490"/>
      <c r="AC63" s="453"/>
      <c r="AD63" s="453"/>
      <c r="AE63" s="453"/>
      <c r="AF63" s="453"/>
      <c r="AG63" s="453"/>
      <c r="AH63" s="453"/>
      <c r="AI63" s="453"/>
      <c r="AJ63" s="453"/>
      <c r="AK63" s="453"/>
      <c r="AL63" s="453"/>
      <c r="AM63" s="453"/>
      <c r="AN63" s="453"/>
      <c r="AO63" s="453"/>
      <c r="AP63" s="453">
        <v>30000</v>
      </c>
      <c r="AQ63" s="453"/>
      <c r="AR63" s="453"/>
      <c r="AS63" s="453"/>
      <c r="AT63" s="453"/>
      <c r="AU63" s="453"/>
      <c r="AV63" s="453"/>
      <c r="AW63" s="453"/>
      <c r="AX63" s="453"/>
      <c r="AY63" s="453"/>
      <c r="AZ63" s="453"/>
      <c r="BA63" s="453"/>
      <c r="BB63" s="502"/>
      <c r="BC63" s="503"/>
      <c r="BD63" s="453"/>
      <c r="BE63" s="453"/>
      <c r="BF63" s="470"/>
      <c r="BG63" s="453"/>
      <c r="BH63" s="453"/>
      <c r="BI63" s="453"/>
      <c r="BJ63" s="453"/>
      <c r="BK63" s="453"/>
      <c r="BL63" s="453"/>
      <c r="BM63" s="502"/>
      <c r="BN63" s="490"/>
      <c r="BO63" s="470"/>
      <c r="BP63" s="490"/>
      <c r="BQ63" s="453"/>
      <c r="BR63" s="502"/>
      <c r="BS63" s="524"/>
      <c r="BT63" s="458"/>
    </row>
    <row r="64" s="435" customFormat="1" ht="18" customHeight="1" spans="1:72">
      <c r="A64" s="451" t="s">
        <v>4033</v>
      </c>
      <c r="B64" s="456">
        <v>43657</v>
      </c>
      <c r="C64" s="460">
        <v>1000003847</v>
      </c>
      <c r="D64" s="451"/>
      <c r="E64" s="457"/>
      <c r="F64" s="453"/>
      <c r="G64" s="453"/>
      <c r="H64" s="453"/>
      <c r="I64" s="453">
        <v>10000</v>
      </c>
      <c r="J64" s="453"/>
      <c r="K64" s="453"/>
      <c r="L64" s="453"/>
      <c r="M64" s="453"/>
      <c r="N64" s="453"/>
      <c r="O64" s="453"/>
      <c r="P64" s="453"/>
      <c r="Q64" s="453"/>
      <c r="R64" s="453"/>
      <c r="S64" s="453"/>
      <c r="T64" s="453"/>
      <c r="U64" s="453"/>
      <c r="V64" s="453"/>
      <c r="W64" s="453"/>
      <c r="X64" s="453"/>
      <c r="Y64" s="453"/>
      <c r="Z64" s="489"/>
      <c r="AA64" s="489"/>
      <c r="AB64" s="490"/>
      <c r="AC64" s="453"/>
      <c r="AD64" s="453"/>
      <c r="AE64" s="453"/>
      <c r="AF64" s="453"/>
      <c r="AG64" s="453"/>
      <c r="AH64" s="453"/>
      <c r="AI64" s="453"/>
      <c r="AJ64" s="453"/>
      <c r="AK64" s="453"/>
      <c r="AL64" s="453"/>
      <c r="AM64" s="453"/>
      <c r="AN64" s="453"/>
      <c r="AO64" s="453"/>
      <c r="AP64" s="453"/>
      <c r="AQ64" s="453"/>
      <c r="AR64" s="453"/>
      <c r="AS64" s="453"/>
      <c r="AT64" s="453"/>
      <c r="AU64" s="453"/>
      <c r="AV64" s="453"/>
      <c r="AW64" s="453"/>
      <c r="AX64" s="453"/>
      <c r="AY64" s="453"/>
      <c r="AZ64" s="453"/>
      <c r="BA64" s="453"/>
      <c r="BB64" s="502"/>
      <c r="BC64" s="503"/>
      <c r="BD64" s="453"/>
      <c r="BE64" s="453"/>
      <c r="BF64" s="470"/>
      <c r="BG64" s="453"/>
      <c r="BH64" s="453"/>
      <c r="BI64" s="453"/>
      <c r="BJ64" s="453"/>
      <c r="BK64" s="453"/>
      <c r="BL64" s="453"/>
      <c r="BM64" s="502"/>
      <c r="BN64" s="490"/>
      <c r="BO64" s="470"/>
      <c r="BP64" s="490"/>
      <c r="BQ64" s="453"/>
      <c r="BR64" s="502"/>
      <c r="BS64" s="524"/>
      <c r="BT64" s="458"/>
    </row>
    <row r="65" s="435" customFormat="1" ht="18" customHeight="1" spans="1:72">
      <c r="A65" s="451" t="s">
        <v>4033</v>
      </c>
      <c r="B65" s="456">
        <v>43657</v>
      </c>
      <c r="C65" s="460">
        <v>1000003848</v>
      </c>
      <c r="D65" s="451"/>
      <c r="E65" s="457"/>
      <c r="F65" s="453"/>
      <c r="G65" s="453"/>
      <c r="H65" s="453"/>
      <c r="I65" s="453"/>
      <c r="J65" s="453">
        <v>7000</v>
      </c>
      <c r="K65" s="453"/>
      <c r="L65" s="453"/>
      <c r="M65" s="453"/>
      <c r="N65" s="453"/>
      <c r="O65" s="453"/>
      <c r="P65" s="453"/>
      <c r="Q65" s="453"/>
      <c r="R65" s="453"/>
      <c r="S65" s="453"/>
      <c r="T65" s="453"/>
      <c r="U65" s="453"/>
      <c r="V65" s="453"/>
      <c r="W65" s="453"/>
      <c r="X65" s="453"/>
      <c r="Y65" s="453"/>
      <c r="Z65" s="489"/>
      <c r="AA65" s="489"/>
      <c r="AB65" s="490"/>
      <c r="AC65" s="453"/>
      <c r="AD65" s="453"/>
      <c r="AE65" s="453"/>
      <c r="AF65" s="453"/>
      <c r="AG65" s="453"/>
      <c r="AH65" s="453"/>
      <c r="AI65" s="453"/>
      <c r="AJ65" s="453"/>
      <c r="AK65" s="453"/>
      <c r="AL65" s="453"/>
      <c r="AM65" s="453"/>
      <c r="AN65" s="453"/>
      <c r="AO65" s="453"/>
      <c r="AP65" s="453"/>
      <c r="AQ65" s="453"/>
      <c r="AR65" s="453"/>
      <c r="AS65" s="453"/>
      <c r="AT65" s="453"/>
      <c r="AU65" s="453"/>
      <c r="AV65" s="453"/>
      <c r="AW65" s="453"/>
      <c r="AX65" s="453"/>
      <c r="AY65" s="453"/>
      <c r="AZ65" s="453"/>
      <c r="BA65" s="453"/>
      <c r="BB65" s="502"/>
      <c r="BC65" s="503"/>
      <c r="BD65" s="453"/>
      <c r="BE65" s="453"/>
      <c r="BF65" s="470"/>
      <c r="BG65" s="453"/>
      <c r="BH65" s="453"/>
      <c r="BI65" s="453"/>
      <c r="BJ65" s="453"/>
      <c r="BK65" s="453"/>
      <c r="BL65" s="453"/>
      <c r="BM65" s="502"/>
      <c r="BN65" s="490"/>
      <c r="BO65" s="470"/>
      <c r="BP65" s="490"/>
      <c r="BQ65" s="453"/>
      <c r="BR65" s="502"/>
      <c r="BS65" s="524"/>
      <c r="BT65" s="458"/>
    </row>
    <row r="66" s="435" customFormat="1" ht="18" customHeight="1" spans="1:72">
      <c r="A66" s="451" t="s">
        <v>4033</v>
      </c>
      <c r="B66" s="456">
        <v>43657</v>
      </c>
      <c r="C66" s="525">
        <v>1000003849</v>
      </c>
      <c r="D66" s="451"/>
      <c r="E66" s="457"/>
      <c r="F66" s="453"/>
      <c r="G66" s="453"/>
      <c r="H66" s="453"/>
      <c r="I66" s="453"/>
      <c r="J66" s="453"/>
      <c r="K66" s="453">
        <v>5000</v>
      </c>
      <c r="L66" s="453"/>
      <c r="M66" s="453"/>
      <c r="N66" s="453"/>
      <c r="O66" s="453"/>
      <c r="P66" s="453"/>
      <c r="Q66" s="453"/>
      <c r="R66" s="453"/>
      <c r="S66" s="453"/>
      <c r="T66" s="453"/>
      <c r="U66" s="453"/>
      <c r="V66" s="453"/>
      <c r="W66" s="453"/>
      <c r="X66" s="453"/>
      <c r="Y66" s="453"/>
      <c r="Z66" s="489"/>
      <c r="AA66" s="489"/>
      <c r="AB66" s="490"/>
      <c r="AC66" s="453"/>
      <c r="AD66" s="453"/>
      <c r="AE66" s="453"/>
      <c r="AF66" s="453"/>
      <c r="AG66" s="453"/>
      <c r="AH66" s="453"/>
      <c r="AI66" s="453"/>
      <c r="AJ66" s="453"/>
      <c r="AK66" s="453"/>
      <c r="AL66" s="453"/>
      <c r="AM66" s="453"/>
      <c r="AN66" s="453"/>
      <c r="AO66" s="453"/>
      <c r="AP66" s="453"/>
      <c r="AQ66" s="453"/>
      <c r="AR66" s="453"/>
      <c r="AS66" s="453"/>
      <c r="AT66" s="453"/>
      <c r="AU66" s="453"/>
      <c r="AV66" s="453"/>
      <c r="AW66" s="453"/>
      <c r="AX66" s="453"/>
      <c r="AY66" s="453"/>
      <c r="AZ66" s="453"/>
      <c r="BA66" s="453"/>
      <c r="BB66" s="502"/>
      <c r="BC66" s="503"/>
      <c r="BD66" s="453"/>
      <c r="BE66" s="453"/>
      <c r="BF66" s="470"/>
      <c r="BG66" s="453"/>
      <c r="BH66" s="453"/>
      <c r="BI66" s="453"/>
      <c r="BJ66" s="453"/>
      <c r="BK66" s="453"/>
      <c r="BL66" s="453"/>
      <c r="BM66" s="502"/>
      <c r="BN66" s="490"/>
      <c r="BO66" s="470"/>
      <c r="BP66" s="490"/>
      <c r="BQ66" s="453"/>
      <c r="BR66" s="502"/>
      <c r="BS66" s="524"/>
      <c r="BT66" s="458"/>
    </row>
    <row r="67" s="435" customFormat="1" ht="18" customHeight="1" spans="1:72">
      <c r="A67" s="451" t="s">
        <v>4033</v>
      </c>
      <c r="B67" s="456">
        <v>43657</v>
      </c>
      <c r="C67" s="459">
        <v>1000003850</v>
      </c>
      <c r="D67" s="451"/>
      <c r="E67" s="457"/>
      <c r="F67" s="453"/>
      <c r="G67" s="453"/>
      <c r="H67" s="453"/>
      <c r="I67" s="453"/>
      <c r="J67" s="453"/>
      <c r="K67" s="453"/>
      <c r="L67" s="453"/>
      <c r="M67" s="453"/>
      <c r="N67" s="453"/>
      <c r="O67" s="453"/>
      <c r="P67" s="453"/>
      <c r="Q67" s="453"/>
      <c r="R67" s="453">
        <v>10000</v>
      </c>
      <c r="S67" s="453"/>
      <c r="T67" s="453"/>
      <c r="U67" s="453"/>
      <c r="V67" s="453"/>
      <c r="W67" s="453"/>
      <c r="X67" s="453"/>
      <c r="Y67" s="453"/>
      <c r="Z67" s="489"/>
      <c r="AA67" s="489"/>
      <c r="AB67" s="490"/>
      <c r="AC67" s="453"/>
      <c r="AD67" s="453"/>
      <c r="AE67" s="453"/>
      <c r="AF67" s="453"/>
      <c r="AG67" s="453"/>
      <c r="AH67" s="453"/>
      <c r="AI67" s="453"/>
      <c r="AJ67" s="453"/>
      <c r="AK67" s="453"/>
      <c r="AL67" s="453"/>
      <c r="AM67" s="453"/>
      <c r="AN67" s="453"/>
      <c r="AO67" s="453"/>
      <c r="AP67" s="453"/>
      <c r="AQ67" s="453"/>
      <c r="AR67" s="453"/>
      <c r="AS67" s="453"/>
      <c r="AT67" s="453"/>
      <c r="AU67" s="453"/>
      <c r="AV67" s="453"/>
      <c r="AW67" s="453"/>
      <c r="AX67" s="453"/>
      <c r="AY67" s="453"/>
      <c r="AZ67" s="453"/>
      <c r="BA67" s="453"/>
      <c r="BB67" s="502"/>
      <c r="BC67" s="503"/>
      <c r="BD67" s="453"/>
      <c r="BE67" s="453"/>
      <c r="BF67" s="470"/>
      <c r="BG67" s="453"/>
      <c r="BH67" s="453"/>
      <c r="BI67" s="453"/>
      <c r="BJ67" s="453"/>
      <c r="BK67" s="453"/>
      <c r="BL67" s="453"/>
      <c r="BM67" s="502"/>
      <c r="BN67" s="490"/>
      <c r="BO67" s="470"/>
      <c r="BP67" s="490"/>
      <c r="BQ67" s="453"/>
      <c r="BR67" s="502"/>
      <c r="BS67" s="524"/>
      <c r="BT67" s="458"/>
    </row>
    <row r="68" s="435" customFormat="1" ht="18" customHeight="1" spans="1:72">
      <c r="A68" s="451" t="s">
        <v>4033</v>
      </c>
      <c r="B68" s="456">
        <v>43670</v>
      </c>
      <c r="C68" s="459">
        <v>1000003926</v>
      </c>
      <c r="D68" s="451"/>
      <c r="E68" s="457"/>
      <c r="F68" s="453"/>
      <c r="G68" s="453"/>
      <c r="H68" s="453"/>
      <c r="I68" s="453"/>
      <c r="J68" s="453"/>
      <c r="K68" s="453"/>
      <c r="L68" s="453"/>
      <c r="M68" s="453"/>
      <c r="N68" s="453"/>
      <c r="O68" s="453"/>
      <c r="P68" s="453"/>
      <c r="Q68" s="453"/>
      <c r="R68" s="453"/>
      <c r="S68" s="453"/>
      <c r="T68" s="453"/>
      <c r="U68" s="453"/>
      <c r="V68" s="453"/>
      <c r="W68" s="453"/>
      <c r="X68" s="453"/>
      <c r="Y68" s="453"/>
      <c r="Z68" s="489"/>
      <c r="AA68" s="489"/>
      <c r="AB68" s="490">
        <v>60000</v>
      </c>
      <c r="AC68" s="453"/>
      <c r="AD68" s="453"/>
      <c r="AE68" s="453"/>
      <c r="AF68" s="453"/>
      <c r="AG68" s="453"/>
      <c r="AH68" s="453"/>
      <c r="AI68" s="453"/>
      <c r="AJ68" s="453"/>
      <c r="AK68" s="453"/>
      <c r="AL68" s="453"/>
      <c r="AM68" s="453"/>
      <c r="AN68" s="453"/>
      <c r="AO68" s="453"/>
      <c r="AP68" s="453"/>
      <c r="AQ68" s="453"/>
      <c r="AR68" s="453"/>
      <c r="AS68" s="453"/>
      <c r="AT68" s="453"/>
      <c r="AU68" s="453"/>
      <c r="AV68" s="453"/>
      <c r="AW68" s="453"/>
      <c r="AX68" s="453"/>
      <c r="AY68" s="453"/>
      <c r="AZ68" s="453"/>
      <c r="BA68" s="453"/>
      <c r="BB68" s="502"/>
      <c r="BC68" s="503"/>
      <c r="BD68" s="453"/>
      <c r="BE68" s="453"/>
      <c r="BF68" s="470"/>
      <c r="BG68" s="453"/>
      <c r="BH68" s="453"/>
      <c r="BI68" s="453"/>
      <c r="BJ68" s="453"/>
      <c r="BK68" s="453"/>
      <c r="BL68" s="453"/>
      <c r="BM68" s="502"/>
      <c r="BN68" s="490"/>
      <c r="BO68" s="470"/>
      <c r="BP68" s="490"/>
      <c r="BQ68" s="453"/>
      <c r="BR68" s="502"/>
      <c r="BS68" s="524"/>
      <c r="BT68" s="458"/>
    </row>
    <row r="69" s="435" customFormat="1" ht="18" customHeight="1" spans="1:72">
      <c r="A69" s="451" t="s">
        <v>4033</v>
      </c>
      <c r="B69" s="456">
        <v>43670</v>
      </c>
      <c r="C69" s="459">
        <v>1000003927</v>
      </c>
      <c r="D69" s="451"/>
      <c r="E69" s="457"/>
      <c r="F69" s="453"/>
      <c r="G69" s="453"/>
      <c r="H69" s="453"/>
      <c r="I69" s="453"/>
      <c r="J69" s="453"/>
      <c r="K69" s="453"/>
      <c r="L69" s="453"/>
      <c r="M69" s="453"/>
      <c r="N69" s="453"/>
      <c r="O69" s="453"/>
      <c r="P69" s="453"/>
      <c r="Q69" s="453"/>
      <c r="R69" s="453"/>
      <c r="S69" s="453"/>
      <c r="T69" s="453"/>
      <c r="U69" s="453"/>
      <c r="V69" s="453"/>
      <c r="W69" s="453"/>
      <c r="X69" s="453"/>
      <c r="Y69" s="453"/>
      <c r="Z69" s="489"/>
      <c r="AA69" s="489"/>
      <c r="AB69" s="490"/>
      <c r="AC69" s="453"/>
      <c r="AD69" s="453"/>
      <c r="AE69" s="453"/>
      <c r="AF69" s="453"/>
      <c r="AG69" s="453"/>
      <c r="AH69" s="453"/>
      <c r="AI69" s="453"/>
      <c r="AJ69" s="453"/>
      <c r="AK69" s="453"/>
      <c r="AL69" s="453">
        <v>20000</v>
      </c>
      <c r="AM69" s="453"/>
      <c r="AN69" s="453"/>
      <c r="AO69" s="453"/>
      <c r="AP69" s="453"/>
      <c r="AQ69" s="453"/>
      <c r="AR69" s="453"/>
      <c r="AS69" s="453"/>
      <c r="AT69" s="453"/>
      <c r="AU69" s="453"/>
      <c r="AV69" s="453"/>
      <c r="AW69" s="453"/>
      <c r="AX69" s="453"/>
      <c r="AY69" s="453"/>
      <c r="AZ69" s="453"/>
      <c r="BA69" s="453"/>
      <c r="BB69" s="502"/>
      <c r="BC69" s="503"/>
      <c r="BD69" s="453"/>
      <c r="BE69" s="453"/>
      <c r="BF69" s="470"/>
      <c r="BG69" s="453"/>
      <c r="BH69" s="453"/>
      <c r="BI69" s="453"/>
      <c r="BJ69" s="453"/>
      <c r="BK69" s="453"/>
      <c r="BL69" s="453"/>
      <c r="BM69" s="502"/>
      <c r="BN69" s="490"/>
      <c r="BO69" s="470"/>
      <c r="BP69" s="490"/>
      <c r="BQ69" s="453"/>
      <c r="BR69" s="502"/>
      <c r="BS69" s="524"/>
      <c r="BT69" s="458"/>
    </row>
    <row r="70" s="435" customFormat="1" ht="18" customHeight="1" spans="1:72">
      <c r="A70" s="451" t="s">
        <v>4033</v>
      </c>
      <c r="B70" s="456">
        <v>43670</v>
      </c>
      <c r="C70" s="459">
        <v>1000003928</v>
      </c>
      <c r="D70" s="451"/>
      <c r="E70" s="457"/>
      <c r="F70" s="453"/>
      <c r="G70" s="453"/>
      <c r="H70" s="453"/>
      <c r="I70" s="453"/>
      <c r="J70" s="453"/>
      <c r="K70" s="453"/>
      <c r="L70" s="453"/>
      <c r="M70" s="453"/>
      <c r="N70" s="453"/>
      <c r="O70" s="453"/>
      <c r="P70" s="453"/>
      <c r="Q70" s="453"/>
      <c r="R70" s="453"/>
      <c r="S70" s="453"/>
      <c r="T70" s="453"/>
      <c r="U70" s="453"/>
      <c r="V70" s="453"/>
      <c r="W70" s="453"/>
      <c r="X70" s="453"/>
      <c r="Y70" s="453"/>
      <c r="Z70" s="489"/>
      <c r="AA70" s="489"/>
      <c r="AB70" s="490"/>
      <c r="AC70" s="453"/>
      <c r="AD70" s="453"/>
      <c r="AE70" s="453"/>
      <c r="AF70" s="453"/>
      <c r="AG70" s="453">
        <v>10000</v>
      </c>
      <c r="AH70" s="453"/>
      <c r="AI70" s="453"/>
      <c r="AJ70" s="453"/>
      <c r="AK70" s="453"/>
      <c r="AL70" s="453"/>
      <c r="AM70" s="453"/>
      <c r="AN70" s="453"/>
      <c r="AO70" s="453"/>
      <c r="AP70" s="453"/>
      <c r="AQ70" s="453"/>
      <c r="AR70" s="453"/>
      <c r="AS70" s="453"/>
      <c r="AT70" s="453"/>
      <c r="AU70" s="453"/>
      <c r="AV70" s="453"/>
      <c r="AW70" s="453"/>
      <c r="AX70" s="453"/>
      <c r="AY70" s="453"/>
      <c r="AZ70" s="453"/>
      <c r="BA70" s="453"/>
      <c r="BB70" s="502"/>
      <c r="BC70" s="503"/>
      <c r="BD70" s="453"/>
      <c r="BE70" s="453"/>
      <c r="BF70" s="470"/>
      <c r="BG70" s="453"/>
      <c r="BH70" s="453"/>
      <c r="BI70" s="453"/>
      <c r="BJ70" s="453"/>
      <c r="BK70" s="453"/>
      <c r="BL70" s="453"/>
      <c r="BM70" s="502"/>
      <c r="BN70" s="490"/>
      <c r="BO70" s="470"/>
      <c r="BP70" s="490"/>
      <c r="BQ70" s="453"/>
      <c r="BR70" s="502"/>
      <c r="BS70" s="524"/>
      <c r="BT70" s="458"/>
    </row>
    <row r="71" s="435" customFormat="1" ht="18" customHeight="1" spans="1:72">
      <c r="A71" s="451" t="s">
        <v>4033</v>
      </c>
      <c r="B71" s="456">
        <v>43670</v>
      </c>
      <c r="C71" s="459">
        <v>1000003929</v>
      </c>
      <c r="D71" s="451"/>
      <c r="E71" s="457"/>
      <c r="F71" s="453"/>
      <c r="G71" s="453"/>
      <c r="H71" s="453"/>
      <c r="I71" s="453"/>
      <c r="J71" s="453"/>
      <c r="K71" s="453"/>
      <c r="L71" s="453"/>
      <c r="M71" s="453"/>
      <c r="N71" s="453"/>
      <c r="O71" s="453"/>
      <c r="P71" s="453"/>
      <c r="Q71" s="453"/>
      <c r="R71" s="453"/>
      <c r="S71" s="453"/>
      <c r="T71" s="453"/>
      <c r="U71" s="453"/>
      <c r="V71" s="453"/>
      <c r="W71" s="453"/>
      <c r="X71" s="453"/>
      <c r="Y71" s="453"/>
      <c r="Z71" s="489"/>
      <c r="AA71" s="489"/>
      <c r="AB71" s="490"/>
      <c r="AC71" s="453"/>
      <c r="AD71" s="453"/>
      <c r="AE71" s="453"/>
      <c r="AF71" s="453"/>
      <c r="AG71" s="453"/>
      <c r="AH71" s="453"/>
      <c r="AI71" s="453"/>
      <c r="AJ71" s="453"/>
      <c r="AK71" s="453"/>
      <c r="AL71" s="453"/>
      <c r="AM71" s="453"/>
      <c r="AN71" s="453"/>
      <c r="AO71" s="453"/>
      <c r="AP71" s="453">
        <v>10000</v>
      </c>
      <c r="AQ71" s="453"/>
      <c r="AR71" s="453"/>
      <c r="AS71" s="453"/>
      <c r="AT71" s="453"/>
      <c r="AU71" s="453"/>
      <c r="AV71" s="453"/>
      <c r="AW71" s="453"/>
      <c r="AX71" s="453"/>
      <c r="AY71" s="453"/>
      <c r="AZ71" s="453"/>
      <c r="BA71" s="453"/>
      <c r="BB71" s="502"/>
      <c r="BC71" s="503"/>
      <c r="BD71" s="453"/>
      <c r="BE71" s="453"/>
      <c r="BF71" s="470"/>
      <c r="BG71" s="453"/>
      <c r="BH71" s="453"/>
      <c r="BI71" s="453"/>
      <c r="BJ71" s="453"/>
      <c r="BK71" s="453"/>
      <c r="BL71" s="453"/>
      <c r="BM71" s="502"/>
      <c r="BN71" s="490"/>
      <c r="BO71" s="470"/>
      <c r="BP71" s="490"/>
      <c r="BQ71" s="453"/>
      <c r="BR71" s="502"/>
      <c r="BS71" s="524"/>
      <c r="BT71" s="458"/>
    </row>
    <row r="72" s="435" customFormat="1" ht="18" customHeight="1" spans="1:72">
      <c r="A72" s="451" t="s">
        <v>4033</v>
      </c>
      <c r="B72" s="456">
        <v>43673</v>
      </c>
      <c r="C72" s="459"/>
      <c r="D72" s="451"/>
      <c r="E72" s="457"/>
      <c r="F72" s="453"/>
      <c r="G72" s="453"/>
      <c r="H72" s="453"/>
      <c r="I72" s="453"/>
      <c r="J72" s="453"/>
      <c r="K72" s="453"/>
      <c r="L72" s="453"/>
      <c r="M72" s="453"/>
      <c r="N72" s="453"/>
      <c r="O72" s="453"/>
      <c r="P72" s="453"/>
      <c r="Q72" s="453"/>
      <c r="R72" s="453"/>
      <c r="S72" s="453"/>
      <c r="T72" s="453"/>
      <c r="U72" s="453"/>
      <c r="V72" s="453"/>
      <c r="W72" s="453"/>
      <c r="X72" s="453"/>
      <c r="Y72" s="453"/>
      <c r="Z72" s="489"/>
      <c r="AA72" s="489"/>
      <c r="AB72" s="490"/>
      <c r="AC72" s="453"/>
      <c r="AD72" s="453"/>
      <c r="AE72" s="453"/>
      <c r="AF72" s="453"/>
      <c r="AG72" s="453"/>
      <c r="AH72" s="453"/>
      <c r="AI72" s="453"/>
      <c r="AJ72" s="453"/>
      <c r="AK72" s="453"/>
      <c r="AL72" s="453"/>
      <c r="AM72" s="453"/>
      <c r="AN72" s="453"/>
      <c r="AO72" s="453"/>
      <c r="AP72" s="453"/>
      <c r="AQ72" s="453"/>
      <c r="AR72" s="453"/>
      <c r="AS72" s="453"/>
      <c r="AT72" s="453"/>
      <c r="AU72" s="453"/>
      <c r="AV72" s="453">
        <v>200200</v>
      </c>
      <c r="AW72" s="453"/>
      <c r="AX72" s="453"/>
      <c r="AY72" s="453"/>
      <c r="AZ72" s="453"/>
      <c r="BA72" s="453"/>
      <c r="BB72" s="502"/>
      <c r="BC72" s="503"/>
      <c r="BD72" s="453"/>
      <c r="BE72" s="453"/>
      <c r="BF72" s="470"/>
      <c r="BG72" s="453"/>
      <c r="BH72" s="453"/>
      <c r="BI72" s="453"/>
      <c r="BJ72" s="453"/>
      <c r="BK72" s="453"/>
      <c r="BL72" s="453"/>
      <c r="BM72" s="502"/>
      <c r="BN72" s="490"/>
      <c r="BO72" s="470"/>
      <c r="BP72" s="490"/>
      <c r="BQ72" s="453"/>
      <c r="BR72" s="502"/>
      <c r="BS72" s="524"/>
      <c r="BT72" s="458"/>
    </row>
    <row r="73" s="435" customFormat="1" ht="18" customHeight="1" spans="1:72">
      <c r="A73" s="451" t="s">
        <v>4033</v>
      </c>
      <c r="B73" s="456">
        <v>43684</v>
      </c>
      <c r="C73" s="459">
        <v>1000003982</v>
      </c>
      <c r="D73" s="451"/>
      <c r="E73" s="457"/>
      <c r="F73" s="453"/>
      <c r="G73" s="453"/>
      <c r="H73" s="453"/>
      <c r="I73" s="453"/>
      <c r="J73" s="453"/>
      <c r="K73" s="453"/>
      <c r="L73" s="453"/>
      <c r="M73" s="453"/>
      <c r="N73" s="453"/>
      <c r="O73" s="453"/>
      <c r="P73" s="453"/>
      <c r="Q73" s="453"/>
      <c r="R73" s="453"/>
      <c r="S73" s="453"/>
      <c r="T73" s="453"/>
      <c r="U73" s="453"/>
      <c r="V73" s="453"/>
      <c r="W73" s="453"/>
      <c r="X73" s="453"/>
      <c r="Y73" s="453"/>
      <c r="Z73" s="489"/>
      <c r="AA73" s="489"/>
      <c r="AB73" s="490">
        <v>120000</v>
      </c>
      <c r="AC73" s="453"/>
      <c r="AD73" s="453"/>
      <c r="AE73" s="453"/>
      <c r="AF73" s="453"/>
      <c r="AG73" s="453"/>
      <c r="AH73" s="453"/>
      <c r="AI73" s="453"/>
      <c r="AJ73" s="453"/>
      <c r="AK73" s="453"/>
      <c r="AL73" s="453"/>
      <c r="AM73" s="453"/>
      <c r="AN73" s="453"/>
      <c r="AO73" s="453"/>
      <c r="AP73" s="453"/>
      <c r="AQ73" s="453"/>
      <c r="AR73" s="453"/>
      <c r="AS73" s="453"/>
      <c r="AT73" s="453"/>
      <c r="AU73" s="453"/>
      <c r="AV73" s="453"/>
      <c r="AW73" s="453"/>
      <c r="AX73" s="453"/>
      <c r="AY73" s="453"/>
      <c r="AZ73" s="453"/>
      <c r="BA73" s="453"/>
      <c r="BB73" s="502"/>
      <c r="BC73" s="503"/>
      <c r="BD73" s="453"/>
      <c r="BE73" s="453"/>
      <c r="BF73" s="470"/>
      <c r="BG73" s="453"/>
      <c r="BH73" s="453"/>
      <c r="BI73" s="453"/>
      <c r="BJ73" s="453"/>
      <c r="BK73" s="453"/>
      <c r="BL73" s="453"/>
      <c r="BM73" s="502"/>
      <c r="BN73" s="490"/>
      <c r="BO73" s="470"/>
      <c r="BP73" s="490"/>
      <c r="BQ73" s="453"/>
      <c r="BR73" s="502"/>
      <c r="BS73" s="524"/>
      <c r="BT73" s="458"/>
    </row>
    <row r="74" s="435" customFormat="1" ht="18" customHeight="1" spans="1:72">
      <c r="A74" s="451" t="s">
        <v>4033</v>
      </c>
      <c r="B74" s="456">
        <v>43684</v>
      </c>
      <c r="C74" s="459">
        <v>1000003983</v>
      </c>
      <c r="D74" s="451"/>
      <c r="E74" s="457"/>
      <c r="F74" s="453"/>
      <c r="G74" s="453"/>
      <c r="H74" s="453"/>
      <c r="I74" s="453"/>
      <c r="J74" s="453"/>
      <c r="K74" s="453"/>
      <c r="L74" s="453"/>
      <c r="M74" s="453"/>
      <c r="N74" s="453"/>
      <c r="O74" s="453"/>
      <c r="P74" s="453"/>
      <c r="Q74" s="453"/>
      <c r="R74" s="453"/>
      <c r="S74" s="453"/>
      <c r="T74" s="453"/>
      <c r="U74" s="453"/>
      <c r="V74" s="453"/>
      <c r="W74" s="453"/>
      <c r="X74" s="453"/>
      <c r="Y74" s="453"/>
      <c r="Z74" s="489"/>
      <c r="AA74" s="489"/>
      <c r="AB74" s="490"/>
      <c r="AC74" s="453"/>
      <c r="AD74" s="453"/>
      <c r="AE74" s="453"/>
      <c r="AF74" s="453"/>
      <c r="AG74" s="453"/>
      <c r="AH74" s="453"/>
      <c r="AI74" s="453"/>
      <c r="AJ74" s="453"/>
      <c r="AK74" s="453"/>
      <c r="AL74" s="453">
        <v>140000</v>
      </c>
      <c r="AM74" s="453"/>
      <c r="AN74" s="453"/>
      <c r="AO74" s="453"/>
      <c r="AP74" s="453"/>
      <c r="AQ74" s="453"/>
      <c r="AR74" s="453"/>
      <c r="AS74" s="453"/>
      <c r="AT74" s="453"/>
      <c r="AU74" s="453"/>
      <c r="AV74" s="453"/>
      <c r="AW74" s="453"/>
      <c r="AX74" s="453"/>
      <c r="AY74" s="453"/>
      <c r="AZ74" s="453"/>
      <c r="BA74" s="453"/>
      <c r="BB74" s="502"/>
      <c r="BC74" s="503"/>
      <c r="BD74" s="453"/>
      <c r="BE74" s="453"/>
      <c r="BF74" s="470"/>
      <c r="BG74" s="453"/>
      <c r="BH74" s="453"/>
      <c r="BI74" s="453"/>
      <c r="BJ74" s="453"/>
      <c r="BK74" s="453"/>
      <c r="BL74" s="453"/>
      <c r="BM74" s="502"/>
      <c r="BN74" s="490"/>
      <c r="BO74" s="470"/>
      <c r="BP74" s="490"/>
      <c r="BQ74" s="453"/>
      <c r="BR74" s="502"/>
      <c r="BS74" s="524"/>
      <c r="BT74" s="458"/>
    </row>
    <row r="75" s="435" customFormat="1" ht="18" customHeight="1" spans="1:72">
      <c r="A75" s="451" t="s">
        <v>4033</v>
      </c>
      <c r="B75" s="456">
        <v>43692</v>
      </c>
      <c r="C75" s="459"/>
      <c r="D75" s="451"/>
      <c r="E75" s="457"/>
      <c r="F75" s="453"/>
      <c r="G75" s="453"/>
      <c r="H75" s="453"/>
      <c r="I75" s="453"/>
      <c r="J75" s="453"/>
      <c r="K75" s="453"/>
      <c r="L75" s="453"/>
      <c r="M75" s="453"/>
      <c r="N75" s="453"/>
      <c r="O75" s="453"/>
      <c r="P75" s="453"/>
      <c r="Q75" s="453"/>
      <c r="R75" s="453"/>
      <c r="S75" s="453"/>
      <c r="T75" s="453"/>
      <c r="U75" s="453"/>
      <c r="V75" s="453"/>
      <c r="W75" s="453"/>
      <c r="X75" s="453"/>
      <c r="Y75" s="453"/>
      <c r="Z75" s="489"/>
      <c r="AA75" s="489"/>
      <c r="AB75" s="490"/>
      <c r="AC75" s="453"/>
      <c r="AD75" s="453"/>
      <c r="AE75" s="453"/>
      <c r="AF75" s="453"/>
      <c r="AG75" s="453"/>
      <c r="AH75" s="453"/>
      <c r="AI75" s="453"/>
      <c r="AJ75" s="453"/>
      <c r="AK75" s="453"/>
      <c r="AL75" s="453"/>
      <c r="AM75" s="453"/>
      <c r="AN75" s="453"/>
      <c r="AO75" s="453"/>
      <c r="AP75" s="453"/>
      <c r="AQ75" s="453"/>
      <c r="AR75" s="453"/>
      <c r="AS75" s="453"/>
      <c r="AT75" s="453"/>
      <c r="AU75" s="453"/>
      <c r="AV75" s="453"/>
      <c r="AW75" s="453"/>
      <c r="AX75" s="453"/>
      <c r="AY75" s="453"/>
      <c r="AZ75" s="453"/>
      <c r="BA75" s="453"/>
      <c r="BB75" s="502"/>
      <c r="BC75" s="503"/>
      <c r="BD75" s="453"/>
      <c r="BE75" s="453"/>
      <c r="BF75" s="470"/>
      <c r="BG75" s="453"/>
      <c r="BH75" s="453"/>
      <c r="BI75" s="453"/>
      <c r="BJ75" s="453"/>
      <c r="BK75" s="453"/>
      <c r="BL75" s="453"/>
      <c r="BM75" s="502"/>
      <c r="BN75" s="490"/>
      <c r="BO75" s="470"/>
      <c r="BP75" s="490"/>
      <c r="BQ75" s="453"/>
      <c r="BR75" s="502"/>
      <c r="BS75" s="524"/>
      <c r="BT75" s="458"/>
    </row>
    <row r="76" s="435" customFormat="1" ht="18" customHeight="1" spans="1:72">
      <c r="A76" s="451" t="s">
        <v>4033</v>
      </c>
      <c r="B76" s="456">
        <v>43693</v>
      </c>
      <c r="C76" s="459">
        <v>1000004033</v>
      </c>
      <c r="D76" s="451"/>
      <c r="E76" s="457"/>
      <c r="F76" s="453"/>
      <c r="G76" s="453"/>
      <c r="H76" s="453"/>
      <c r="I76" s="453"/>
      <c r="J76" s="453"/>
      <c r="K76" s="453"/>
      <c r="L76" s="453"/>
      <c r="M76" s="453"/>
      <c r="N76" s="453"/>
      <c r="O76" s="453"/>
      <c r="P76" s="453"/>
      <c r="Q76" s="453"/>
      <c r="R76" s="453"/>
      <c r="S76" s="453"/>
      <c r="T76" s="453"/>
      <c r="U76" s="453"/>
      <c r="V76" s="453"/>
      <c r="W76" s="453"/>
      <c r="X76" s="453"/>
      <c r="Y76" s="453"/>
      <c r="Z76" s="489"/>
      <c r="AA76" s="489"/>
      <c r="AB76" s="490">
        <v>260000</v>
      </c>
      <c r="AC76" s="453"/>
      <c r="AD76" s="453"/>
      <c r="AE76" s="453"/>
      <c r="AF76" s="453"/>
      <c r="AG76" s="453"/>
      <c r="AH76" s="453"/>
      <c r="AI76" s="453"/>
      <c r="AJ76" s="453"/>
      <c r="AK76" s="453"/>
      <c r="AL76" s="453"/>
      <c r="AM76" s="453"/>
      <c r="AN76" s="453"/>
      <c r="AO76" s="453"/>
      <c r="AP76" s="453"/>
      <c r="AQ76" s="453"/>
      <c r="AR76" s="453"/>
      <c r="AS76" s="453"/>
      <c r="AT76" s="453"/>
      <c r="AU76" s="453"/>
      <c r="AV76" s="453">
        <v>500500</v>
      </c>
      <c r="AW76" s="453"/>
      <c r="AX76" s="453"/>
      <c r="AY76" s="453"/>
      <c r="AZ76" s="453"/>
      <c r="BA76" s="453"/>
      <c r="BB76" s="502"/>
      <c r="BC76" s="503"/>
      <c r="BD76" s="453"/>
      <c r="BE76" s="453"/>
      <c r="BF76" s="470"/>
      <c r="BG76" s="453"/>
      <c r="BH76" s="453"/>
      <c r="BI76" s="453"/>
      <c r="BJ76" s="453"/>
      <c r="BK76" s="453"/>
      <c r="BL76" s="453"/>
      <c r="BM76" s="502"/>
      <c r="BN76" s="490"/>
      <c r="BO76" s="470"/>
      <c r="BP76" s="490"/>
      <c r="BQ76" s="453"/>
      <c r="BR76" s="502"/>
      <c r="BS76" s="524"/>
      <c r="BT76" s="458"/>
    </row>
    <row r="77" s="435" customFormat="1" ht="18" customHeight="1" spans="1:72">
      <c r="A77" s="451" t="s">
        <v>4033</v>
      </c>
      <c r="B77" s="456">
        <v>43693</v>
      </c>
      <c r="C77" s="459">
        <v>1000004034</v>
      </c>
      <c r="D77" s="451"/>
      <c r="E77" s="457"/>
      <c r="F77" s="453"/>
      <c r="G77" s="453"/>
      <c r="H77" s="453"/>
      <c r="I77" s="453"/>
      <c r="J77" s="453"/>
      <c r="K77" s="453"/>
      <c r="L77" s="453"/>
      <c r="M77" s="453"/>
      <c r="N77" s="453"/>
      <c r="O77" s="453"/>
      <c r="P77" s="453"/>
      <c r="Q77" s="453"/>
      <c r="R77" s="453"/>
      <c r="S77" s="453"/>
      <c r="T77" s="453"/>
      <c r="U77" s="453"/>
      <c r="V77" s="453"/>
      <c r="W77" s="453"/>
      <c r="X77" s="453"/>
      <c r="Y77" s="453"/>
      <c r="Z77" s="489"/>
      <c r="AA77" s="489"/>
      <c r="AB77" s="490"/>
      <c r="AC77" s="453"/>
      <c r="AD77" s="453"/>
      <c r="AE77" s="453"/>
      <c r="AF77" s="453"/>
      <c r="AG77" s="453"/>
      <c r="AH77" s="453"/>
      <c r="AI77" s="453"/>
      <c r="AJ77" s="453"/>
      <c r="AK77" s="453"/>
      <c r="AL77" s="453">
        <v>250000</v>
      </c>
      <c r="AM77" s="453"/>
      <c r="AN77" s="453"/>
      <c r="AO77" s="453"/>
      <c r="AP77" s="453"/>
      <c r="AQ77" s="453"/>
      <c r="AR77" s="453"/>
      <c r="AS77" s="453"/>
      <c r="AT77" s="453"/>
      <c r="AU77" s="453"/>
      <c r="AV77" s="453"/>
      <c r="AW77" s="453"/>
      <c r="AX77" s="453"/>
      <c r="AY77" s="453"/>
      <c r="AZ77" s="453"/>
      <c r="BA77" s="453"/>
      <c r="BB77" s="502"/>
      <c r="BC77" s="503"/>
      <c r="BD77" s="453"/>
      <c r="BE77" s="453"/>
      <c r="BF77" s="470"/>
      <c r="BG77" s="453"/>
      <c r="BH77" s="453"/>
      <c r="BI77" s="453"/>
      <c r="BJ77" s="453"/>
      <c r="BK77" s="453"/>
      <c r="BL77" s="453"/>
      <c r="BM77" s="502"/>
      <c r="BN77" s="490"/>
      <c r="BO77" s="470"/>
      <c r="BP77" s="490"/>
      <c r="BQ77" s="453"/>
      <c r="BR77" s="502"/>
      <c r="BS77" s="524"/>
      <c r="BT77" s="458"/>
    </row>
    <row r="78" s="435" customFormat="1" ht="18" customHeight="1" spans="1:72">
      <c r="A78" s="451" t="s">
        <v>4033</v>
      </c>
      <c r="B78" s="456">
        <v>43700</v>
      </c>
      <c r="C78" s="459"/>
      <c r="D78" s="451" t="s">
        <v>4034</v>
      </c>
      <c r="E78" s="457"/>
      <c r="F78" s="453"/>
      <c r="G78" s="453"/>
      <c r="H78" s="453"/>
      <c r="I78" s="453"/>
      <c r="J78" s="453"/>
      <c r="K78" s="453"/>
      <c r="L78" s="453"/>
      <c r="M78" s="453"/>
      <c r="N78" s="453"/>
      <c r="O78" s="453"/>
      <c r="P78" s="453"/>
      <c r="Q78" s="453"/>
      <c r="R78" s="453"/>
      <c r="S78" s="453"/>
      <c r="T78" s="453"/>
      <c r="U78" s="453"/>
      <c r="V78" s="453"/>
      <c r="W78" s="453"/>
      <c r="X78" s="453"/>
      <c r="Y78" s="453"/>
      <c r="Z78" s="489"/>
      <c r="AA78" s="489"/>
      <c r="AB78" s="490"/>
      <c r="AC78" s="453"/>
      <c r="AD78" s="453"/>
      <c r="AE78" s="453"/>
      <c r="AF78" s="453"/>
      <c r="AG78" s="453"/>
      <c r="AH78" s="453"/>
      <c r="AI78" s="453"/>
      <c r="AJ78" s="453"/>
      <c r="AK78" s="453"/>
      <c r="AL78" s="453"/>
      <c r="AM78" s="453"/>
      <c r="AN78" s="453"/>
      <c r="AO78" s="453"/>
      <c r="AP78" s="453"/>
      <c r="AQ78" s="453"/>
      <c r="AR78" s="453"/>
      <c r="AS78" s="453"/>
      <c r="AT78" s="453"/>
      <c r="AU78" s="453"/>
      <c r="AV78" s="453"/>
      <c r="AW78" s="453"/>
      <c r="AX78" s="453"/>
      <c r="AY78" s="453"/>
      <c r="AZ78" s="453"/>
      <c r="BA78" s="453"/>
      <c r="BB78" s="502"/>
      <c r="BC78" s="503"/>
      <c r="BD78" s="453"/>
      <c r="BE78" s="453"/>
      <c r="BF78" s="470"/>
      <c r="BG78" s="453"/>
      <c r="BH78" s="453"/>
      <c r="BI78" s="453"/>
      <c r="BJ78" s="453"/>
      <c r="BK78" s="453"/>
      <c r="BL78" s="453"/>
      <c r="BM78" s="502"/>
      <c r="BN78" s="490"/>
      <c r="BO78" s="470"/>
      <c r="BP78" s="490"/>
      <c r="BQ78" s="453"/>
      <c r="BR78" s="502"/>
      <c r="BS78" s="524">
        <v>200</v>
      </c>
      <c r="BT78" s="530" t="s">
        <v>4035</v>
      </c>
    </row>
    <row r="79" s="435" customFormat="1" ht="18" customHeight="1" spans="1:72">
      <c r="A79" s="451" t="s">
        <v>4033</v>
      </c>
      <c r="B79" s="456">
        <v>43703</v>
      </c>
      <c r="C79" s="459">
        <v>1000004112</v>
      </c>
      <c r="D79" s="451"/>
      <c r="E79" s="457"/>
      <c r="F79" s="453"/>
      <c r="G79" s="453"/>
      <c r="H79" s="453"/>
      <c r="I79" s="453"/>
      <c r="J79" s="453"/>
      <c r="K79" s="453"/>
      <c r="L79" s="453"/>
      <c r="M79" s="453"/>
      <c r="N79" s="453"/>
      <c r="O79" s="453"/>
      <c r="P79" s="453"/>
      <c r="Q79" s="453"/>
      <c r="R79" s="453"/>
      <c r="S79" s="453"/>
      <c r="T79" s="453"/>
      <c r="U79" s="453"/>
      <c r="V79" s="453"/>
      <c r="W79" s="453"/>
      <c r="X79" s="453"/>
      <c r="Y79" s="453"/>
      <c r="Z79" s="489"/>
      <c r="AA79" s="489"/>
      <c r="AB79" s="490">
        <v>100000</v>
      </c>
      <c r="AC79" s="453"/>
      <c r="AD79" s="453"/>
      <c r="AE79" s="453"/>
      <c r="AF79" s="453"/>
      <c r="AG79" s="453"/>
      <c r="AH79" s="453"/>
      <c r="AI79" s="453"/>
      <c r="AJ79" s="453"/>
      <c r="AK79" s="453"/>
      <c r="AL79" s="453"/>
      <c r="AM79" s="453"/>
      <c r="AN79" s="453"/>
      <c r="AO79" s="453"/>
      <c r="AP79" s="453"/>
      <c r="AQ79" s="453"/>
      <c r="AR79" s="453"/>
      <c r="AS79" s="453"/>
      <c r="AT79" s="453"/>
      <c r="AU79" s="453"/>
      <c r="AV79" s="453"/>
      <c r="AW79" s="453"/>
      <c r="AX79" s="453"/>
      <c r="AY79" s="453"/>
      <c r="AZ79" s="453"/>
      <c r="BA79" s="453"/>
      <c r="BB79" s="502"/>
      <c r="BC79" s="503"/>
      <c r="BD79" s="453"/>
      <c r="BE79" s="453"/>
      <c r="BF79" s="470"/>
      <c r="BG79" s="453"/>
      <c r="BH79" s="453"/>
      <c r="BI79" s="453"/>
      <c r="BJ79" s="453"/>
      <c r="BK79" s="453"/>
      <c r="BL79" s="453"/>
      <c r="BM79" s="502"/>
      <c r="BN79" s="490"/>
      <c r="BO79" s="470"/>
      <c r="BP79" s="490"/>
      <c r="BQ79" s="453"/>
      <c r="BR79" s="502"/>
      <c r="BS79" s="524"/>
      <c r="BT79" s="530"/>
    </row>
    <row r="80" s="435" customFormat="1" ht="18" customHeight="1" spans="1:72">
      <c r="A80" s="451" t="s">
        <v>4033</v>
      </c>
      <c r="B80" s="456">
        <v>43703</v>
      </c>
      <c r="C80" s="459">
        <v>1000004113</v>
      </c>
      <c r="D80" s="451"/>
      <c r="E80" s="457"/>
      <c r="F80" s="453"/>
      <c r="G80" s="453"/>
      <c r="H80" s="453"/>
      <c r="I80" s="453"/>
      <c r="J80" s="453"/>
      <c r="K80" s="453"/>
      <c r="L80" s="453"/>
      <c r="M80" s="453"/>
      <c r="N80" s="453"/>
      <c r="O80" s="453"/>
      <c r="P80" s="453"/>
      <c r="Q80" s="453"/>
      <c r="R80" s="453"/>
      <c r="S80" s="453"/>
      <c r="T80" s="453"/>
      <c r="U80" s="453"/>
      <c r="V80" s="453"/>
      <c r="W80" s="453"/>
      <c r="X80" s="453"/>
      <c r="Y80" s="453"/>
      <c r="Z80" s="489"/>
      <c r="AA80" s="489"/>
      <c r="AB80" s="490"/>
      <c r="AC80" s="453"/>
      <c r="AD80" s="453"/>
      <c r="AE80" s="453"/>
      <c r="AF80" s="453"/>
      <c r="AG80" s="453"/>
      <c r="AH80" s="453"/>
      <c r="AI80" s="453"/>
      <c r="AJ80" s="453"/>
      <c r="AK80" s="453"/>
      <c r="AL80" s="453">
        <v>100000</v>
      </c>
      <c r="AM80" s="453"/>
      <c r="AN80" s="453"/>
      <c r="AO80" s="453"/>
      <c r="AP80" s="453"/>
      <c r="AQ80" s="453"/>
      <c r="AR80" s="453"/>
      <c r="AS80" s="453"/>
      <c r="AT80" s="453"/>
      <c r="AU80" s="453"/>
      <c r="AV80" s="453"/>
      <c r="AW80" s="453"/>
      <c r="AX80" s="453"/>
      <c r="AY80" s="453"/>
      <c r="AZ80" s="453"/>
      <c r="BA80" s="453"/>
      <c r="BB80" s="502"/>
      <c r="BC80" s="503"/>
      <c r="BD80" s="453"/>
      <c r="BE80" s="453"/>
      <c r="BF80" s="470"/>
      <c r="BG80" s="453"/>
      <c r="BH80" s="453"/>
      <c r="BI80" s="453"/>
      <c r="BJ80" s="453"/>
      <c r="BK80" s="453"/>
      <c r="BL80" s="453"/>
      <c r="BM80" s="502"/>
      <c r="BN80" s="490"/>
      <c r="BO80" s="470"/>
      <c r="BP80" s="490"/>
      <c r="BQ80" s="453"/>
      <c r="BR80" s="502"/>
      <c r="BS80" s="524"/>
      <c r="BT80" s="530"/>
    </row>
    <row r="81" s="435" customFormat="1" ht="18" customHeight="1" spans="1:72">
      <c r="A81" s="451" t="s">
        <v>4033</v>
      </c>
      <c r="B81" s="456">
        <v>43703</v>
      </c>
      <c r="C81" s="459">
        <v>1000004110</v>
      </c>
      <c r="D81" s="451"/>
      <c r="E81" s="457"/>
      <c r="F81" s="453"/>
      <c r="G81" s="453"/>
      <c r="H81" s="453"/>
      <c r="I81" s="453"/>
      <c r="J81" s="453"/>
      <c r="K81" s="453"/>
      <c r="L81" s="453"/>
      <c r="M81" s="453"/>
      <c r="N81" s="453"/>
      <c r="O81" s="453"/>
      <c r="P81" s="453"/>
      <c r="Q81" s="453"/>
      <c r="R81" s="453"/>
      <c r="S81" s="453"/>
      <c r="T81" s="453"/>
      <c r="U81" s="453"/>
      <c r="V81" s="453"/>
      <c r="W81" s="453"/>
      <c r="X81" s="453"/>
      <c r="Y81" s="453"/>
      <c r="Z81" s="489"/>
      <c r="AA81" s="489"/>
      <c r="AB81" s="490"/>
      <c r="AC81" s="453"/>
      <c r="AD81" s="453"/>
      <c r="AE81" s="453"/>
      <c r="AF81" s="453"/>
      <c r="AG81" s="453">
        <v>30000</v>
      </c>
      <c r="AH81" s="453"/>
      <c r="AI81" s="453"/>
      <c r="AJ81" s="453"/>
      <c r="AK81" s="453"/>
      <c r="AL81" s="453"/>
      <c r="AM81" s="453"/>
      <c r="AN81" s="453"/>
      <c r="AO81" s="453"/>
      <c r="AP81" s="453"/>
      <c r="AQ81" s="453"/>
      <c r="AR81" s="453"/>
      <c r="AS81" s="453"/>
      <c r="AT81" s="453"/>
      <c r="AU81" s="453"/>
      <c r="AV81" s="453"/>
      <c r="AW81" s="453"/>
      <c r="AX81" s="453"/>
      <c r="AY81" s="453"/>
      <c r="AZ81" s="453"/>
      <c r="BA81" s="453"/>
      <c r="BB81" s="502"/>
      <c r="BC81" s="503"/>
      <c r="BD81" s="453"/>
      <c r="BE81" s="453"/>
      <c r="BF81" s="470"/>
      <c r="BG81" s="453"/>
      <c r="BH81" s="453"/>
      <c r="BI81" s="453"/>
      <c r="BJ81" s="453"/>
      <c r="BK81" s="453"/>
      <c r="BL81" s="453"/>
      <c r="BM81" s="502"/>
      <c r="BN81" s="490"/>
      <c r="BO81" s="470"/>
      <c r="BP81" s="490"/>
      <c r="BQ81" s="453"/>
      <c r="BR81" s="502"/>
      <c r="BS81" s="524"/>
      <c r="BT81" s="530"/>
    </row>
    <row r="82" s="435" customFormat="1" ht="18" customHeight="1" spans="1:72">
      <c r="A82" s="451" t="s">
        <v>4033</v>
      </c>
      <c r="B82" s="456">
        <v>43703</v>
      </c>
      <c r="C82" s="459">
        <v>1000004111</v>
      </c>
      <c r="D82" s="451"/>
      <c r="E82" s="457"/>
      <c r="F82" s="453"/>
      <c r="G82" s="453"/>
      <c r="H82" s="453"/>
      <c r="I82" s="453"/>
      <c r="J82" s="453"/>
      <c r="K82" s="453"/>
      <c r="L82" s="453"/>
      <c r="M82" s="453"/>
      <c r="N82" s="453"/>
      <c r="O82" s="453"/>
      <c r="P82" s="453"/>
      <c r="Q82" s="453"/>
      <c r="R82" s="453"/>
      <c r="S82" s="453"/>
      <c r="T82" s="453"/>
      <c r="U82" s="453"/>
      <c r="V82" s="453"/>
      <c r="W82" s="453"/>
      <c r="X82" s="453"/>
      <c r="Y82" s="453"/>
      <c r="Z82" s="489"/>
      <c r="AA82" s="489"/>
      <c r="AB82" s="490"/>
      <c r="AC82" s="453"/>
      <c r="AD82" s="453"/>
      <c r="AE82" s="453"/>
      <c r="AF82" s="453"/>
      <c r="AG82" s="453"/>
      <c r="AH82" s="453"/>
      <c r="AI82" s="453"/>
      <c r="AJ82" s="453"/>
      <c r="AK82" s="453"/>
      <c r="AL82" s="453"/>
      <c r="AM82" s="453"/>
      <c r="AN82" s="453"/>
      <c r="AO82" s="453"/>
      <c r="AP82" s="453">
        <v>30000</v>
      </c>
      <c r="AQ82" s="453"/>
      <c r="AR82" s="453"/>
      <c r="AS82" s="453"/>
      <c r="AT82" s="453"/>
      <c r="AU82" s="453"/>
      <c r="AV82" s="453"/>
      <c r="AW82" s="453"/>
      <c r="AX82" s="453"/>
      <c r="AY82" s="453"/>
      <c r="AZ82" s="453"/>
      <c r="BA82" s="453"/>
      <c r="BB82" s="502"/>
      <c r="BC82" s="503"/>
      <c r="BD82" s="453"/>
      <c r="BE82" s="453"/>
      <c r="BF82" s="470"/>
      <c r="BG82" s="453"/>
      <c r="BH82" s="453"/>
      <c r="BI82" s="453"/>
      <c r="BJ82" s="453"/>
      <c r="BK82" s="453"/>
      <c r="BL82" s="453"/>
      <c r="BM82" s="502"/>
      <c r="BN82" s="490"/>
      <c r="BO82" s="470"/>
      <c r="BP82" s="490"/>
      <c r="BQ82" s="453"/>
      <c r="BR82" s="502"/>
      <c r="BS82" s="524"/>
      <c r="BT82" s="530"/>
    </row>
    <row r="83" s="435" customFormat="1" ht="18" customHeight="1" spans="1:72">
      <c r="A83" s="451" t="s">
        <v>4033</v>
      </c>
      <c r="B83" s="456">
        <v>43726</v>
      </c>
      <c r="C83" s="459">
        <v>1000004264</v>
      </c>
      <c r="D83" s="451"/>
      <c r="E83" s="457"/>
      <c r="F83" s="453"/>
      <c r="G83" s="453"/>
      <c r="H83" s="453"/>
      <c r="I83" s="453"/>
      <c r="J83" s="453"/>
      <c r="K83" s="453"/>
      <c r="L83" s="453"/>
      <c r="M83" s="453"/>
      <c r="N83" s="453"/>
      <c r="O83" s="453"/>
      <c r="P83" s="453"/>
      <c r="Q83" s="453"/>
      <c r="R83" s="453"/>
      <c r="S83" s="453"/>
      <c r="T83" s="453"/>
      <c r="U83" s="453"/>
      <c r="V83" s="453"/>
      <c r="W83" s="453"/>
      <c r="X83" s="453"/>
      <c r="Y83" s="453"/>
      <c r="Z83" s="489"/>
      <c r="AA83" s="489"/>
      <c r="AB83" s="490">
        <v>96000</v>
      </c>
      <c r="AC83" s="453"/>
      <c r="AD83" s="453"/>
      <c r="AE83" s="453"/>
      <c r="AF83" s="453"/>
      <c r="AG83" s="453"/>
      <c r="AH83" s="453"/>
      <c r="AI83" s="453"/>
      <c r="AJ83" s="453"/>
      <c r="AK83" s="453"/>
      <c r="AL83" s="453"/>
      <c r="AM83" s="453"/>
      <c r="AN83" s="453"/>
      <c r="AO83" s="453"/>
      <c r="AP83" s="453"/>
      <c r="AQ83" s="453"/>
      <c r="AR83" s="453"/>
      <c r="AS83" s="453"/>
      <c r="AT83" s="453"/>
      <c r="AU83" s="453"/>
      <c r="AV83" s="453"/>
      <c r="AW83" s="453"/>
      <c r="AX83" s="453"/>
      <c r="AY83" s="453"/>
      <c r="AZ83" s="453"/>
      <c r="BA83" s="453"/>
      <c r="BB83" s="502"/>
      <c r="BC83" s="503"/>
      <c r="BD83" s="453"/>
      <c r="BE83" s="453"/>
      <c r="BF83" s="470"/>
      <c r="BG83" s="453"/>
      <c r="BH83" s="453"/>
      <c r="BI83" s="453"/>
      <c r="BJ83" s="453"/>
      <c r="BK83" s="453"/>
      <c r="BL83" s="453"/>
      <c r="BM83" s="502"/>
      <c r="BN83" s="490"/>
      <c r="BO83" s="470"/>
      <c r="BP83" s="490"/>
      <c r="BQ83" s="453"/>
      <c r="BR83" s="502"/>
      <c r="BS83" s="524"/>
      <c r="BT83" s="530"/>
    </row>
    <row r="84" s="435" customFormat="1" ht="18" customHeight="1" spans="1:72">
      <c r="A84" s="451" t="s">
        <v>4033</v>
      </c>
      <c r="B84" s="456">
        <v>43726</v>
      </c>
      <c r="C84" s="459">
        <v>1000004265</v>
      </c>
      <c r="D84" s="451"/>
      <c r="E84" s="457"/>
      <c r="F84" s="453"/>
      <c r="G84" s="453"/>
      <c r="H84" s="453"/>
      <c r="I84" s="453"/>
      <c r="J84" s="453"/>
      <c r="K84" s="453"/>
      <c r="L84" s="453"/>
      <c r="M84" s="453"/>
      <c r="N84" s="453"/>
      <c r="O84" s="453"/>
      <c r="P84" s="453"/>
      <c r="Q84" s="453"/>
      <c r="R84" s="453"/>
      <c r="S84" s="453"/>
      <c r="T84" s="453"/>
      <c r="U84" s="453"/>
      <c r="V84" s="453"/>
      <c r="W84" s="453"/>
      <c r="X84" s="453"/>
      <c r="Y84" s="453"/>
      <c r="Z84" s="489"/>
      <c r="AA84" s="489"/>
      <c r="AB84" s="490"/>
      <c r="AC84" s="453"/>
      <c r="AD84" s="453"/>
      <c r="AE84" s="453"/>
      <c r="AF84" s="453"/>
      <c r="AG84" s="453"/>
      <c r="AH84" s="453"/>
      <c r="AI84" s="453"/>
      <c r="AJ84" s="453"/>
      <c r="AK84" s="453"/>
      <c r="AL84" s="453">
        <v>99000</v>
      </c>
      <c r="AM84" s="453"/>
      <c r="AN84" s="453"/>
      <c r="AO84" s="453"/>
      <c r="AP84" s="453"/>
      <c r="AQ84" s="453"/>
      <c r="AR84" s="453"/>
      <c r="AS84" s="453"/>
      <c r="AT84" s="453"/>
      <c r="AU84" s="453"/>
      <c r="AV84" s="453"/>
      <c r="AW84" s="453"/>
      <c r="AX84" s="453"/>
      <c r="AY84" s="453"/>
      <c r="AZ84" s="453"/>
      <c r="BA84" s="453"/>
      <c r="BB84" s="502"/>
      <c r="BC84" s="503"/>
      <c r="BD84" s="453"/>
      <c r="BE84" s="453"/>
      <c r="BF84" s="470"/>
      <c r="BG84" s="453"/>
      <c r="BH84" s="453"/>
      <c r="BI84" s="453"/>
      <c r="BJ84" s="453"/>
      <c r="BK84" s="453"/>
      <c r="BL84" s="453"/>
      <c r="BM84" s="502"/>
      <c r="BN84" s="490"/>
      <c r="BO84" s="470"/>
      <c r="BP84" s="490"/>
      <c r="BQ84" s="453"/>
      <c r="BR84" s="502"/>
      <c r="BS84" s="524"/>
      <c r="BT84" s="530"/>
    </row>
    <row r="85" s="435" customFormat="1" ht="18" customHeight="1" spans="1:72">
      <c r="A85" s="451" t="s">
        <v>4033</v>
      </c>
      <c r="B85" s="456">
        <v>43731</v>
      </c>
      <c r="C85" s="459"/>
      <c r="D85" s="451"/>
      <c r="E85" s="457"/>
      <c r="F85" s="453"/>
      <c r="G85" s="453"/>
      <c r="H85" s="453"/>
      <c r="I85" s="453"/>
      <c r="J85" s="453"/>
      <c r="K85" s="453"/>
      <c r="L85" s="453"/>
      <c r="M85" s="453"/>
      <c r="N85" s="453"/>
      <c r="O85" s="453"/>
      <c r="P85" s="453"/>
      <c r="Q85" s="453"/>
      <c r="R85" s="453"/>
      <c r="S85" s="453"/>
      <c r="T85" s="453"/>
      <c r="U85" s="453"/>
      <c r="V85" s="453"/>
      <c r="W85" s="453"/>
      <c r="X85" s="453"/>
      <c r="Y85" s="453"/>
      <c r="Z85" s="489"/>
      <c r="AA85" s="489"/>
      <c r="AB85" s="490"/>
      <c r="AC85" s="453"/>
      <c r="AD85" s="453"/>
      <c r="AE85" s="453"/>
      <c r="AF85" s="453"/>
      <c r="AG85" s="453"/>
      <c r="AH85" s="453"/>
      <c r="AI85" s="453"/>
      <c r="AJ85" s="453"/>
      <c r="AK85" s="453"/>
      <c r="AL85" s="453"/>
      <c r="AM85" s="453"/>
      <c r="AN85" s="453"/>
      <c r="AO85" s="453"/>
      <c r="AP85" s="453"/>
      <c r="AQ85" s="453"/>
      <c r="AR85" s="453"/>
      <c r="AS85" s="453"/>
      <c r="AT85" s="453"/>
      <c r="AU85" s="453"/>
      <c r="AV85" s="453">
        <v>163000</v>
      </c>
      <c r="AW85" s="453"/>
      <c r="AX85" s="453"/>
      <c r="AY85" s="453"/>
      <c r="AZ85" s="453"/>
      <c r="BA85" s="453"/>
      <c r="BB85" s="502"/>
      <c r="BC85" s="503"/>
      <c r="BD85" s="453"/>
      <c r="BE85" s="453"/>
      <c r="BF85" s="470"/>
      <c r="BG85" s="453"/>
      <c r="BH85" s="453"/>
      <c r="BI85" s="453"/>
      <c r="BJ85" s="453"/>
      <c r="BK85" s="453"/>
      <c r="BL85" s="453"/>
      <c r="BM85" s="502"/>
      <c r="BN85" s="490"/>
      <c r="BO85" s="470"/>
      <c r="BP85" s="490"/>
      <c r="BQ85" s="453"/>
      <c r="BR85" s="502"/>
      <c r="BS85" s="524"/>
      <c r="BT85" s="530"/>
    </row>
    <row r="86" s="435" customFormat="1" ht="18" customHeight="1" spans="1:72">
      <c r="A86" s="451" t="s">
        <v>4033</v>
      </c>
      <c r="B86" s="456">
        <v>43735</v>
      </c>
      <c r="C86" s="459">
        <v>1000004404</v>
      </c>
      <c r="D86" s="451"/>
      <c r="E86" s="457"/>
      <c r="F86" s="453"/>
      <c r="G86" s="453"/>
      <c r="H86" s="453"/>
      <c r="I86" s="453"/>
      <c r="J86" s="453"/>
      <c r="K86" s="453"/>
      <c r="L86" s="453"/>
      <c r="M86" s="453"/>
      <c r="N86" s="453"/>
      <c r="O86" s="453"/>
      <c r="P86" s="453"/>
      <c r="Q86" s="453"/>
      <c r="R86" s="453"/>
      <c r="S86" s="453"/>
      <c r="T86" s="453"/>
      <c r="U86" s="453"/>
      <c r="V86" s="453"/>
      <c r="W86" s="453"/>
      <c r="X86" s="453"/>
      <c r="Y86" s="453"/>
      <c r="Z86" s="489"/>
      <c r="AA86" s="489"/>
      <c r="AB86" s="490"/>
      <c r="AC86" s="453">
        <v>110000</v>
      </c>
      <c r="AD86" s="453"/>
      <c r="AE86" s="453"/>
      <c r="AF86" s="453"/>
      <c r="AG86" s="453"/>
      <c r="AH86" s="453"/>
      <c r="AI86" s="453"/>
      <c r="AJ86" s="453"/>
      <c r="AK86" s="453"/>
      <c r="AL86" s="453"/>
      <c r="AM86" s="453"/>
      <c r="AN86" s="453"/>
      <c r="AO86" s="453"/>
      <c r="AP86" s="453"/>
      <c r="AQ86" s="453"/>
      <c r="AR86" s="453"/>
      <c r="AS86" s="453"/>
      <c r="AT86" s="453"/>
      <c r="AU86" s="453"/>
      <c r="AV86" s="453"/>
      <c r="AW86" s="453"/>
      <c r="AX86" s="453"/>
      <c r="AY86" s="453"/>
      <c r="AZ86" s="453"/>
      <c r="BA86" s="453"/>
      <c r="BB86" s="502"/>
      <c r="BC86" s="503"/>
      <c r="BD86" s="453"/>
      <c r="BE86" s="453"/>
      <c r="BF86" s="470"/>
      <c r="BG86" s="453"/>
      <c r="BH86" s="453"/>
      <c r="BI86" s="453"/>
      <c r="BJ86" s="453"/>
      <c r="BK86" s="453"/>
      <c r="BL86" s="453"/>
      <c r="BM86" s="502"/>
      <c r="BN86" s="490"/>
      <c r="BO86" s="470"/>
      <c r="BP86" s="490"/>
      <c r="BQ86" s="453"/>
      <c r="BR86" s="502"/>
      <c r="BS86" s="524"/>
      <c r="BT86" s="530"/>
    </row>
    <row r="87" s="435" customFormat="1" ht="18" customHeight="1" spans="1:72">
      <c r="A87" s="451" t="s">
        <v>4033</v>
      </c>
      <c r="B87" s="456">
        <v>43735</v>
      </c>
      <c r="C87" s="459">
        <v>1000004405</v>
      </c>
      <c r="D87" s="451"/>
      <c r="E87" s="457"/>
      <c r="F87" s="453"/>
      <c r="G87" s="453"/>
      <c r="H87" s="453"/>
      <c r="I87" s="453"/>
      <c r="J87" s="453"/>
      <c r="K87" s="453"/>
      <c r="L87" s="453"/>
      <c r="M87" s="453"/>
      <c r="N87" s="453"/>
      <c r="O87" s="453"/>
      <c r="P87" s="453"/>
      <c r="Q87" s="453"/>
      <c r="R87" s="453"/>
      <c r="S87" s="453"/>
      <c r="T87" s="453"/>
      <c r="U87" s="453"/>
      <c r="V87" s="453"/>
      <c r="W87" s="453"/>
      <c r="X87" s="453"/>
      <c r="Y87" s="453"/>
      <c r="Z87" s="489"/>
      <c r="AA87" s="489"/>
      <c r="AB87" s="490"/>
      <c r="AC87" s="453"/>
      <c r="AD87" s="453"/>
      <c r="AE87" s="453"/>
      <c r="AF87" s="453"/>
      <c r="AG87" s="453"/>
      <c r="AH87" s="453"/>
      <c r="AI87" s="453"/>
      <c r="AJ87" s="453"/>
      <c r="AK87" s="453"/>
      <c r="AL87" s="453"/>
      <c r="AM87" s="453">
        <v>102000</v>
      </c>
      <c r="AN87" s="453"/>
      <c r="AO87" s="453"/>
      <c r="AP87" s="453"/>
      <c r="AQ87" s="453"/>
      <c r="AR87" s="453"/>
      <c r="AS87" s="453"/>
      <c r="AT87" s="453"/>
      <c r="AU87" s="453"/>
      <c r="AV87" s="453"/>
      <c r="AW87" s="453"/>
      <c r="AX87" s="453"/>
      <c r="AY87" s="453"/>
      <c r="AZ87" s="453"/>
      <c r="BA87" s="453"/>
      <c r="BB87" s="502"/>
      <c r="BC87" s="503"/>
      <c r="BD87" s="453"/>
      <c r="BE87" s="453"/>
      <c r="BF87" s="470"/>
      <c r="BG87" s="453"/>
      <c r="BH87" s="453"/>
      <c r="BI87" s="453"/>
      <c r="BJ87" s="453"/>
      <c r="BK87" s="453"/>
      <c r="BL87" s="453"/>
      <c r="BM87" s="502"/>
      <c r="BN87" s="490"/>
      <c r="BO87" s="470"/>
      <c r="BP87" s="490"/>
      <c r="BQ87" s="453"/>
      <c r="BR87" s="502"/>
      <c r="BS87" s="524"/>
      <c r="BT87" s="530"/>
    </row>
    <row r="88" s="435" customFormat="1" ht="18" customHeight="1" spans="1:72">
      <c r="A88" s="451" t="s">
        <v>4033</v>
      </c>
      <c r="B88" s="456">
        <v>43735</v>
      </c>
      <c r="C88" s="459">
        <v>1000004406</v>
      </c>
      <c r="D88" s="451"/>
      <c r="E88" s="457"/>
      <c r="F88" s="453"/>
      <c r="G88" s="453"/>
      <c r="H88" s="453"/>
      <c r="I88" s="453"/>
      <c r="J88" s="453"/>
      <c r="K88" s="453"/>
      <c r="L88" s="453"/>
      <c r="M88" s="453"/>
      <c r="N88" s="453"/>
      <c r="O88" s="453"/>
      <c r="P88" s="453"/>
      <c r="Q88" s="453"/>
      <c r="R88" s="453"/>
      <c r="S88" s="453"/>
      <c r="T88" s="453"/>
      <c r="U88" s="453"/>
      <c r="V88" s="453"/>
      <c r="W88" s="453"/>
      <c r="X88" s="453"/>
      <c r="Y88" s="453"/>
      <c r="Z88" s="489"/>
      <c r="AA88" s="489"/>
      <c r="AB88" s="490"/>
      <c r="AC88" s="453"/>
      <c r="AD88" s="453"/>
      <c r="AE88" s="453"/>
      <c r="AF88" s="453"/>
      <c r="AG88" s="453"/>
      <c r="AH88" s="453">
        <f>7000</f>
        <v>7000</v>
      </c>
      <c r="AI88" s="453"/>
      <c r="AJ88" s="453"/>
      <c r="AK88" s="453"/>
      <c r="AL88" s="453"/>
      <c r="AM88" s="453"/>
      <c r="AN88" s="453"/>
      <c r="AO88" s="453"/>
      <c r="AP88" s="453"/>
      <c r="AQ88" s="453"/>
      <c r="AR88" s="453"/>
      <c r="AS88" s="453"/>
      <c r="AT88" s="453"/>
      <c r="AU88" s="453"/>
      <c r="AV88" s="453"/>
      <c r="AW88" s="453"/>
      <c r="AX88" s="453"/>
      <c r="AY88" s="453"/>
      <c r="AZ88" s="453"/>
      <c r="BA88" s="453"/>
      <c r="BB88" s="502"/>
      <c r="BC88" s="503"/>
      <c r="BD88" s="453"/>
      <c r="BE88" s="453"/>
      <c r="BF88" s="470"/>
      <c r="BG88" s="453"/>
      <c r="BH88" s="453"/>
      <c r="BI88" s="453"/>
      <c r="BJ88" s="453"/>
      <c r="BK88" s="453"/>
      <c r="BL88" s="453"/>
      <c r="BM88" s="502"/>
      <c r="BN88" s="490"/>
      <c r="BO88" s="470"/>
      <c r="BP88" s="490"/>
      <c r="BQ88" s="453"/>
      <c r="BR88" s="502"/>
      <c r="BS88" s="524"/>
      <c r="BT88" s="530"/>
    </row>
    <row r="89" s="435" customFormat="1" ht="18" customHeight="1" spans="1:72">
      <c r="A89" s="451" t="s">
        <v>4033</v>
      </c>
      <c r="B89" s="456">
        <v>43735</v>
      </c>
      <c r="C89" s="459">
        <v>1000004407</v>
      </c>
      <c r="D89" s="451"/>
      <c r="E89" s="457"/>
      <c r="F89" s="453"/>
      <c r="G89" s="453"/>
      <c r="H89" s="453"/>
      <c r="I89" s="453"/>
      <c r="J89" s="453"/>
      <c r="K89" s="453"/>
      <c r="L89" s="453"/>
      <c r="M89" s="453"/>
      <c r="N89" s="453"/>
      <c r="O89" s="453"/>
      <c r="P89" s="453"/>
      <c r="Q89" s="453"/>
      <c r="R89" s="453"/>
      <c r="S89" s="453"/>
      <c r="T89" s="453"/>
      <c r="U89" s="453"/>
      <c r="V89" s="453"/>
      <c r="W89" s="453"/>
      <c r="X89" s="453"/>
      <c r="Y89" s="453"/>
      <c r="Z89" s="489"/>
      <c r="AA89" s="489"/>
      <c r="AB89" s="490"/>
      <c r="AC89" s="453"/>
      <c r="AD89" s="453"/>
      <c r="AE89" s="453"/>
      <c r="AF89" s="453"/>
      <c r="AG89" s="453"/>
      <c r="AH89" s="453"/>
      <c r="AI89" s="453"/>
      <c r="AJ89" s="453"/>
      <c r="AK89" s="453"/>
      <c r="AL89" s="453"/>
      <c r="AM89" s="453"/>
      <c r="AN89" s="453"/>
      <c r="AO89" s="453"/>
      <c r="AP89" s="453">
        <v>35000</v>
      </c>
      <c r="AQ89" s="453">
        <v>7000</v>
      </c>
      <c r="AR89" s="453"/>
      <c r="AS89" s="453"/>
      <c r="AT89" s="453"/>
      <c r="AU89" s="453"/>
      <c r="AV89" s="453"/>
      <c r="AW89" s="453"/>
      <c r="AX89" s="453"/>
      <c r="AY89" s="453"/>
      <c r="AZ89" s="453"/>
      <c r="BA89" s="453"/>
      <c r="BB89" s="502"/>
      <c r="BC89" s="503"/>
      <c r="BD89" s="453"/>
      <c r="BE89" s="453"/>
      <c r="BF89" s="470"/>
      <c r="BG89" s="453"/>
      <c r="BH89" s="453"/>
      <c r="BI89" s="453"/>
      <c r="BJ89" s="453"/>
      <c r="BK89" s="453"/>
      <c r="BL89" s="453"/>
      <c r="BM89" s="502"/>
      <c r="BN89" s="490"/>
      <c r="BO89" s="470"/>
      <c r="BP89" s="490"/>
      <c r="BQ89" s="453"/>
      <c r="BR89" s="502"/>
      <c r="BS89" s="524"/>
      <c r="BT89" s="530"/>
    </row>
    <row r="90" s="435" customFormat="1" ht="18" customHeight="1" spans="1:72">
      <c r="A90" s="451" t="s">
        <v>4033</v>
      </c>
      <c r="B90" s="456">
        <v>43735</v>
      </c>
      <c r="C90" s="459">
        <v>1000004335</v>
      </c>
      <c r="D90" s="451"/>
      <c r="E90" s="457"/>
      <c r="F90" s="453"/>
      <c r="G90" s="453"/>
      <c r="H90" s="453"/>
      <c r="I90" s="453">
        <v>5000</v>
      </c>
      <c r="J90" s="453"/>
      <c r="K90" s="453"/>
      <c r="L90" s="453"/>
      <c r="M90" s="453"/>
      <c r="N90" s="453"/>
      <c r="O90" s="453"/>
      <c r="P90" s="453"/>
      <c r="Q90" s="453"/>
      <c r="R90" s="453"/>
      <c r="S90" s="453"/>
      <c r="T90" s="453"/>
      <c r="U90" s="453"/>
      <c r="V90" s="453"/>
      <c r="W90" s="453"/>
      <c r="X90" s="453"/>
      <c r="Y90" s="453"/>
      <c r="Z90" s="489"/>
      <c r="AA90" s="489"/>
      <c r="AB90" s="490"/>
      <c r="AC90" s="453"/>
      <c r="AD90" s="453"/>
      <c r="AE90" s="453"/>
      <c r="AF90" s="453"/>
      <c r="AG90" s="453"/>
      <c r="AH90" s="453"/>
      <c r="AI90" s="453"/>
      <c r="AJ90" s="453"/>
      <c r="AK90" s="453"/>
      <c r="AL90" s="453"/>
      <c r="AM90" s="453"/>
      <c r="AN90" s="453"/>
      <c r="AO90" s="453"/>
      <c r="AP90" s="453"/>
      <c r="AQ90" s="453"/>
      <c r="AR90" s="453"/>
      <c r="AS90" s="453"/>
      <c r="AT90" s="453"/>
      <c r="AU90" s="453"/>
      <c r="AV90" s="453"/>
      <c r="AW90" s="453"/>
      <c r="AX90" s="453"/>
      <c r="AY90" s="453"/>
      <c r="AZ90" s="453"/>
      <c r="BA90" s="453"/>
      <c r="BB90" s="502"/>
      <c r="BC90" s="503"/>
      <c r="BD90" s="453"/>
      <c r="BE90" s="453"/>
      <c r="BF90" s="470"/>
      <c r="BG90" s="453"/>
      <c r="BH90" s="453"/>
      <c r="BI90" s="453"/>
      <c r="BJ90" s="453"/>
      <c r="BK90" s="453"/>
      <c r="BL90" s="453"/>
      <c r="BM90" s="502"/>
      <c r="BN90" s="490"/>
      <c r="BO90" s="470"/>
      <c r="BP90" s="490"/>
      <c r="BQ90" s="453"/>
      <c r="BR90" s="502"/>
      <c r="BS90" s="524"/>
      <c r="BT90" s="530"/>
    </row>
    <row r="91" s="435" customFormat="1" ht="18" customHeight="1" spans="1:72">
      <c r="A91" s="451" t="s">
        <v>4033</v>
      </c>
      <c r="B91" s="456">
        <v>43735</v>
      </c>
      <c r="C91" s="459">
        <v>1000004336</v>
      </c>
      <c r="D91" s="451"/>
      <c r="E91" s="457"/>
      <c r="F91" s="453"/>
      <c r="G91" s="453"/>
      <c r="H91" s="453"/>
      <c r="I91" s="453"/>
      <c r="J91" s="453">
        <v>3000</v>
      </c>
      <c r="K91" s="453"/>
      <c r="L91" s="453"/>
      <c r="M91" s="453"/>
      <c r="N91" s="453"/>
      <c r="O91" s="453"/>
      <c r="P91" s="453"/>
      <c r="Q91" s="453"/>
      <c r="R91" s="453"/>
      <c r="S91" s="453"/>
      <c r="T91" s="453"/>
      <c r="U91" s="453"/>
      <c r="V91" s="453"/>
      <c r="W91" s="453"/>
      <c r="X91" s="453"/>
      <c r="Y91" s="453"/>
      <c r="Z91" s="489"/>
      <c r="AA91" s="489"/>
      <c r="AB91" s="490"/>
      <c r="AC91" s="453"/>
      <c r="AD91" s="453"/>
      <c r="AE91" s="453"/>
      <c r="AF91" s="453"/>
      <c r="AG91" s="453"/>
      <c r="AH91" s="453"/>
      <c r="AI91" s="453"/>
      <c r="AJ91" s="453"/>
      <c r="AK91" s="453"/>
      <c r="AL91" s="453"/>
      <c r="AM91" s="453"/>
      <c r="AN91" s="453"/>
      <c r="AO91" s="453"/>
      <c r="AP91" s="453"/>
      <c r="AQ91" s="453"/>
      <c r="AR91" s="453"/>
      <c r="AS91" s="453"/>
      <c r="AT91" s="453"/>
      <c r="AU91" s="453"/>
      <c r="AV91" s="453"/>
      <c r="AW91" s="453"/>
      <c r="AX91" s="453"/>
      <c r="AY91" s="453"/>
      <c r="AZ91" s="453"/>
      <c r="BA91" s="453"/>
      <c r="BB91" s="502"/>
      <c r="BC91" s="503"/>
      <c r="BD91" s="453"/>
      <c r="BE91" s="453"/>
      <c r="BF91" s="470"/>
      <c r="BG91" s="453"/>
      <c r="BH91" s="453"/>
      <c r="BI91" s="453"/>
      <c r="BJ91" s="453"/>
      <c r="BK91" s="453"/>
      <c r="BL91" s="453"/>
      <c r="BM91" s="502"/>
      <c r="BN91" s="490"/>
      <c r="BO91" s="470"/>
      <c r="BP91" s="490"/>
      <c r="BQ91" s="453"/>
      <c r="BR91" s="502"/>
      <c r="BS91" s="524"/>
      <c r="BT91" s="530"/>
    </row>
    <row r="92" s="435" customFormat="1" ht="18" customHeight="1" spans="1:72">
      <c r="A92" s="451" t="s">
        <v>4033</v>
      </c>
      <c r="B92" s="456">
        <v>43735</v>
      </c>
      <c r="C92" s="459">
        <v>1000004337</v>
      </c>
      <c r="D92" s="451"/>
      <c r="E92" s="457"/>
      <c r="F92" s="453"/>
      <c r="G92" s="453"/>
      <c r="H92" s="453"/>
      <c r="I92" s="453"/>
      <c r="J92" s="453"/>
      <c r="K92" s="453">
        <v>3000</v>
      </c>
      <c r="L92" s="453"/>
      <c r="M92" s="453"/>
      <c r="N92" s="453"/>
      <c r="O92" s="453"/>
      <c r="P92" s="453"/>
      <c r="Q92" s="453"/>
      <c r="R92" s="453"/>
      <c r="S92" s="453"/>
      <c r="T92" s="453"/>
      <c r="U92" s="453"/>
      <c r="V92" s="453"/>
      <c r="W92" s="453"/>
      <c r="X92" s="453"/>
      <c r="Y92" s="453"/>
      <c r="Z92" s="489"/>
      <c r="AA92" s="489"/>
      <c r="AB92" s="490"/>
      <c r="AC92" s="453"/>
      <c r="AD92" s="453"/>
      <c r="AE92" s="453"/>
      <c r="AF92" s="453"/>
      <c r="AG92" s="453"/>
      <c r="AH92" s="453"/>
      <c r="AI92" s="453"/>
      <c r="AJ92" s="453"/>
      <c r="AK92" s="453"/>
      <c r="AL92" s="453"/>
      <c r="AM92" s="453"/>
      <c r="AN92" s="453"/>
      <c r="AO92" s="453"/>
      <c r="AP92" s="453"/>
      <c r="AQ92" s="453"/>
      <c r="AR92" s="453"/>
      <c r="AS92" s="453"/>
      <c r="AT92" s="453"/>
      <c r="AU92" s="453"/>
      <c r="AV92" s="453"/>
      <c r="AW92" s="453"/>
      <c r="AX92" s="453"/>
      <c r="AY92" s="453"/>
      <c r="AZ92" s="453"/>
      <c r="BA92" s="453"/>
      <c r="BB92" s="502"/>
      <c r="BC92" s="503"/>
      <c r="BD92" s="453"/>
      <c r="BE92" s="453"/>
      <c r="BF92" s="470"/>
      <c r="BG92" s="453"/>
      <c r="BH92" s="453"/>
      <c r="BI92" s="453"/>
      <c r="BJ92" s="453"/>
      <c r="BK92" s="453"/>
      <c r="BL92" s="453"/>
      <c r="BM92" s="502"/>
      <c r="BN92" s="490"/>
      <c r="BO92" s="470"/>
      <c r="BP92" s="490"/>
      <c r="BQ92" s="453"/>
      <c r="BR92" s="502"/>
      <c r="BS92" s="524"/>
      <c r="BT92" s="530"/>
    </row>
    <row r="93" s="435" customFormat="1" ht="18" customHeight="1" spans="1:72">
      <c r="A93" s="451" t="s">
        <v>4033</v>
      </c>
      <c r="B93" s="456">
        <v>43735</v>
      </c>
      <c r="C93" s="459">
        <v>1000004338</v>
      </c>
      <c r="D93" s="451"/>
      <c r="E93" s="457"/>
      <c r="F93" s="453"/>
      <c r="G93" s="453"/>
      <c r="H93" s="453"/>
      <c r="I93" s="453"/>
      <c r="J93" s="453"/>
      <c r="K93" s="453"/>
      <c r="L93" s="453"/>
      <c r="M93" s="453"/>
      <c r="N93" s="453"/>
      <c r="O93" s="453"/>
      <c r="P93" s="453"/>
      <c r="Q93" s="453"/>
      <c r="R93" s="453">
        <v>13000</v>
      </c>
      <c r="S93" s="453"/>
      <c r="T93" s="453"/>
      <c r="U93" s="453"/>
      <c r="V93" s="453"/>
      <c r="W93" s="453"/>
      <c r="X93" s="453"/>
      <c r="Y93" s="453"/>
      <c r="Z93" s="489"/>
      <c r="AA93" s="489"/>
      <c r="AB93" s="490"/>
      <c r="AC93" s="453"/>
      <c r="AD93" s="453"/>
      <c r="AE93" s="453"/>
      <c r="AF93" s="453"/>
      <c r="AG93" s="453"/>
      <c r="AH93" s="453"/>
      <c r="AI93" s="453"/>
      <c r="AJ93" s="453"/>
      <c r="AK93" s="453"/>
      <c r="AL93" s="453"/>
      <c r="AM93" s="453"/>
      <c r="AN93" s="453"/>
      <c r="AO93" s="453"/>
      <c r="AP93" s="453"/>
      <c r="AQ93" s="453"/>
      <c r="AR93" s="453"/>
      <c r="AS93" s="453"/>
      <c r="AT93" s="453"/>
      <c r="AU93" s="453"/>
      <c r="AV93" s="453"/>
      <c r="AW93" s="453"/>
      <c r="AX93" s="453"/>
      <c r="AY93" s="453"/>
      <c r="AZ93" s="453"/>
      <c r="BA93" s="453"/>
      <c r="BB93" s="502"/>
      <c r="BC93" s="503"/>
      <c r="BD93" s="453"/>
      <c r="BE93" s="453"/>
      <c r="BF93" s="470"/>
      <c r="BG93" s="453"/>
      <c r="BH93" s="453"/>
      <c r="BI93" s="453"/>
      <c r="BJ93" s="453"/>
      <c r="BK93" s="453"/>
      <c r="BL93" s="453"/>
      <c r="BM93" s="502"/>
      <c r="BN93" s="490"/>
      <c r="BO93" s="470"/>
      <c r="BP93" s="490"/>
      <c r="BQ93" s="453"/>
      <c r="BR93" s="502"/>
      <c r="BS93" s="524"/>
      <c r="BT93" s="530"/>
    </row>
    <row r="94" s="435" customFormat="1" ht="18" customHeight="1" spans="1:72">
      <c r="A94" s="451" t="s">
        <v>4033</v>
      </c>
      <c r="B94" s="456">
        <v>43753</v>
      </c>
      <c r="C94" s="459">
        <v>1000004408</v>
      </c>
      <c r="D94" s="451"/>
      <c r="E94" s="457"/>
      <c r="F94" s="453"/>
      <c r="G94" s="453"/>
      <c r="H94" s="453"/>
      <c r="I94" s="453"/>
      <c r="J94" s="453"/>
      <c r="K94" s="453"/>
      <c r="L94" s="453"/>
      <c r="M94" s="453"/>
      <c r="N94" s="453"/>
      <c r="O94" s="453"/>
      <c r="P94" s="453"/>
      <c r="Q94" s="453"/>
      <c r="R94" s="453"/>
      <c r="S94" s="453"/>
      <c r="T94" s="453"/>
      <c r="U94" s="453"/>
      <c r="V94" s="453"/>
      <c r="W94" s="453"/>
      <c r="X94" s="453"/>
      <c r="Y94" s="453"/>
      <c r="Z94" s="489"/>
      <c r="AA94" s="489"/>
      <c r="AB94" s="490"/>
      <c r="AC94" s="453"/>
      <c r="AD94" s="453"/>
      <c r="AE94" s="453"/>
      <c r="AF94" s="453"/>
      <c r="AG94" s="453"/>
      <c r="AH94" s="453">
        <v>20000</v>
      </c>
      <c r="AI94" s="453"/>
      <c r="AJ94" s="453"/>
      <c r="AK94" s="453"/>
      <c r="AL94" s="453"/>
      <c r="AM94" s="453"/>
      <c r="AN94" s="453"/>
      <c r="AO94" s="453"/>
      <c r="AP94" s="453"/>
      <c r="AQ94" s="453"/>
      <c r="AR94" s="453"/>
      <c r="AS94" s="453"/>
      <c r="AT94" s="453"/>
      <c r="AU94" s="453"/>
      <c r="AV94" s="453"/>
      <c r="AW94" s="453"/>
      <c r="AX94" s="453"/>
      <c r="AY94" s="453"/>
      <c r="AZ94" s="453"/>
      <c r="BA94" s="453"/>
      <c r="BB94" s="502"/>
      <c r="BC94" s="503"/>
      <c r="BD94" s="453"/>
      <c r="BE94" s="453"/>
      <c r="BF94" s="470"/>
      <c r="BG94" s="453"/>
      <c r="BH94" s="453"/>
      <c r="BI94" s="453"/>
      <c r="BJ94" s="453"/>
      <c r="BK94" s="453"/>
      <c r="BL94" s="453"/>
      <c r="BM94" s="502"/>
      <c r="BN94" s="490"/>
      <c r="BO94" s="470"/>
      <c r="BP94" s="490"/>
      <c r="BQ94" s="453"/>
      <c r="BR94" s="502"/>
      <c r="BS94" s="524"/>
      <c r="BT94" s="530"/>
    </row>
    <row r="95" s="435" customFormat="1" ht="18" customHeight="1" spans="1:72">
      <c r="A95" s="451" t="s">
        <v>4033</v>
      </c>
      <c r="B95" s="456">
        <v>43753</v>
      </c>
      <c r="C95" s="526">
        <v>1000004409</v>
      </c>
      <c r="D95" s="451"/>
      <c r="E95" s="457"/>
      <c r="F95" s="453"/>
      <c r="G95" s="453"/>
      <c r="H95" s="453"/>
      <c r="I95" s="453"/>
      <c r="J95" s="453"/>
      <c r="K95" s="453"/>
      <c r="L95" s="453"/>
      <c r="M95" s="453"/>
      <c r="N95" s="453"/>
      <c r="O95" s="453"/>
      <c r="P95" s="453"/>
      <c r="Q95" s="453"/>
      <c r="R95" s="453"/>
      <c r="S95" s="453"/>
      <c r="T95" s="453"/>
      <c r="U95" s="453"/>
      <c r="V95" s="453"/>
      <c r="W95" s="453"/>
      <c r="X95" s="453"/>
      <c r="Y95" s="453"/>
      <c r="Z95" s="489"/>
      <c r="AA95" s="489"/>
      <c r="AB95" s="490"/>
      <c r="AC95" s="453"/>
      <c r="AD95" s="453"/>
      <c r="AE95" s="453"/>
      <c r="AF95" s="453"/>
      <c r="AG95" s="453"/>
      <c r="AH95" s="453"/>
      <c r="AI95" s="453"/>
      <c r="AJ95" s="453"/>
      <c r="AK95" s="453"/>
      <c r="AL95" s="453"/>
      <c r="AM95" s="453"/>
      <c r="AN95" s="453"/>
      <c r="AO95" s="453"/>
      <c r="AP95" s="453"/>
      <c r="AQ95" s="453">
        <v>20000</v>
      </c>
      <c r="AR95" s="453"/>
      <c r="AS95" s="453"/>
      <c r="AT95" s="453"/>
      <c r="AU95" s="453"/>
      <c r="AV95" s="453"/>
      <c r="AW95" s="453"/>
      <c r="AX95" s="453"/>
      <c r="AY95" s="453"/>
      <c r="AZ95" s="453"/>
      <c r="BA95" s="453"/>
      <c r="BB95" s="502"/>
      <c r="BC95" s="503"/>
      <c r="BD95" s="453"/>
      <c r="BE95" s="453"/>
      <c r="BF95" s="470"/>
      <c r="BG95" s="453"/>
      <c r="BH95" s="453"/>
      <c r="BI95" s="453"/>
      <c r="BJ95" s="453"/>
      <c r="BK95" s="453"/>
      <c r="BL95" s="453"/>
      <c r="BM95" s="502"/>
      <c r="BN95" s="490"/>
      <c r="BO95" s="470"/>
      <c r="BP95" s="490"/>
      <c r="BQ95" s="453"/>
      <c r="BR95" s="502"/>
      <c r="BS95" s="524"/>
      <c r="BT95" s="530"/>
    </row>
    <row r="96" s="435" customFormat="1" ht="18" customHeight="1" spans="1:72">
      <c r="A96" s="451" t="s">
        <v>4033</v>
      </c>
      <c r="B96" s="456">
        <v>43757</v>
      </c>
      <c r="C96" s="459">
        <v>1000004395</v>
      </c>
      <c r="D96" s="451"/>
      <c r="E96" s="457"/>
      <c r="F96" s="453"/>
      <c r="G96" s="453"/>
      <c r="H96" s="453"/>
      <c r="I96" s="453">
        <v>5000</v>
      </c>
      <c r="J96" s="453"/>
      <c r="K96" s="453"/>
      <c r="L96" s="453"/>
      <c r="M96" s="453"/>
      <c r="N96" s="453"/>
      <c r="O96" s="453"/>
      <c r="P96" s="453"/>
      <c r="Q96" s="453"/>
      <c r="R96" s="453"/>
      <c r="S96" s="453"/>
      <c r="T96" s="453"/>
      <c r="U96" s="453"/>
      <c r="V96" s="453"/>
      <c r="W96" s="453"/>
      <c r="X96" s="453"/>
      <c r="Y96" s="453"/>
      <c r="Z96" s="489"/>
      <c r="AA96" s="489"/>
      <c r="AB96" s="490"/>
      <c r="AC96" s="453"/>
      <c r="AD96" s="453"/>
      <c r="AE96" s="453"/>
      <c r="AF96" s="453"/>
      <c r="AG96" s="453"/>
      <c r="AH96" s="453"/>
      <c r="AI96" s="453"/>
      <c r="AJ96" s="453"/>
      <c r="AK96" s="453"/>
      <c r="AL96" s="453"/>
      <c r="AM96" s="453"/>
      <c r="AN96" s="453"/>
      <c r="AO96" s="453"/>
      <c r="AP96" s="453"/>
      <c r="AQ96" s="453"/>
      <c r="AR96" s="453"/>
      <c r="AS96" s="453"/>
      <c r="AT96" s="453"/>
      <c r="AU96" s="453"/>
      <c r="AV96" s="453"/>
      <c r="AW96" s="453"/>
      <c r="AX96" s="453"/>
      <c r="AY96" s="453"/>
      <c r="AZ96" s="453"/>
      <c r="BA96" s="453"/>
      <c r="BB96" s="502"/>
      <c r="BC96" s="503"/>
      <c r="BD96" s="453"/>
      <c r="BE96" s="453"/>
      <c r="BF96" s="470"/>
      <c r="BG96" s="453"/>
      <c r="BH96" s="453"/>
      <c r="BI96" s="453"/>
      <c r="BJ96" s="453"/>
      <c r="BK96" s="453"/>
      <c r="BL96" s="453"/>
      <c r="BM96" s="502"/>
      <c r="BN96" s="490"/>
      <c r="BO96" s="470"/>
      <c r="BP96" s="490"/>
      <c r="BQ96" s="453"/>
      <c r="BR96" s="502"/>
      <c r="BS96" s="524"/>
      <c r="BT96" s="530"/>
    </row>
    <row r="97" s="435" customFormat="1" ht="18" customHeight="1" spans="1:72">
      <c r="A97" s="451" t="s">
        <v>4033</v>
      </c>
      <c r="B97" s="456">
        <v>43757</v>
      </c>
      <c r="C97" s="459">
        <v>1000004396</v>
      </c>
      <c r="D97" s="451"/>
      <c r="E97" s="457"/>
      <c r="F97" s="453"/>
      <c r="G97" s="453"/>
      <c r="H97" s="453"/>
      <c r="I97" s="453"/>
      <c r="J97" s="453"/>
      <c r="K97" s="453"/>
      <c r="L97" s="453"/>
      <c r="M97" s="453"/>
      <c r="N97" s="453"/>
      <c r="O97" s="453"/>
      <c r="P97" s="453"/>
      <c r="Q97" s="453"/>
      <c r="R97" s="453">
        <v>5000</v>
      </c>
      <c r="S97" s="453"/>
      <c r="T97" s="453"/>
      <c r="U97" s="453"/>
      <c r="V97" s="453"/>
      <c r="W97" s="453"/>
      <c r="X97" s="453"/>
      <c r="Y97" s="453"/>
      <c r="Z97" s="489"/>
      <c r="AA97" s="489"/>
      <c r="AB97" s="490"/>
      <c r="AC97" s="453"/>
      <c r="AD97" s="453"/>
      <c r="AE97" s="453"/>
      <c r="AF97" s="453"/>
      <c r="AG97" s="453"/>
      <c r="AH97" s="453"/>
      <c r="AI97" s="453"/>
      <c r="AJ97" s="453"/>
      <c r="AK97" s="453"/>
      <c r="AL97" s="453"/>
      <c r="AM97" s="453"/>
      <c r="AN97" s="453"/>
      <c r="AO97" s="453"/>
      <c r="AP97" s="453"/>
      <c r="AQ97" s="453"/>
      <c r="AR97" s="453"/>
      <c r="AS97" s="453"/>
      <c r="AT97" s="453"/>
      <c r="AU97" s="453"/>
      <c r="AV97" s="453"/>
      <c r="AW97" s="453"/>
      <c r="AX97" s="453"/>
      <c r="AY97" s="453"/>
      <c r="AZ97" s="453"/>
      <c r="BA97" s="453"/>
      <c r="BB97" s="502"/>
      <c r="BC97" s="503"/>
      <c r="BD97" s="453"/>
      <c r="BE97" s="453"/>
      <c r="BF97" s="470"/>
      <c r="BG97" s="453"/>
      <c r="BH97" s="453"/>
      <c r="BI97" s="453"/>
      <c r="BJ97" s="453"/>
      <c r="BK97" s="453"/>
      <c r="BL97" s="453"/>
      <c r="BM97" s="502"/>
      <c r="BN97" s="490"/>
      <c r="BO97" s="470"/>
      <c r="BP97" s="490"/>
      <c r="BQ97" s="453"/>
      <c r="BR97" s="502"/>
      <c r="BS97" s="524"/>
      <c r="BT97" s="530"/>
    </row>
    <row r="98" s="435" customFormat="1" ht="18" customHeight="1" spans="1:72">
      <c r="A98" s="451" t="s">
        <v>4033</v>
      </c>
      <c r="B98" s="456">
        <v>43757</v>
      </c>
      <c r="C98" s="459">
        <v>1000004410</v>
      </c>
      <c r="D98" s="451"/>
      <c r="E98" s="457"/>
      <c r="F98" s="453"/>
      <c r="G98" s="453"/>
      <c r="H98" s="453"/>
      <c r="I98" s="453"/>
      <c r="J98" s="453"/>
      <c r="K98" s="453"/>
      <c r="L98" s="453"/>
      <c r="M98" s="453"/>
      <c r="N98" s="453"/>
      <c r="O98" s="453"/>
      <c r="P98" s="453"/>
      <c r="Q98" s="453"/>
      <c r="R98" s="453"/>
      <c r="S98" s="453"/>
      <c r="T98" s="453"/>
      <c r="U98" s="453"/>
      <c r="V98" s="453"/>
      <c r="W98" s="453"/>
      <c r="X98" s="453"/>
      <c r="Y98" s="453"/>
      <c r="Z98" s="489"/>
      <c r="AA98" s="489"/>
      <c r="AB98" s="490"/>
      <c r="AC98" s="453">
        <v>175000</v>
      </c>
      <c r="AD98" s="453"/>
      <c r="AE98" s="453"/>
      <c r="AF98" s="453"/>
      <c r="AG98" s="453"/>
      <c r="AH98" s="453"/>
      <c r="AI98" s="453"/>
      <c r="AJ98" s="453"/>
      <c r="AK98" s="453"/>
      <c r="AL98" s="453"/>
      <c r="AM98" s="453"/>
      <c r="AN98" s="453"/>
      <c r="AO98" s="453"/>
      <c r="AP98" s="453"/>
      <c r="AQ98" s="453"/>
      <c r="AR98" s="453"/>
      <c r="AS98" s="453"/>
      <c r="AT98" s="453"/>
      <c r="AU98" s="453"/>
      <c r="AV98" s="453"/>
      <c r="AW98" s="453"/>
      <c r="AX98" s="453"/>
      <c r="AY98" s="453"/>
      <c r="AZ98" s="453"/>
      <c r="BA98" s="453"/>
      <c r="BB98" s="502"/>
      <c r="BC98" s="503"/>
      <c r="BD98" s="453"/>
      <c r="BE98" s="453"/>
      <c r="BF98" s="470"/>
      <c r="BG98" s="453"/>
      <c r="BH98" s="453"/>
      <c r="BI98" s="453"/>
      <c r="BJ98" s="453"/>
      <c r="BK98" s="453"/>
      <c r="BL98" s="453"/>
      <c r="BM98" s="502"/>
      <c r="BN98" s="490"/>
      <c r="BO98" s="470"/>
      <c r="BP98" s="490"/>
      <c r="BQ98" s="453"/>
      <c r="BR98" s="502"/>
      <c r="BS98" s="524"/>
      <c r="BT98" s="530"/>
    </row>
    <row r="99" s="435" customFormat="1" ht="18" customHeight="1" spans="1:72">
      <c r="A99" s="451" t="s">
        <v>4033</v>
      </c>
      <c r="B99" s="456">
        <v>43757</v>
      </c>
      <c r="C99" s="459">
        <v>1000004411</v>
      </c>
      <c r="D99" s="451"/>
      <c r="E99" s="457"/>
      <c r="F99" s="453"/>
      <c r="G99" s="453"/>
      <c r="H99" s="453"/>
      <c r="I99" s="453"/>
      <c r="J99" s="453"/>
      <c r="K99" s="453"/>
      <c r="L99" s="453"/>
      <c r="M99" s="453"/>
      <c r="N99" s="453"/>
      <c r="O99" s="453"/>
      <c r="P99" s="453"/>
      <c r="Q99" s="453"/>
      <c r="R99" s="453"/>
      <c r="S99" s="453"/>
      <c r="T99" s="453"/>
      <c r="U99" s="453"/>
      <c r="V99" s="453"/>
      <c r="W99" s="453"/>
      <c r="X99" s="453"/>
      <c r="Y99" s="453"/>
      <c r="Z99" s="489"/>
      <c r="AA99" s="489"/>
      <c r="AB99" s="490"/>
      <c r="AC99" s="453"/>
      <c r="AD99" s="453"/>
      <c r="AE99" s="453"/>
      <c r="AF99" s="453"/>
      <c r="AG99" s="453"/>
      <c r="AH99" s="453"/>
      <c r="AI99" s="453"/>
      <c r="AJ99" s="453"/>
      <c r="AK99" s="453"/>
      <c r="AL99" s="453"/>
      <c r="AM99" s="453">
        <v>80000</v>
      </c>
      <c r="AN99" s="453"/>
      <c r="AO99" s="453"/>
      <c r="AP99" s="453"/>
      <c r="AQ99" s="453"/>
      <c r="AR99" s="453"/>
      <c r="AS99" s="453"/>
      <c r="AT99" s="453"/>
      <c r="AU99" s="453"/>
      <c r="AV99" s="453"/>
      <c r="AW99" s="453"/>
      <c r="AX99" s="453"/>
      <c r="AY99" s="453"/>
      <c r="AZ99" s="453"/>
      <c r="BA99" s="453"/>
      <c r="BB99" s="502"/>
      <c r="BC99" s="503"/>
      <c r="BD99" s="453"/>
      <c r="BE99" s="453"/>
      <c r="BF99" s="470"/>
      <c r="BG99" s="453"/>
      <c r="BH99" s="453"/>
      <c r="BI99" s="453"/>
      <c r="BJ99" s="453"/>
      <c r="BK99" s="453"/>
      <c r="BL99" s="453"/>
      <c r="BM99" s="502"/>
      <c r="BN99" s="490"/>
      <c r="BO99" s="470"/>
      <c r="BP99" s="490"/>
      <c r="BQ99" s="453"/>
      <c r="BR99" s="502"/>
      <c r="BS99" s="524"/>
      <c r="BT99" s="530"/>
    </row>
    <row r="100" s="435" customFormat="1" ht="18" customHeight="1" spans="1:72">
      <c r="A100" s="451" t="s">
        <v>4033</v>
      </c>
      <c r="B100" s="456">
        <v>1028</v>
      </c>
      <c r="C100" s="459"/>
      <c r="D100" s="451"/>
      <c r="E100" s="457"/>
      <c r="F100" s="453"/>
      <c r="G100" s="453"/>
      <c r="H100" s="453"/>
      <c r="I100" s="453"/>
      <c r="J100" s="453"/>
      <c r="K100" s="453"/>
      <c r="L100" s="453"/>
      <c r="M100" s="453"/>
      <c r="N100" s="453"/>
      <c r="O100" s="453"/>
      <c r="P100" s="453"/>
      <c r="Q100" s="453"/>
      <c r="R100" s="453"/>
      <c r="S100" s="453"/>
      <c r="T100" s="453"/>
      <c r="U100" s="453"/>
      <c r="V100" s="453"/>
      <c r="W100" s="453"/>
      <c r="X100" s="453"/>
      <c r="Y100" s="453"/>
      <c r="Z100" s="489"/>
      <c r="AA100" s="489"/>
      <c r="AB100" s="490"/>
      <c r="AC100" s="453"/>
      <c r="AD100" s="453"/>
      <c r="AE100" s="453"/>
      <c r="AF100" s="453"/>
      <c r="AG100" s="453"/>
      <c r="AH100" s="453"/>
      <c r="AI100" s="453"/>
      <c r="AJ100" s="453"/>
      <c r="AK100" s="453"/>
      <c r="AL100" s="453"/>
      <c r="AM100" s="453"/>
      <c r="AN100" s="453"/>
      <c r="AO100" s="453"/>
      <c r="AP100" s="453"/>
      <c r="AQ100" s="453"/>
      <c r="AR100" s="453"/>
      <c r="AS100" s="453"/>
      <c r="AT100" s="453"/>
      <c r="AU100" s="453"/>
      <c r="AV100" s="453">
        <v>24000</v>
      </c>
      <c r="AW100" s="453"/>
      <c r="AX100" s="453"/>
      <c r="AY100" s="453"/>
      <c r="AZ100" s="453"/>
      <c r="BA100" s="453"/>
      <c r="BB100" s="502"/>
      <c r="BC100" s="503"/>
      <c r="BD100" s="453"/>
      <c r="BE100" s="453"/>
      <c r="BF100" s="470"/>
      <c r="BG100" s="453"/>
      <c r="BH100" s="453"/>
      <c r="BI100" s="453"/>
      <c r="BJ100" s="453"/>
      <c r="BK100" s="453"/>
      <c r="BL100" s="453"/>
      <c r="BM100" s="502"/>
      <c r="BN100" s="490"/>
      <c r="BO100" s="470"/>
      <c r="BP100" s="490"/>
      <c r="BQ100" s="453"/>
      <c r="BR100" s="502"/>
      <c r="BS100" s="524"/>
      <c r="BT100" s="530"/>
    </row>
    <row r="101" s="435" customFormat="1" ht="18" customHeight="1" spans="1:72">
      <c r="A101" s="451" t="s">
        <v>4033</v>
      </c>
      <c r="B101" s="456">
        <v>43774</v>
      </c>
      <c r="C101" s="459">
        <v>1000004453</v>
      </c>
      <c r="D101" s="451"/>
      <c r="E101" s="457"/>
      <c r="F101" s="453"/>
      <c r="G101" s="453"/>
      <c r="H101" s="453"/>
      <c r="I101" s="453"/>
      <c r="J101" s="453"/>
      <c r="K101" s="453"/>
      <c r="L101" s="453"/>
      <c r="M101" s="453"/>
      <c r="N101" s="453"/>
      <c r="O101" s="453"/>
      <c r="P101" s="453"/>
      <c r="Q101" s="453"/>
      <c r="R101" s="453"/>
      <c r="S101" s="453"/>
      <c r="T101" s="453"/>
      <c r="U101" s="453"/>
      <c r="V101" s="453"/>
      <c r="W101" s="453"/>
      <c r="X101" s="453"/>
      <c r="Y101" s="453"/>
      <c r="Z101" s="489"/>
      <c r="AA101" s="489"/>
      <c r="AB101" s="490"/>
      <c r="AC101" s="453">
        <v>70000</v>
      </c>
      <c r="AD101" s="453"/>
      <c r="AE101" s="453"/>
      <c r="AF101" s="453"/>
      <c r="AG101" s="453"/>
      <c r="AH101" s="453"/>
      <c r="AI101" s="453"/>
      <c r="AJ101" s="453"/>
      <c r="AK101" s="453"/>
      <c r="AL101" s="453"/>
      <c r="AM101" s="453"/>
      <c r="AN101" s="453"/>
      <c r="AO101" s="453"/>
      <c r="AP101" s="453"/>
      <c r="AQ101" s="453"/>
      <c r="AR101" s="453"/>
      <c r="AS101" s="453"/>
      <c r="AT101" s="453"/>
      <c r="AU101" s="453"/>
      <c r="AV101" s="453"/>
      <c r="AW101" s="453"/>
      <c r="AX101" s="453"/>
      <c r="AY101" s="453"/>
      <c r="AZ101" s="453"/>
      <c r="BA101" s="453"/>
      <c r="BB101" s="502"/>
      <c r="BC101" s="503"/>
      <c r="BD101" s="453"/>
      <c r="BE101" s="453"/>
      <c r="BF101" s="470"/>
      <c r="BG101" s="453"/>
      <c r="BH101" s="453"/>
      <c r="BI101" s="453"/>
      <c r="BJ101" s="453"/>
      <c r="BK101" s="453"/>
      <c r="BL101" s="453"/>
      <c r="BM101" s="502"/>
      <c r="BN101" s="490"/>
      <c r="BO101" s="470"/>
      <c r="BP101" s="490"/>
      <c r="BQ101" s="453"/>
      <c r="BR101" s="502"/>
      <c r="BS101" s="524"/>
      <c r="BT101" s="530"/>
    </row>
    <row r="102" s="435" customFormat="1" ht="18" customHeight="1" spans="1:72">
      <c r="A102" s="451" t="s">
        <v>4033</v>
      </c>
      <c r="B102" s="456">
        <v>43774</v>
      </c>
      <c r="C102" s="459">
        <v>1000004454</v>
      </c>
      <c r="D102" s="451"/>
      <c r="E102" s="457"/>
      <c r="F102" s="453"/>
      <c r="G102" s="453"/>
      <c r="H102" s="453"/>
      <c r="I102" s="453"/>
      <c r="J102" s="453"/>
      <c r="K102" s="453"/>
      <c r="L102" s="453"/>
      <c r="M102" s="453"/>
      <c r="N102" s="453"/>
      <c r="O102" s="453"/>
      <c r="P102" s="453"/>
      <c r="Q102" s="453"/>
      <c r="R102" s="453"/>
      <c r="S102" s="453"/>
      <c r="T102" s="453"/>
      <c r="U102" s="453"/>
      <c r="V102" s="453"/>
      <c r="W102" s="453"/>
      <c r="X102" s="453"/>
      <c r="Y102" s="453"/>
      <c r="Z102" s="489"/>
      <c r="AA102" s="489"/>
      <c r="AB102" s="490"/>
      <c r="AC102" s="453"/>
      <c r="AD102" s="453"/>
      <c r="AE102" s="453"/>
      <c r="AF102" s="453"/>
      <c r="AG102" s="453"/>
      <c r="AH102" s="453"/>
      <c r="AI102" s="453"/>
      <c r="AJ102" s="453"/>
      <c r="AK102" s="453"/>
      <c r="AL102" s="453"/>
      <c r="AM102" s="453">
        <v>175000</v>
      </c>
      <c r="AN102" s="453"/>
      <c r="AO102" s="453"/>
      <c r="AP102" s="453"/>
      <c r="AQ102" s="453"/>
      <c r="AR102" s="453"/>
      <c r="AS102" s="453"/>
      <c r="AT102" s="453"/>
      <c r="AU102" s="453"/>
      <c r="AV102" s="453"/>
      <c r="AW102" s="453"/>
      <c r="AX102" s="453"/>
      <c r="AY102" s="453"/>
      <c r="AZ102" s="453"/>
      <c r="BA102" s="453"/>
      <c r="BB102" s="502"/>
      <c r="BC102" s="503"/>
      <c r="BD102" s="453"/>
      <c r="BE102" s="453"/>
      <c r="BF102" s="470"/>
      <c r="BG102" s="453"/>
      <c r="BH102" s="453"/>
      <c r="BI102" s="453"/>
      <c r="BJ102" s="453"/>
      <c r="BK102" s="453"/>
      <c r="BL102" s="453"/>
      <c r="BM102" s="502"/>
      <c r="BN102" s="490"/>
      <c r="BO102" s="470"/>
      <c r="BP102" s="490"/>
      <c r="BQ102" s="453"/>
      <c r="BR102" s="502"/>
      <c r="BS102" s="524"/>
      <c r="BT102" s="530"/>
    </row>
    <row r="103" s="435" customFormat="1" ht="18" customHeight="1" spans="1:72">
      <c r="A103" s="451" t="s">
        <v>4033</v>
      </c>
      <c r="B103" s="456">
        <v>43774</v>
      </c>
      <c r="C103" s="459">
        <v>1000004455</v>
      </c>
      <c r="D103" s="451"/>
      <c r="E103" s="457"/>
      <c r="F103" s="453"/>
      <c r="G103" s="453"/>
      <c r="H103" s="453"/>
      <c r="I103" s="453"/>
      <c r="J103" s="453"/>
      <c r="K103" s="453"/>
      <c r="L103" s="453"/>
      <c r="M103" s="453"/>
      <c r="N103" s="453"/>
      <c r="O103" s="453"/>
      <c r="P103" s="453"/>
      <c r="Q103" s="453"/>
      <c r="R103" s="453"/>
      <c r="S103" s="453"/>
      <c r="T103" s="453"/>
      <c r="U103" s="453"/>
      <c r="V103" s="453"/>
      <c r="W103" s="453"/>
      <c r="X103" s="453"/>
      <c r="Y103" s="453"/>
      <c r="Z103" s="489"/>
      <c r="AA103" s="489"/>
      <c r="AB103" s="490"/>
      <c r="AC103" s="453"/>
      <c r="AD103" s="453"/>
      <c r="AE103" s="453"/>
      <c r="AF103" s="453"/>
      <c r="AG103" s="453"/>
      <c r="AH103" s="453">
        <v>10000</v>
      </c>
      <c r="AI103" s="453"/>
      <c r="AJ103" s="453"/>
      <c r="AK103" s="453"/>
      <c r="AL103" s="453"/>
      <c r="AM103" s="453"/>
      <c r="AN103" s="453"/>
      <c r="AO103" s="453"/>
      <c r="AP103" s="453"/>
      <c r="AQ103" s="453"/>
      <c r="AR103" s="453"/>
      <c r="AS103" s="453"/>
      <c r="AT103" s="453"/>
      <c r="AU103" s="453"/>
      <c r="AV103" s="453"/>
      <c r="AW103" s="453"/>
      <c r="AX103" s="453"/>
      <c r="AY103" s="453"/>
      <c r="AZ103" s="453"/>
      <c r="BA103" s="453"/>
      <c r="BB103" s="502"/>
      <c r="BC103" s="503"/>
      <c r="BD103" s="453"/>
      <c r="BE103" s="453"/>
      <c r="BF103" s="470"/>
      <c r="BG103" s="453"/>
      <c r="BH103" s="453"/>
      <c r="BI103" s="453"/>
      <c r="BJ103" s="453"/>
      <c r="BK103" s="453"/>
      <c r="BL103" s="453"/>
      <c r="BM103" s="502"/>
      <c r="BN103" s="490"/>
      <c r="BO103" s="470"/>
      <c r="BP103" s="490"/>
      <c r="BQ103" s="453"/>
      <c r="BR103" s="502"/>
      <c r="BS103" s="524"/>
      <c r="BT103" s="530"/>
    </row>
    <row r="104" s="435" customFormat="1" ht="18" customHeight="1" spans="1:72">
      <c r="A104" s="451" t="s">
        <v>4033</v>
      </c>
      <c r="B104" s="456">
        <v>43774</v>
      </c>
      <c r="C104" s="459">
        <v>1000004456</v>
      </c>
      <c r="D104" s="451"/>
      <c r="E104" s="457"/>
      <c r="F104" s="453"/>
      <c r="G104" s="453"/>
      <c r="H104" s="453"/>
      <c r="I104" s="453">
        <v>5100</v>
      </c>
      <c r="J104" s="453"/>
      <c r="K104" s="453"/>
      <c r="L104" s="453"/>
      <c r="M104" s="453"/>
      <c r="N104" s="453"/>
      <c r="O104" s="453"/>
      <c r="P104" s="453"/>
      <c r="Q104" s="453"/>
      <c r="R104" s="453"/>
      <c r="S104" s="453"/>
      <c r="T104" s="453"/>
      <c r="U104" s="453"/>
      <c r="V104" s="453"/>
      <c r="W104" s="453"/>
      <c r="X104" s="453"/>
      <c r="Y104" s="453"/>
      <c r="Z104" s="489"/>
      <c r="AA104" s="489"/>
      <c r="AB104" s="490"/>
      <c r="AC104" s="453"/>
      <c r="AD104" s="453"/>
      <c r="AE104" s="453"/>
      <c r="AF104" s="453"/>
      <c r="AG104" s="453"/>
      <c r="AH104" s="453"/>
      <c r="AI104" s="453"/>
      <c r="AJ104" s="453"/>
      <c r="AK104" s="453"/>
      <c r="AL104" s="453"/>
      <c r="AM104" s="453"/>
      <c r="AN104" s="453"/>
      <c r="AO104" s="453"/>
      <c r="AP104" s="453"/>
      <c r="AQ104" s="453"/>
      <c r="AR104" s="453"/>
      <c r="AS104" s="453"/>
      <c r="AT104" s="453"/>
      <c r="AU104" s="453"/>
      <c r="AV104" s="453"/>
      <c r="AW104" s="453"/>
      <c r="AX104" s="453"/>
      <c r="AY104" s="453"/>
      <c r="AZ104" s="453"/>
      <c r="BA104" s="453"/>
      <c r="BB104" s="502"/>
      <c r="BC104" s="503"/>
      <c r="BD104" s="453"/>
      <c r="BE104" s="453"/>
      <c r="BF104" s="470"/>
      <c r="BG104" s="453"/>
      <c r="BH104" s="453"/>
      <c r="BI104" s="453"/>
      <c r="BJ104" s="453"/>
      <c r="BK104" s="453"/>
      <c r="BL104" s="453"/>
      <c r="BM104" s="502"/>
      <c r="BN104" s="490"/>
      <c r="BO104" s="470"/>
      <c r="BP104" s="490"/>
      <c r="BQ104" s="453"/>
      <c r="BR104" s="502"/>
      <c r="BS104" s="524"/>
      <c r="BT104" s="530"/>
    </row>
    <row r="105" s="435" customFormat="1" ht="18" customHeight="1" spans="1:72">
      <c r="A105" s="451" t="s">
        <v>4033</v>
      </c>
      <c r="B105" s="456">
        <v>43774</v>
      </c>
      <c r="C105" s="459">
        <v>1000004457</v>
      </c>
      <c r="D105" s="451"/>
      <c r="E105" s="457"/>
      <c r="F105" s="453"/>
      <c r="G105" s="453"/>
      <c r="H105" s="453"/>
      <c r="I105" s="453"/>
      <c r="J105" s="453">
        <v>2100</v>
      </c>
      <c r="K105" s="453"/>
      <c r="L105" s="453"/>
      <c r="M105" s="453"/>
      <c r="N105" s="453"/>
      <c r="O105" s="453"/>
      <c r="P105" s="453"/>
      <c r="Q105" s="453"/>
      <c r="R105" s="453"/>
      <c r="S105" s="453"/>
      <c r="T105" s="453"/>
      <c r="U105" s="453"/>
      <c r="V105" s="453"/>
      <c r="W105" s="453"/>
      <c r="X105" s="453"/>
      <c r="Y105" s="453"/>
      <c r="Z105" s="489"/>
      <c r="AA105" s="489"/>
      <c r="AB105" s="490"/>
      <c r="AC105" s="453"/>
      <c r="AD105" s="453"/>
      <c r="AE105" s="453"/>
      <c r="AF105" s="453"/>
      <c r="AG105" s="453"/>
      <c r="AH105" s="453"/>
      <c r="AI105" s="453"/>
      <c r="AJ105" s="453"/>
      <c r="AK105" s="453"/>
      <c r="AL105" s="453"/>
      <c r="AM105" s="453"/>
      <c r="AN105" s="453"/>
      <c r="AO105" s="453"/>
      <c r="AP105" s="453"/>
      <c r="AQ105" s="453"/>
      <c r="AR105" s="453"/>
      <c r="AS105" s="453"/>
      <c r="AT105" s="453"/>
      <c r="AU105" s="453"/>
      <c r="AV105" s="453"/>
      <c r="AW105" s="453"/>
      <c r="AX105" s="453"/>
      <c r="AY105" s="453"/>
      <c r="AZ105" s="453"/>
      <c r="BA105" s="453"/>
      <c r="BB105" s="502"/>
      <c r="BC105" s="503"/>
      <c r="BD105" s="453"/>
      <c r="BE105" s="453"/>
      <c r="BF105" s="470"/>
      <c r="BG105" s="453"/>
      <c r="BH105" s="453"/>
      <c r="BI105" s="453"/>
      <c r="BJ105" s="453"/>
      <c r="BK105" s="453"/>
      <c r="BL105" s="453"/>
      <c r="BM105" s="502"/>
      <c r="BN105" s="490"/>
      <c r="BO105" s="470"/>
      <c r="BP105" s="490"/>
      <c r="BQ105" s="453"/>
      <c r="BR105" s="502"/>
      <c r="BS105" s="524"/>
      <c r="BT105" s="530"/>
    </row>
    <row r="106" s="435" customFormat="1" ht="18" customHeight="1" spans="1:72">
      <c r="A106" s="451" t="s">
        <v>4033</v>
      </c>
      <c r="B106" s="456">
        <v>43774</v>
      </c>
      <c r="C106" s="459">
        <v>1000004458</v>
      </c>
      <c r="D106" s="451"/>
      <c r="E106" s="457"/>
      <c r="F106" s="453"/>
      <c r="G106" s="453"/>
      <c r="H106" s="453"/>
      <c r="I106" s="453"/>
      <c r="J106" s="453"/>
      <c r="K106" s="453">
        <v>2100</v>
      </c>
      <c r="L106" s="453"/>
      <c r="M106" s="453"/>
      <c r="N106" s="453"/>
      <c r="O106" s="453"/>
      <c r="P106" s="453"/>
      <c r="Q106" s="453"/>
      <c r="R106" s="453"/>
      <c r="S106" s="453"/>
      <c r="T106" s="453"/>
      <c r="U106" s="453"/>
      <c r="V106" s="453"/>
      <c r="W106" s="453"/>
      <c r="X106" s="453"/>
      <c r="Y106" s="453"/>
      <c r="Z106" s="489"/>
      <c r="AA106" s="489"/>
      <c r="AB106" s="490"/>
      <c r="AC106" s="453"/>
      <c r="AD106" s="453"/>
      <c r="AE106" s="453"/>
      <c r="AF106" s="453"/>
      <c r="AG106" s="453"/>
      <c r="AH106" s="453"/>
      <c r="AI106" s="453"/>
      <c r="AJ106" s="453"/>
      <c r="AK106" s="453"/>
      <c r="AL106" s="453"/>
      <c r="AM106" s="453"/>
      <c r="AN106" s="453"/>
      <c r="AO106" s="453"/>
      <c r="AP106" s="453"/>
      <c r="AQ106" s="453"/>
      <c r="AR106" s="453"/>
      <c r="AS106" s="453"/>
      <c r="AT106" s="453"/>
      <c r="AU106" s="453"/>
      <c r="AV106" s="453"/>
      <c r="AW106" s="453"/>
      <c r="AX106" s="453"/>
      <c r="AY106" s="453"/>
      <c r="AZ106" s="453"/>
      <c r="BA106" s="453"/>
      <c r="BB106" s="502"/>
      <c r="BC106" s="503"/>
      <c r="BD106" s="453"/>
      <c r="BE106" s="453"/>
      <c r="BF106" s="470"/>
      <c r="BG106" s="453"/>
      <c r="BH106" s="453"/>
      <c r="BI106" s="453"/>
      <c r="BJ106" s="453"/>
      <c r="BK106" s="453"/>
      <c r="BL106" s="453"/>
      <c r="BM106" s="502"/>
      <c r="BN106" s="490"/>
      <c r="BO106" s="470"/>
      <c r="BP106" s="490"/>
      <c r="BQ106" s="453"/>
      <c r="BR106" s="502"/>
      <c r="BS106" s="524"/>
      <c r="BT106" s="530"/>
    </row>
    <row r="107" s="435" customFormat="1" ht="18" customHeight="1" spans="1:72">
      <c r="A107" s="451"/>
      <c r="B107" s="456"/>
      <c r="C107" s="459"/>
      <c r="D107" s="451"/>
      <c r="E107" s="457"/>
      <c r="F107" s="453"/>
      <c r="G107" s="453"/>
      <c r="H107" s="453"/>
      <c r="I107" s="453"/>
      <c r="J107" s="453"/>
      <c r="K107" s="453"/>
      <c r="L107" s="453"/>
      <c r="M107" s="453"/>
      <c r="N107" s="453"/>
      <c r="O107" s="453"/>
      <c r="P107" s="453"/>
      <c r="Q107" s="453"/>
      <c r="R107" s="453"/>
      <c r="S107" s="453"/>
      <c r="T107" s="453"/>
      <c r="U107" s="453"/>
      <c r="V107" s="453"/>
      <c r="W107" s="453"/>
      <c r="X107" s="453"/>
      <c r="Y107" s="453"/>
      <c r="Z107" s="489"/>
      <c r="AA107" s="489"/>
      <c r="AB107" s="490"/>
      <c r="AC107" s="453"/>
      <c r="AD107" s="453"/>
      <c r="AE107" s="453"/>
      <c r="AF107" s="453"/>
      <c r="AG107" s="453"/>
      <c r="AH107" s="453"/>
      <c r="AI107" s="453"/>
      <c r="AJ107" s="453"/>
      <c r="AK107" s="453"/>
      <c r="AL107" s="453"/>
      <c r="AM107" s="453"/>
      <c r="AN107" s="453"/>
      <c r="AO107" s="453"/>
      <c r="AP107" s="453"/>
      <c r="AQ107" s="453"/>
      <c r="AR107" s="453"/>
      <c r="AS107" s="453"/>
      <c r="AT107" s="453"/>
      <c r="AU107" s="453"/>
      <c r="AV107" s="453"/>
      <c r="AW107" s="453"/>
      <c r="AX107" s="453"/>
      <c r="AY107" s="453"/>
      <c r="AZ107" s="453"/>
      <c r="BA107" s="453">
        <f>17280</f>
        <v>17280</v>
      </c>
      <c r="BB107" s="502">
        <v>17920</v>
      </c>
      <c r="BC107" s="503"/>
      <c r="BD107" s="453"/>
      <c r="BE107" s="453"/>
      <c r="BF107" s="470"/>
      <c r="BG107" s="453"/>
      <c r="BH107" s="453"/>
      <c r="BI107" s="453"/>
      <c r="BJ107" s="453"/>
      <c r="BK107" s="453"/>
      <c r="BL107" s="453"/>
      <c r="BM107" s="502"/>
      <c r="BN107" s="490"/>
      <c r="BO107" s="470"/>
      <c r="BP107" s="490"/>
      <c r="BQ107" s="453"/>
      <c r="BR107" s="502"/>
      <c r="BS107" s="524"/>
      <c r="BT107" s="530"/>
    </row>
    <row r="108" s="435" customFormat="1" ht="18" customHeight="1" spans="1:72">
      <c r="A108" s="451"/>
      <c r="B108" s="456"/>
      <c r="C108" s="459"/>
      <c r="D108" s="451"/>
      <c r="E108" s="457"/>
      <c r="F108" s="453"/>
      <c r="G108" s="453"/>
      <c r="H108" s="453"/>
      <c r="I108" s="453"/>
      <c r="J108" s="453"/>
      <c r="K108" s="453"/>
      <c r="L108" s="453"/>
      <c r="M108" s="453"/>
      <c r="N108" s="453"/>
      <c r="O108" s="453"/>
      <c r="P108" s="453"/>
      <c r="Q108" s="453"/>
      <c r="R108" s="453"/>
      <c r="S108" s="453"/>
      <c r="T108" s="453"/>
      <c r="U108" s="453"/>
      <c r="V108" s="453"/>
      <c r="W108" s="453"/>
      <c r="X108" s="453"/>
      <c r="Y108" s="453"/>
      <c r="Z108" s="489"/>
      <c r="AA108" s="489"/>
      <c r="AB108" s="490"/>
      <c r="AC108" s="453"/>
      <c r="AD108" s="453"/>
      <c r="AE108" s="453"/>
      <c r="AF108" s="453"/>
      <c r="AG108" s="453"/>
      <c r="AH108" s="453"/>
      <c r="AI108" s="453"/>
      <c r="AJ108" s="453"/>
      <c r="AK108" s="453"/>
      <c r="AL108" s="453"/>
      <c r="AM108" s="453"/>
      <c r="AN108" s="453"/>
      <c r="AO108" s="453"/>
      <c r="AP108" s="453"/>
      <c r="AQ108" s="453"/>
      <c r="AR108" s="453"/>
      <c r="AS108" s="453"/>
      <c r="AT108" s="453"/>
      <c r="AU108" s="453"/>
      <c r="AV108" s="453"/>
      <c r="AW108" s="453"/>
      <c r="AX108" s="453"/>
      <c r="AY108" s="453"/>
      <c r="AZ108" s="453"/>
      <c r="BA108" s="453">
        <f>19840</f>
        <v>19840</v>
      </c>
      <c r="BB108" s="502">
        <v>19840</v>
      </c>
      <c r="BC108" s="503"/>
      <c r="BD108" s="453"/>
      <c r="BE108" s="453"/>
      <c r="BF108" s="470"/>
      <c r="BG108" s="453"/>
      <c r="BH108" s="453"/>
      <c r="BI108" s="453"/>
      <c r="BJ108" s="453"/>
      <c r="BK108" s="453"/>
      <c r="BL108" s="453"/>
      <c r="BM108" s="502"/>
      <c r="BN108" s="490"/>
      <c r="BO108" s="470"/>
      <c r="BP108" s="490"/>
      <c r="BQ108" s="453"/>
      <c r="BR108" s="502"/>
      <c r="BS108" s="524"/>
      <c r="BT108" s="530"/>
    </row>
    <row r="109" s="435" customFormat="1" ht="18" customHeight="1" spans="1:72">
      <c r="A109" s="451" t="s">
        <v>4033</v>
      </c>
      <c r="B109" s="456">
        <v>43783</v>
      </c>
      <c r="C109" s="459">
        <v>1000004509</v>
      </c>
      <c r="D109" s="451"/>
      <c r="E109" s="457"/>
      <c r="F109" s="453"/>
      <c r="G109" s="453"/>
      <c r="H109" s="453"/>
      <c r="I109" s="453"/>
      <c r="J109" s="453"/>
      <c r="K109" s="453"/>
      <c r="L109" s="453"/>
      <c r="M109" s="453"/>
      <c r="N109" s="453"/>
      <c r="O109" s="453"/>
      <c r="P109" s="453"/>
      <c r="Q109" s="453"/>
      <c r="R109" s="453"/>
      <c r="S109" s="453"/>
      <c r="T109" s="453"/>
      <c r="U109" s="453"/>
      <c r="V109" s="453"/>
      <c r="W109" s="453"/>
      <c r="X109" s="453"/>
      <c r="Y109" s="453"/>
      <c r="Z109" s="489"/>
      <c r="AA109" s="489"/>
      <c r="AB109" s="490"/>
      <c r="AC109" s="453"/>
      <c r="AD109" s="453"/>
      <c r="AE109" s="453"/>
      <c r="AF109" s="453"/>
      <c r="AG109" s="453"/>
      <c r="AH109" s="453"/>
      <c r="AI109" s="453"/>
      <c r="AJ109" s="453"/>
      <c r="AK109" s="453"/>
      <c r="AL109" s="453"/>
      <c r="AM109" s="453"/>
      <c r="AN109" s="453"/>
      <c r="AO109" s="453"/>
      <c r="AP109" s="453"/>
      <c r="AQ109" s="453"/>
      <c r="AR109" s="453"/>
      <c r="AS109" s="453"/>
      <c r="AT109" s="453"/>
      <c r="AU109" s="453"/>
      <c r="AV109" s="453"/>
      <c r="AW109" s="453"/>
      <c r="AX109" s="453"/>
      <c r="AY109" s="453"/>
      <c r="AZ109" s="453"/>
      <c r="BA109" s="453">
        <v>18880</v>
      </c>
      <c r="BB109" s="502"/>
      <c r="BC109" s="503"/>
      <c r="BD109" s="453"/>
      <c r="BE109" s="453"/>
      <c r="BF109" s="470"/>
      <c r="BG109" s="453"/>
      <c r="BH109" s="453"/>
      <c r="BI109" s="453"/>
      <c r="BJ109" s="453"/>
      <c r="BK109" s="453"/>
      <c r="BL109" s="453"/>
      <c r="BM109" s="502"/>
      <c r="BN109" s="490"/>
      <c r="BO109" s="470"/>
      <c r="BP109" s="490"/>
      <c r="BQ109" s="453"/>
      <c r="BR109" s="502"/>
      <c r="BS109" s="524"/>
      <c r="BT109" s="530"/>
    </row>
    <row r="110" s="435" customFormat="1" ht="18" customHeight="1" spans="1:72">
      <c r="A110" s="451" t="s">
        <v>4033</v>
      </c>
      <c r="B110" s="456">
        <v>43783</v>
      </c>
      <c r="C110" s="459">
        <v>1000004510</v>
      </c>
      <c r="D110" s="451"/>
      <c r="E110" s="457"/>
      <c r="F110" s="453"/>
      <c r="G110" s="453"/>
      <c r="H110" s="453"/>
      <c r="I110" s="453"/>
      <c r="J110" s="453"/>
      <c r="K110" s="453"/>
      <c r="L110" s="453"/>
      <c r="M110" s="453"/>
      <c r="N110" s="453"/>
      <c r="O110" s="453"/>
      <c r="P110" s="453"/>
      <c r="Q110" s="453"/>
      <c r="R110" s="453"/>
      <c r="S110" s="453"/>
      <c r="T110" s="453"/>
      <c r="U110" s="453"/>
      <c r="V110" s="453"/>
      <c r="W110" s="453"/>
      <c r="X110" s="453"/>
      <c r="Y110" s="453"/>
      <c r="Z110" s="489"/>
      <c r="AA110" s="489"/>
      <c r="AB110" s="490"/>
      <c r="AC110" s="453"/>
      <c r="AD110" s="453"/>
      <c r="AE110" s="453"/>
      <c r="AF110" s="453"/>
      <c r="AG110" s="453"/>
      <c r="AH110" s="453"/>
      <c r="AI110" s="453"/>
      <c r="AJ110" s="453"/>
      <c r="AK110" s="453"/>
      <c r="AL110" s="453"/>
      <c r="AM110" s="453"/>
      <c r="AN110" s="453"/>
      <c r="AO110" s="453"/>
      <c r="AP110" s="453"/>
      <c r="AQ110" s="453"/>
      <c r="AR110" s="453"/>
      <c r="AS110" s="453"/>
      <c r="AT110" s="453"/>
      <c r="AU110" s="453"/>
      <c r="AV110" s="453"/>
      <c r="AW110" s="453"/>
      <c r="AX110" s="453"/>
      <c r="AY110" s="453"/>
      <c r="AZ110" s="453"/>
      <c r="BA110" s="453"/>
      <c r="BB110" s="502">
        <v>17600</v>
      </c>
      <c r="BC110" s="503"/>
      <c r="BD110" s="453"/>
      <c r="BE110" s="453"/>
      <c r="BF110" s="470"/>
      <c r="BG110" s="453"/>
      <c r="BH110" s="453"/>
      <c r="BI110" s="453"/>
      <c r="BJ110" s="453"/>
      <c r="BK110" s="453"/>
      <c r="BL110" s="453"/>
      <c r="BM110" s="502"/>
      <c r="BN110" s="490"/>
      <c r="BO110" s="470"/>
      <c r="BP110" s="490"/>
      <c r="BQ110" s="453"/>
      <c r="BR110" s="502"/>
      <c r="BS110" s="524"/>
      <c r="BT110" s="530"/>
    </row>
    <row r="111" s="435" customFormat="1" ht="18" customHeight="1" spans="1:72">
      <c r="A111" s="451" t="s">
        <v>4033</v>
      </c>
      <c r="B111" s="456">
        <v>43792</v>
      </c>
      <c r="C111" s="459">
        <v>1000004545</v>
      </c>
      <c r="D111" s="451"/>
      <c r="E111" s="457"/>
      <c r="F111" s="453"/>
      <c r="G111" s="453"/>
      <c r="H111" s="453"/>
      <c r="I111" s="453"/>
      <c r="J111" s="453"/>
      <c r="K111" s="453"/>
      <c r="L111" s="453"/>
      <c r="M111" s="453"/>
      <c r="N111" s="453"/>
      <c r="O111" s="453"/>
      <c r="P111" s="453"/>
      <c r="Q111" s="453"/>
      <c r="R111" s="453"/>
      <c r="S111" s="453"/>
      <c r="T111" s="453"/>
      <c r="U111" s="453"/>
      <c r="V111" s="453"/>
      <c r="W111" s="453"/>
      <c r="X111" s="453"/>
      <c r="Y111" s="453"/>
      <c r="Z111" s="489"/>
      <c r="AA111" s="489"/>
      <c r="AB111" s="490"/>
      <c r="AC111" s="453">
        <v>60000</v>
      </c>
      <c r="AD111" s="453"/>
      <c r="AE111" s="453"/>
      <c r="AF111" s="453"/>
      <c r="AG111" s="453"/>
      <c r="AH111" s="453"/>
      <c r="AI111" s="453"/>
      <c r="AJ111" s="453"/>
      <c r="AK111" s="453"/>
      <c r="AL111" s="453"/>
      <c r="AM111" s="453"/>
      <c r="AN111" s="453"/>
      <c r="AO111" s="453"/>
      <c r="AP111" s="453"/>
      <c r="AQ111" s="453"/>
      <c r="AR111" s="453"/>
      <c r="AS111" s="453"/>
      <c r="AT111" s="453"/>
      <c r="AU111" s="453"/>
      <c r="AV111" s="453"/>
      <c r="AW111" s="453"/>
      <c r="AX111" s="453"/>
      <c r="AY111" s="453"/>
      <c r="AZ111" s="453"/>
      <c r="BA111" s="453"/>
      <c r="BB111" s="502"/>
      <c r="BC111" s="503"/>
      <c r="BD111" s="453"/>
      <c r="BE111" s="453"/>
      <c r="BF111" s="470"/>
      <c r="BG111" s="453"/>
      <c r="BH111" s="453"/>
      <c r="BI111" s="453"/>
      <c r="BJ111" s="453"/>
      <c r="BK111" s="453"/>
      <c r="BL111" s="453"/>
      <c r="BM111" s="502"/>
      <c r="BN111" s="490"/>
      <c r="BO111" s="470"/>
      <c r="BP111" s="490"/>
      <c r="BQ111" s="453"/>
      <c r="BR111" s="502"/>
      <c r="BS111" s="524"/>
      <c r="BT111" s="530"/>
    </row>
    <row r="112" s="435" customFormat="1" ht="18" customHeight="1" spans="1:72">
      <c r="A112" s="451" t="s">
        <v>4033</v>
      </c>
      <c r="B112" s="456">
        <v>43792</v>
      </c>
      <c r="C112" s="459">
        <v>1000004546</v>
      </c>
      <c r="D112" s="451"/>
      <c r="E112" s="457"/>
      <c r="F112" s="453"/>
      <c r="G112" s="453"/>
      <c r="H112" s="453"/>
      <c r="I112" s="453"/>
      <c r="J112" s="453"/>
      <c r="K112" s="453"/>
      <c r="L112" s="453"/>
      <c r="M112" s="453"/>
      <c r="N112" s="453"/>
      <c r="O112" s="453"/>
      <c r="P112" s="453"/>
      <c r="Q112" s="453"/>
      <c r="R112" s="453"/>
      <c r="S112" s="453"/>
      <c r="T112" s="453"/>
      <c r="U112" s="453"/>
      <c r="V112" s="453"/>
      <c r="W112" s="453"/>
      <c r="X112" s="453"/>
      <c r="Y112" s="453"/>
      <c r="Z112" s="489"/>
      <c r="AA112" s="489"/>
      <c r="AB112" s="490"/>
      <c r="AC112" s="453"/>
      <c r="AD112" s="453"/>
      <c r="AE112" s="453"/>
      <c r="AF112" s="453"/>
      <c r="AG112" s="453"/>
      <c r="AH112" s="453"/>
      <c r="AI112" s="453"/>
      <c r="AJ112" s="453"/>
      <c r="AK112" s="453"/>
      <c r="AL112" s="453"/>
      <c r="AM112" s="453">
        <v>25000</v>
      </c>
      <c r="AN112" s="453"/>
      <c r="AO112" s="453"/>
      <c r="AP112" s="453"/>
      <c r="AQ112" s="453"/>
      <c r="AR112" s="453"/>
      <c r="AS112" s="453"/>
      <c r="AT112" s="453"/>
      <c r="AU112" s="453"/>
      <c r="AV112" s="453"/>
      <c r="AW112" s="453"/>
      <c r="AX112" s="453"/>
      <c r="AY112" s="453"/>
      <c r="AZ112" s="453"/>
      <c r="BA112" s="453"/>
      <c r="BB112" s="502"/>
      <c r="BC112" s="503"/>
      <c r="BD112" s="453"/>
      <c r="BE112" s="453"/>
      <c r="BF112" s="470"/>
      <c r="BG112" s="453"/>
      <c r="BH112" s="453"/>
      <c r="BI112" s="453"/>
      <c r="BJ112" s="453"/>
      <c r="BK112" s="453"/>
      <c r="BL112" s="453"/>
      <c r="BM112" s="502"/>
      <c r="BN112" s="490"/>
      <c r="BO112" s="470"/>
      <c r="BP112" s="490"/>
      <c r="BQ112" s="453"/>
      <c r="BR112" s="502"/>
      <c r="BS112" s="524"/>
      <c r="BT112" s="530"/>
    </row>
    <row r="113" s="435" customFormat="1" ht="18" customHeight="1" spans="1:72">
      <c r="A113" s="451"/>
      <c r="B113" s="456"/>
      <c r="C113" s="526" t="s">
        <v>4036</v>
      </c>
      <c r="D113" s="451"/>
      <c r="E113" s="457"/>
      <c r="F113" s="453"/>
      <c r="G113" s="453"/>
      <c r="H113" s="453"/>
      <c r="I113" s="453"/>
      <c r="J113" s="453"/>
      <c r="K113" s="453"/>
      <c r="L113" s="453"/>
      <c r="M113" s="453"/>
      <c r="N113" s="453"/>
      <c r="O113" s="453"/>
      <c r="P113" s="453"/>
      <c r="Q113" s="453"/>
      <c r="R113" s="453">
        <v>13500</v>
      </c>
      <c r="S113" s="453"/>
      <c r="T113" s="453"/>
      <c r="U113" s="453"/>
      <c r="V113" s="453"/>
      <c r="W113" s="453"/>
      <c r="X113" s="453"/>
      <c r="Y113" s="453"/>
      <c r="Z113" s="489"/>
      <c r="AA113" s="489"/>
      <c r="AB113" s="490"/>
      <c r="AC113" s="453"/>
      <c r="AD113" s="453"/>
      <c r="AE113" s="453"/>
      <c r="AF113" s="453"/>
      <c r="AG113" s="453"/>
      <c r="AH113" s="453"/>
      <c r="AI113" s="453"/>
      <c r="AJ113" s="453"/>
      <c r="AK113" s="453"/>
      <c r="AL113" s="453"/>
      <c r="AM113" s="453"/>
      <c r="AN113" s="453"/>
      <c r="AO113" s="453"/>
      <c r="AP113" s="453"/>
      <c r="AQ113" s="453"/>
      <c r="AR113" s="453"/>
      <c r="AS113" s="453"/>
      <c r="AT113" s="453"/>
      <c r="AU113" s="453"/>
      <c r="AV113" s="453"/>
      <c r="AW113" s="453"/>
      <c r="AX113" s="453"/>
      <c r="AY113" s="453"/>
      <c r="AZ113" s="453"/>
      <c r="BA113" s="453"/>
      <c r="BB113" s="502"/>
      <c r="BC113" s="503"/>
      <c r="BD113" s="453"/>
      <c r="BE113" s="453"/>
      <c r="BF113" s="470"/>
      <c r="BG113" s="453"/>
      <c r="BH113" s="453"/>
      <c r="BI113" s="453"/>
      <c r="BJ113" s="453"/>
      <c r="BK113" s="453"/>
      <c r="BL113" s="453"/>
      <c r="BM113" s="502"/>
      <c r="BN113" s="490"/>
      <c r="BO113" s="470"/>
      <c r="BP113" s="490"/>
      <c r="BQ113" s="453"/>
      <c r="BR113" s="502"/>
      <c r="BS113" s="524"/>
      <c r="BT113" s="530"/>
    </row>
    <row r="114" s="435" customFormat="1" ht="18" customHeight="1" spans="1:72">
      <c r="A114" s="451" t="s">
        <v>4033</v>
      </c>
      <c r="B114" s="456">
        <v>43802</v>
      </c>
      <c r="C114" s="526">
        <v>1000004578</v>
      </c>
      <c r="D114" s="451"/>
      <c r="E114" s="457"/>
      <c r="F114" s="453"/>
      <c r="G114" s="453"/>
      <c r="H114" s="453"/>
      <c r="I114" s="453"/>
      <c r="J114" s="453"/>
      <c r="K114" s="453"/>
      <c r="L114" s="453"/>
      <c r="M114" s="453"/>
      <c r="N114" s="453"/>
      <c r="O114" s="453"/>
      <c r="P114" s="453"/>
      <c r="Q114" s="453"/>
      <c r="R114" s="453"/>
      <c r="S114" s="453"/>
      <c r="T114" s="453"/>
      <c r="U114" s="453"/>
      <c r="V114" s="453"/>
      <c r="W114" s="453"/>
      <c r="X114" s="453"/>
      <c r="Y114" s="453"/>
      <c r="Z114" s="489"/>
      <c r="AA114" s="489"/>
      <c r="AB114" s="490"/>
      <c r="AC114" s="453"/>
      <c r="AD114" s="453"/>
      <c r="AE114" s="453"/>
      <c r="AF114" s="453"/>
      <c r="AG114" s="453"/>
      <c r="AH114" s="453">
        <v>20000</v>
      </c>
      <c r="AI114" s="453"/>
      <c r="AJ114" s="453"/>
      <c r="AK114" s="453"/>
      <c r="AL114" s="453"/>
      <c r="AM114" s="453"/>
      <c r="AN114" s="453"/>
      <c r="AO114" s="453"/>
      <c r="AP114" s="453"/>
      <c r="AQ114" s="453"/>
      <c r="AR114" s="453"/>
      <c r="AS114" s="453"/>
      <c r="AT114" s="453"/>
      <c r="AU114" s="453"/>
      <c r="AV114" s="453"/>
      <c r="AW114" s="453"/>
      <c r="AX114" s="453"/>
      <c r="AY114" s="453"/>
      <c r="AZ114" s="453"/>
      <c r="BA114" s="453"/>
      <c r="BB114" s="502"/>
      <c r="BC114" s="503"/>
      <c r="BD114" s="453"/>
      <c r="BE114" s="453"/>
      <c r="BF114" s="470"/>
      <c r="BG114" s="453"/>
      <c r="BH114" s="453"/>
      <c r="BI114" s="453"/>
      <c r="BJ114" s="453"/>
      <c r="BK114" s="453"/>
      <c r="BL114" s="453"/>
      <c r="BM114" s="502"/>
      <c r="BN114" s="490"/>
      <c r="BO114" s="470"/>
      <c r="BP114" s="490"/>
      <c r="BQ114" s="453"/>
      <c r="BR114" s="502"/>
      <c r="BS114" s="524"/>
      <c r="BT114" s="530"/>
    </row>
    <row r="115" s="435" customFormat="1" ht="18" customHeight="1" spans="1:72">
      <c r="A115" s="451" t="s">
        <v>4033</v>
      </c>
      <c r="B115" s="456">
        <v>43810</v>
      </c>
      <c r="C115" s="526">
        <v>1000004629</v>
      </c>
      <c r="D115" s="451"/>
      <c r="E115" s="457"/>
      <c r="F115" s="453"/>
      <c r="G115" s="453"/>
      <c r="H115" s="453"/>
      <c r="I115" s="453"/>
      <c r="J115" s="453"/>
      <c r="K115" s="453"/>
      <c r="L115" s="453"/>
      <c r="M115" s="453"/>
      <c r="N115" s="453"/>
      <c r="O115" s="453"/>
      <c r="P115" s="453"/>
      <c r="Q115" s="453"/>
      <c r="R115" s="453"/>
      <c r="S115" s="453"/>
      <c r="T115" s="453"/>
      <c r="U115" s="453"/>
      <c r="V115" s="453"/>
      <c r="W115" s="453"/>
      <c r="X115" s="453"/>
      <c r="Y115" s="453"/>
      <c r="Z115" s="489"/>
      <c r="AA115" s="489"/>
      <c r="AB115" s="490"/>
      <c r="AC115" s="527">
        <v>45000</v>
      </c>
      <c r="AD115" s="527"/>
      <c r="AE115" s="527"/>
      <c r="AF115" s="527"/>
      <c r="AG115" s="453"/>
      <c r="AH115" s="453"/>
      <c r="AI115" s="453"/>
      <c r="AJ115" s="453"/>
      <c r="AK115" s="453"/>
      <c r="AL115" s="453"/>
      <c r="AM115" s="453"/>
      <c r="AN115" s="453"/>
      <c r="AO115" s="453"/>
      <c r="AP115" s="453"/>
      <c r="AQ115" s="453"/>
      <c r="AR115" s="453"/>
      <c r="AS115" s="453"/>
      <c r="AT115" s="453"/>
      <c r="AU115" s="453"/>
      <c r="AV115" s="453"/>
      <c r="AW115" s="453"/>
      <c r="AX115" s="453"/>
      <c r="AY115" s="453"/>
      <c r="AZ115" s="453"/>
      <c r="BA115" s="453"/>
      <c r="BB115" s="502"/>
      <c r="BC115" s="503"/>
      <c r="BD115" s="453"/>
      <c r="BE115" s="453"/>
      <c r="BF115" s="470"/>
      <c r="BG115" s="453"/>
      <c r="BH115" s="453"/>
      <c r="BI115" s="453"/>
      <c r="BJ115" s="453"/>
      <c r="BK115" s="453"/>
      <c r="BL115" s="453"/>
      <c r="BM115" s="502"/>
      <c r="BN115" s="490"/>
      <c r="BO115" s="470"/>
      <c r="BP115" s="490"/>
      <c r="BQ115" s="453"/>
      <c r="BR115" s="502"/>
      <c r="BS115" s="524"/>
      <c r="BT115" s="530"/>
    </row>
    <row r="116" s="435" customFormat="1" ht="18" customHeight="1" spans="1:72">
      <c r="A116" s="451" t="s">
        <v>4033</v>
      </c>
      <c r="B116" s="456">
        <v>43810</v>
      </c>
      <c r="C116" s="526">
        <v>1000004630</v>
      </c>
      <c r="D116" s="451"/>
      <c r="E116" s="457"/>
      <c r="F116" s="453"/>
      <c r="G116" s="453"/>
      <c r="H116" s="453"/>
      <c r="I116" s="453"/>
      <c r="J116" s="453"/>
      <c r="K116" s="453"/>
      <c r="L116" s="453"/>
      <c r="M116" s="453"/>
      <c r="N116" s="453"/>
      <c r="O116" s="453"/>
      <c r="P116" s="453"/>
      <c r="Q116" s="453"/>
      <c r="R116" s="453"/>
      <c r="S116" s="453"/>
      <c r="T116" s="453"/>
      <c r="U116" s="453"/>
      <c r="V116" s="453"/>
      <c r="W116" s="453"/>
      <c r="X116" s="453"/>
      <c r="Y116" s="453"/>
      <c r="Z116" s="489"/>
      <c r="AA116" s="489"/>
      <c r="AB116" s="490"/>
      <c r="AC116" s="453"/>
      <c r="AD116" s="453"/>
      <c r="AE116" s="453"/>
      <c r="AF116" s="453"/>
      <c r="AG116" s="453"/>
      <c r="AH116" s="453"/>
      <c r="AI116" s="453"/>
      <c r="AJ116" s="453"/>
      <c r="AK116" s="453"/>
      <c r="AL116" s="453"/>
      <c r="AM116" s="453">
        <v>210000</v>
      </c>
      <c r="AN116" s="453"/>
      <c r="AO116" s="453"/>
      <c r="AP116" s="453"/>
      <c r="AQ116" s="453"/>
      <c r="AR116" s="453"/>
      <c r="AS116" s="453"/>
      <c r="AT116" s="453"/>
      <c r="AU116" s="453"/>
      <c r="AV116" s="453"/>
      <c r="AW116" s="453"/>
      <c r="AX116" s="453"/>
      <c r="AY116" s="453"/>
      <c r="AZ116" s="453"/>
      <c r="BA116" s="453"/>
      <c r="BB116" s="502"/>
      <c r="BC116" s="503"/>
      <c r="BD116" s="453"/>
      <c r="BE116" s="453"/>
      <c r="BF116" s="470"/>
      <c r="BG116" s="453"/>
      <c r="BH116" s="453"/>
      <c r="BI116" s="453"/>
      <c r="BJ116" s="453"/>
      <c r="BK116" s="453"/>
      <c r="BL116" s="453"/>
      <c r="BM116" s="502"/>
      <c r="BN116" s="490"/>
      <c r="BO116" s="470"/>
      <c r="BP116" s="490"/>
      <c r="BQ116" s="453"/>
      <c r="BR116" s="502"/>
      <c r="BS116" s="524"/>
      <c r="BT116" s="530"/>
    </row>
    <row r="117" s="435" customFormat="1" ht="18" customHeight="1" spans="1:72">
      <c r="A117" s="451" t="s">
        <v>4033</v>
      </c>
      <c r="B117" s="456">
        <v>43810</v>
      </c>
      <c r="C117" s="526">
        <v>1000004631</v>
      </c>
      <c r="D117" s="451"/>
      <c r="E117" s="457"/>
      <c r="F117" s="453"/>
      <c r="G117" s="453"/>
      <c r="H117" s="453"/>
      <c r="I117" s="453"/>
      <c r="J117" s="453"/>
      <c r="K117" s="453"/>
      <c r="L117" s="453"/>
      <c r="M117" s="453"/>
      <c r="N117" s="453"/>
      <c r="O117" s="453"/>
      <c r="P117" s="453"/>
      <c r="Q117" s="453"/>
      <c r="R117" s="453"/>
      <c r="S117" s="453"/>
      <c r="T117" s="453"/>
      <c r="U117" s="453"/>
      <c r="V117" s="453"/>
      <c r="W117" s="453"/>
      <c r="X117" s="453"/>
      <c r="Y117" s="453"/>
      <c r="Z117" s="489"/>
      <c r="AA117" s="489"/>
      <c r="AB117" s="490"/>
      <c r="AC117" s="453"/>
      <c r="AD117" s="453"/>
      <c r="AE117" s="453"/>
      <c r="AF117" s="453"/>
      <c r="AG117" s="453"/>
      <c r="AH117" s="528">
        <v>50000</v>
      </c>
      <c r="AI117" s="528"/>
      <c r="AJ117" s="528"/>
      <c r="AK117" s="528"/>
      <c r="AL117" s="453"/>
      <c r="AM117" s="453"/>
      <c r="AN117" s="453"/>
      <c r="AO117" s="453"/>
      <c r="AP117" s="529"/>
      <c r="AQ117" s="529"/>
      <c r="AR117" s="529"/>
      <c r="AS117" s="529"/>
      <c r="AT117" s="529"/>
      <c r="AU117" s="529"/>
      <c r="AV117" s="453"/>
      <c r="AW117" s="453"/>
      <c r="AX117" s="453"/>
      <c r="AY117" s="453"/>
      <c r="AZ117" s="453"/>
      <c r="BA117" s="453"/>
      <c r="BB117" s="502"/>
      <c r="BC117" s="503"/>
      <c r="BD117" s="453"/>
      <c r="BE117" s="453"/>
      <c r="BF117" s="470"/>
      <c r="BG117" s="453"/>
      <c r="BH117" s="453"/>
      <c r="BI117" s="453"/>
      <c r="BJ117" s="453"/>
      <c r="BK117" s="453"/>
      <c r="BL117" s="453"/>
      <c r="BM117" s="502"/>
      <c r="BN117" s="490"/>
      <c r="BO117" s="470"/>
      <c r="BP117" s="490"/>
      <c r="BQ117" s="453"/>
      <c r="BR117" s="502"/>
      <c r="BS117" s="524"/>
      <c r="BT117" s="530"/>
    </row>
    <row r="118" s="435" customFormat="1" ht="18" customHeight="1" spans="1:72">
      <c r="A118" s="451" t="s">
        <v>4033</v>
      </c>
      <c r="B118" s="456">
        <v>43810</v>
      </c>
      <c r="C118" s="526">
        <v>1000004632</v>
      </c>
      <c r="D118" s="451"/>
      <c r="E118" s="457"/>
      <c r="F118" s="453"/>
      <c r="G118" s="453"/>
      <c r="H118" s="453"/>
      <c r="I118" s="453"/>
      <c r="J118" s="453"/>
      <c r="K118" s="453"/>
      <c r="L118" s="453"/>
      <c r="M118" s="453"/>
      <c r="N118" s="453"/>
      <c r="O118" s="453"/>
      <c r="P118" s="453"/>
      <c r="Q118" s="453"/>
      <c r="R118" s="453"/>
      <c r="S118" s="453"/>
      <c r="T118" s="453"/>
      <c r="U118" s="453"/>
      <c r="V118" s="453"/>
      <c r="W118" s="453"/>
      <c r="X118" s="453"/>
      <c r="Y118" s="453"/>
      <c r="Z118" s="489"/>
      <c r="AA118" s="489"/>
      <c r="AB118" s="490"/>
      <c r="AC118" s="453"/>
      <c r="AD118" s="453"/>
      <c r="AE118" s="453"/>
      <c r="AF118" s="453"/>
      <c r="AG118" s="453"/>
      <c r="AH118" s="529"/>
      <c r="AI118" s="529"/>
      <c r="AJ118" s="529"/>
      <c r="AK118" s="529"/>
      <c r="AL118" s="453"/>
      <c r="AM118" s="453"/>
      <c r="AN118" s="453"/>
      <c r="AO118" s="453"/>
      <c r="AP118" s="529"/>
      <c r="AQ118" s="529">
        <v>15000</v>
      </c>
      <c r="AR118" s="529"/>
      <c r="AS118" s="529"/>
      <c r="AT118" s="529"/>
      <c r="AU118" s="529"/>
      <c r="AV118" s="453"/>
      <c r="AW118" s="453"/>
      <c r="AX118" s="453"/>
      <c r="AY118" s="453"/>
      <c r="AZ118" s="453"/>
      <c r="BA118" s="453"/>
      <c r="BB118" s="502"/>
      <c r="BC118" s="503"/>
      <c r="BD118" s="453"/>
      <c r="BE118" s="453"/>
      <c r="BF118" s="470"/>
      <c r="BG118" s="453"/>
      <c r="BH118" s="453"/>
      <c r="BI118" s="453"/>
      <c r="BJ118" s="453"/>
      <c r="BK118" s="453"/>
      <c r="BL118" s="453"/>
      <c r="BM118" s="502"/>
      <c r="BN118" s="490"/>
      <c r="BO118" s="470"/>
      <c r="BP118" s="490"/>
      <c r="BQ118" s="453"/>
      <c r="BR118" s="502"/>
      <c r="BS118" s="524"/>
      <c r="BT118" s="530"/>
    </row>
    <row r="119" s="435" customFormat="1" ht="18" customHeight="1" spans="1:72">
      <c r="A119" s="451" t="s">
        <v>4033</v>
      </c>
      <c r="B119" s="456">
        <v>43812</v>
      </c>
      <c r="C119" s="526">
        <v>1000004636</v>
      </c>
      <c r="D119" s="451"/>
      <c r="E119" s="457"/>
      <c r="F119" s="453"/>
      <c r="G119" s="453"/>
      <c r="H119" s="453"/>
      <c r="I119" s="453"/>
      <c r="J119" s="453"/>
      <c r="K119" s="453"/>
      <c r="L119" s="453"/>
      <c r="M119" s="453"/>
      <c r="N119" s="453"/>
      <c r="O119" s="453"/>
      <c r="P119" s="453"/>
      <c r="Q119" s="453"/>
      <c r="R119" s="453">
        <v>5000</v>
      </c>
      <c r="S119" s="453"/>
      <c r="T119" s="453"/>
      <c r="U119" s="453"/>
      <c r="V119" s="453"/>
      <c r="W119" s="453"/>
      <c r="X119" s="453"/>
      <c r="Y119" s="453"/>
      <c r="Z119" s="489"/>
      <c r="AA119" s="489"/>
      <c r="AB119" s="490"/>
      <c r="AC119" s="453"/>
      <c r="AD119" s="453"/>
      <c r="AE119" s="453"/>
      <c r="AF119" s="453"/>
      <c r="AG119" s="453"/>
      <c r="AH119" s="529"/>
      <c r="AI119" s="529"/>
      <c r="AJ119" s="529"/>
      <c r="AK119" s="529"/>
      <c r="AL119" s="453"/>
      <c r="AM119" s="453"/>
      <c r="AN119" s="453"/>
      <c r="AO119" s="453"/>
      <c r="AP119" s="529"/>
      <c r="AQ119" s="529"/>
      <c r="AR119" s="529"/>
      <c r="AS119" s="529"/>
      <c r="AT119" s="529"/>
      <c r="AU119" s="529"/>
      <c r="AV119" s="453"/>
      <c r="AW119" s="453"/>
      <c r="AX119" s="453"/>
      <c r="AY119" s="453"/>
      <c r="AZ119" s="453"/>
      <c r="BA119" s="453"/>
      <c r="BB119" s="502"/>
      <c r="BC119" s="503"/>
      <c r="BD119" s="453"/>
      <c r="BE119" s="453"/>
      <c r="BF119" s="470"/>
      <c r="BG119" s="453"/>
      <c r="BH119" s="453"/>
      <c r="BI119" s="453"/>
      <c r="BJ119" s="453"/>
      <c r="BK119" s="453"/>
      <c r="BL119" s="453"/>
      <c r="BM119" s="502"/>
      <c r="BN119" s="490"/>
      <c r="BO119" s="470"/>
      <c r="BP119" s="490"/>
      <c r="BQ119" s="453"/>
      <c r="BR119" s="502"/>
      <c r="BS119" s="524"/>
      <c r="BT119" s="530"/>
    </row>
    <row r="120" s="435" customFormat="1" ht="18" customHeight="1" spans="1:72">
      <c r="A120" s="451" t="s">
        <v>4033</v>
      </c>
      <c r="B120" s="456">
        <v>43817</v>
      </c>
      <c r="C120" s="526">
        <v>1000004651</v>
      </c>
      <c r="D120" s="451"/>
      <c r="E120" s="457"/>
      <c r="F120" s="453"/>
      <c r="G120" s="453"/>
      <c r="H120" s="453"/>
      <c r="I120" s="453"/>
      <c r="J120" s="453"/>
      <c r="K120" s="453"/>
      <c r="L120" s="453"/>
      <c r="M120" s="453"/>
      <c r="N120" s="453"/>
      <c r="O120" s="453"/>
      <c r="P120" s="453"/>
      <c r="Q120" s="453"/>
      <c r="R120" s="453"/>
      <c r="S120" s="453"/>
      <c r="T120" s="453"/>
      <c r="U120" s="453"/>
      <c r="V120" s="453"/>
      <c r="W120" s="453"/>
      <c r="X120" s="453"/>
      <c r="Y120" s="453"/>
      <c r="Z120" s="489"/>
      <c r="AA120" s="489"/>
      <c r="AB120" s="490"/>
      <c r="AC120" s="453"/>
      <c r="AD120" s="453"/>
      <c r="AE120" s="453"/>
      <c r="AF120" s="453"/>
      <c r="AG120" s="453"/>
      <c r="AH120" s="529">
        <v>15000</v>
      </c>
      <c r="AI120" s="529"/>
      <c r="AJ120" s="529"/>
      <c r="AK120" s="529"/>
      <c r="AL120" s="453"/>
      <c r="AM120" s="453"/>
      <c r="AN120" s="453"/>
      <c r="AO120" s="453"/>
      <c r="AP120" s="529"/>
      <c r="AQ120" s="529"/>
      <c r="AR120" s="529"/>
      <c r="AS120" s="529"/>
      <c r="AT120" s="529"/>
      <c r="AU120" s="529"/>
      <c r="AV120" s="453"/>
      <c r="AW120" s="453"/>
      <c r="AX120" s="453"/>
      <c r="AY120" s="453"/>
      <c r="AZ120" s="453"/>
      <c r="BA120" s="453"/>
      <c r="BB120" s="502"/>
      <c r="BC120" s="503"/>
      <c r="BD120" s="453"/>
      <c r="BE120" s="453"/>
      <c r="BF120" s="470"/>
      <c r="BG120" s="453"/>
      <c r="BH120" s="453"/>
      <c r="BI120" s="453"/>
      <c r="BJ120" s="453"/>
      <c r="BK120" s="453"/>
      <c r="BL120" s="453"/>
      <c r="BM120" s="502"/>
      <c r="BN120" s="490"/>
      <c r="BO120" s="470"/>
      <c r="BP120" s="490"/>
      <c r="BQ120" s="453"/>
      <c r="BR120" s="502"/>
      <c r="BS120" s="524"/>
      <c r="BT120" s="530"/>
    </row>
    <row r="121" s="435" customFormat="1" ht="18" customHeight="1" spans="1:72">
      <c r="A121" s="451" t="s">
        <v>4033</v>
      </c>
      <c r="B121" s="456">
        <v>43817</v>
      </c>
      <c r="C121" s="526">
        <v>1000004652</v>
      </c>
      <c r="D121" s="451"/>
      <c r="E121" s="457"/>
      <c r="F121" s="453"/>
      <c r="G121" s="453"/>
      <c r="H121" s="453"/>
      <c r="I121" s="453"/>
      <c r="J121" s="453"/>
      <c r="K121" s="453"/>
      <c r="L121" s="453"/>
      <c r="M121" s="453"/>
      <c r="N121" s="453"/>
      <c r="O121" s="453"/>
      <c r="P121" s="453"/>
      <c r="Q121" s="453"/>
      <c r="R121" s="453"/>
      <c r="S121" s="453"/>
      <c r="T121" s="453"/>
      <c r="U121" s="453"/>
      <c r="V121" s="453"/>
      <c r="W121" s="453"/>
      <c r="X121" s="453"/>
      <c r="Y121" s="453"/>
      <c r="Z121" s="489"/>
      <c r="AA121" s="489"/>
      <c r="AB121" s="490"/>
      <c r="AC121" s="453"/>
      <c r="AD121" s="453"/>
      <c r="AE121" s="453"/>
      <c r="AF121" s="453"/>
      <c r="AG121" s="453"/>
      <c r="AH121" s="529"/>
      <c r="AI121" s="529"/>
      <c r="AJ121" s="529"/>
      <c r="AK121" s="529"/>
      <c r="AL121" s="453"/>
      <c r="AM121" s="453"/>
      <c r="AN121" s="453"/>
      <c r="AO121" s="453"/>
      <c r="AP121" s="529"/>
      <c r="AQ121" s="529">
        <v>18000</v>
      </c>
      <c r="AR121" s="529"/>
      <c r="AS121" s="529"/>
      <c r="AT121" s="529"/>
      <c r="AU121" s="529"/>
      <c r="AV121" s="453"/>
      <c r="AW121" s="453"/>
      <c r="AX121" s="453"/>
      <c r="AY121" s="453"/>
      <c r="AZ121" s="453"/>
      <c r="BA121" s="453"/>
      <c r="BB121" s="502"/>
      <c r="BC121" s="503"/>
      <c r="BD121" s="453"/>
      <c r="BE121" s="453"/>
      <c r="BF121" s="470"/>
      <c r="BG121" s="453"/>
      <c r="BH121" s="453"/>
      <c r="BI121" s="453"/>
      <c r="BJ121" s="453"/>
      <c r="BK121" s="453"/>
      <c r="BL121" s="453"/>
      <c r="BM121" s="502"/>
      <c r="BN121" s="490"/>
      <c r="BO121" s="470"/>
      <c r="BP121" s="490"/>
      <c r="BQ121" s="453"/>
      <c r="BR121" s="502"/>
      <c r="BS121" s="524"/>
      <c r="BT121" s="530"/>
    </row>
    <row r="122" s="435" customFormat="1" ht="18" customHeight="1" spans="1:72">
      <c r="A122" s="451" t="s">
        <v>4033</v>
      </c>
      <c r="B122" s="456">
        <v>43829</v>
      </c>
      <c r="C122" s="526">
        <v>1000004696</v>
      </c>
      <c r="D122" s="451"/>
      <c r="E122" s="457"/>
      <c r="F122" s="453"/>
      <c r="G122" s="453"/>
      <c r="H122" s="453"/>
      <c r="I122" s="453"/>
      <c r="J122" s="453"/>
      <c r="K122" s="453"/>
      <c r="L122" s="453"/>
      <c r="M122" s="453"/>
      <c r="N122" s="453"/>
      <c r="O122" s="453"/>
      <c r="P122" s="453"/>
      <c r="Q122" s="453"/>
      <c r="R122" s="453"/>
      <c r="S122" s="453"/>
      <c r="T122" s="453"/>
      <c r="U122" s="453"/>
      <c r="V122" s="453"/>
      <c r="W122" s="453"/>
      <c r="X122" s="453"/>
      <c r="Y122" s="453"/>
      <c r="Z122" s="489"/>
      <c r="AA122" s="489"/>
      <c r="AB122" s="490"/>
      <c r="AC122" s="453">
        <v>40000</v>
      </c>
      <c r="AD122" s="453"/>
      <c r="AE122" s="453"/>
      <c r="AF122" s="453"/>
      <c r="AG122" s="453"/>
      <c r="AH122" s="529"/>
      <c r="AI122" s="529"/>
      <c r="AJ122" s="529"/>
      <c r="AK122" s="529"/>
      <c r="AL122" s="453"/>
      <c r="AM122" s="453"/>
      <c r="AN122" s="453"/>
      <c r="AO122" s="453"/>
      <c r="AP122" s="529"/>
      <c r="AQ122" s="529"/>
      <c r="AR122" s="529"/>
      <c r="AS122" s="529"/>
      <c r="AT122" s="529"/>
      <c r="AU122" s="529"/>
      <c r="AV122" s="453"/>
      <c r="AW122" s="453"/>
      <c r="AX122" s="453"/>
      <c r="AY122" s="453"/>
      <c r="AZ122" s="453"/>
      <c r="BA122" s="453"/>
      <c r="BB122" s="502"/>
      <c r="BC122" s="503"/>
      <c r="BD122" s="453"/>
      <c r="BE122" s="453"/>
      <c r="BF122" s="470"/>
      <c r="BG122" s="453"/>
      <c r="BH122" s="453"/>
      <c r="BI122" s="453"/>
      <c r="BJ122" s="453"/>
      <c r="BK122" s="453"/>
      <c r="BL122" s="453"/>
      <c r="BM122" s="502"/>
      <c r="BN122" s="490"/>
      <c r="BO122" s="470"/>
      <c r="BP122" s="490"/>
      <c r="BQ122" s="453"/>
      <c r="BR122" s="502"/>
      <c r="BS122" s="524"/>
      <c r="BT122" s="530"/>
    </row>
    <row r="123" s="435" customFormat="1" ht="18" customHeight="1" spans="1:72">
      <c r="A123" s="451" t="s">
        <v>4033</v>
      </c>
      <c r="B123" s="456">
        <v>43829</v>
      </c>
      <c r="C123" s="526">
        <v>1000004697</v>
      </c>
      <c r="D123" s="451"/>
      <c r="E123" s="457"/>
      <c r="F123" s="453"/>
      <c r="G123" s="453"/>
      <c r="H123" s="453"/>
      <c r="I123" s="453"/>
      <c r="J123" s="453"/>
      <c r="K123" s="453"/>
      <c r="L123" s="453"/>
      <c r="M123" s="453"/>
      <c r="N123" s="453"/>
      <c r="O123" s="453"/>
      <c r="P123" s="453"/>
      <c r="Q123" s="453"/>
      <c r="R123" s="453"/>
      <c r="S123" s="453"/>
      <c r="T123" s="453"/>
      <c r="U123" s="453"/>
      <c r="V123" s="453"/>
      <c r="W123" s="453"/>
      <c r="X123" s="453"/>
      <c r="Y123" s="453"/>
      <c r="Z123" s="489"/>
      <c r="AA123" s="489"/>
      <c r="AB123" s="490"/>
      <c r="AC123" s="453"/>
      <c r="AD123" s="453"/>
      <c r="AE123" s="453"/>
      <c r="AF123" s="453"/>
      <c r="AG123" s="453"/>
      <c r="AH123" s="529"/>
      <c r="AI123" s="529"/>
      <c r="AJ123" s="529"/>
      <c r="AK123" s="529"/>
      <c r="AL123" s="453"/>
      <c r="AM123" s="453">
        <v>50000</v>
      </c>
      <c r="AN123" s="453"/>
      <c r="AO123" s="453"/>
      <c r="AP123" s="529"/>
      <c r="AQ123" s="529"/>
      <c r="AR123" s="529"/>
      <c r="AS123" s="529"/>
      <c r="AT123" s="529"/>
      <c r="AU123" s="529"/>
      <c r="AV123" s="453"/>
      <c r="AW123" s="453"/>
      <c r="AX123" s="453"/>
      <c r="AY123" s="453"/>
      <c r="AZ123" s="453"/>
      <c r="BA123" s="453"/>
      <c r="BB123" s="502"/>
      <c r="BC123" s="503"/>
      <c r="BD123" s="453"/>
      <c r="BE123" s="453"/>
      <c r="BF123" s="470"/>
      <c r="BG123" s="453"/>
      <c r="BH123" s="453"/>
      <c r="BI123" s="453"/>
      <c r="BJ123" s="453"/>
      <c r="BK123" s="453"/>
      <c r="BL123" s="453"/>
      <c r="BM123" s="502"/>
      <c r="BN123" s="490"/>
      <c r="BO123" s="470"/>
      <c r="BP123" s="490"/>
      <c r="BQ123" s="453"/>
      <c r="BR123" s="502"/>
      <c r="BS123" s="524"/>
      <c r="BT123" s="530"/>
    </row>
    <row r="124" s="435" customFormat="1" ht="18" customHeight="1" spans="1:72">
      <c r="A124" s="451" t="s">
        <v>4033</v>
      </c>
      <c r="B124" s="456">
        <v>43844</v>
      </c>
      <c r="C124" s="526">
        <v>1000004736</v>
      </c>
      <c r="D124" s="451"/>
      <c r="E124" s="457"/>
      <c r="F124" s="453"/>
      <c r="G124" s="453"/>
      <c r="H124" s="453"/>
      <c r="I124" s="453"/>
      <c r="J124" s="453"/>
      <c r="K124" s="453"/>
      <c r="L124" s="453"/>
      <c r="M124" s="453"/>
      <c r="N124" s="453"/>
      <c r="O124" s="453"/>
      <c r="P124" s="453"/>
      <c r="Q124" s="453"/>
      <c r="R124" s="453"/>
      <c r="S124" s="453"/>
      <c r="T124" s="453"/>
      <c r="U124" s="453"/>
      <c r="V124" s="453"/>
      <c r="W124" s="453"/>
      <c r="X124" s="453"/>
      <c r="Y124" s="453"/>
      <c r="Z124" s="489"/>
      <c r="AA124" s="489"/>
      <c r="AB124" s="490"/>
      <c r="AC124" s="453">
        <v>30000</v>
      </c>
      <c r="AD124" s="453"/>
      <c r="AE124" s="453"/>
      <c r="AF124" s="453"/>
      <c r="AG124" s="453"/>
      <c r="AH124" s="529"/>
      <c r="AI124" s="529"/>
      <c r="AJ124" s="529"/>
      <c r="AK124" s="529"/>
      <c r="AL124" s="453"/>
      <c r="AM124" s="453"/>
      <c r="AN124" s="453"/>
      <c r="AO124" s="453"/>
      <c r="AP124" s="529"/>
      <c r="AQ124" s="529"/>
      <c r="AR124" s="529"/>
      <c r="AS124" s="529"/>
      <c r="AT124" s="529"/>
      <c r="AU124" s="529"/>
      <c r="AV124" s="453"/>
      <c r="AW124" s="453"/>
      <c r="AX124" s="453"/>
      <c r="AY124" s="453"/>
      <c r="AZ124" s="453"/>
      <c r="BA124" s="453"/>
      <c r="BB124" s="502"/>
      <c r="BC124" s="503"/>
      <c r="BD124" s="453"/>
      <c r="BE124" s="453"/>
      <c r="BF124" s="470"/>
      <c r="BG124" s="453"/>
      <c r="BH124" s="453"/>
      <c r="BI124" s="453"/>
      <c r="BJ124" s="453"/>
      <c r="BK124" s="453"/>
      <c r="BL124" s="453"/>
      <c r="BM124" s="502"/>
      <c r="BN124" s="490"/>
      <c r="BO124" s="470"/>
      <c r="BP124" s="490"/>
      <c r="BQ124" s="453"/>
      <c r="BR124" s="502"/>
      <c r="BS124" s="524"/>
      <c r="BT124" s="530"/>
    </row>
    <row r="125" s="435" customFormat="1" ht="18" customHeight="1" spans="1:72">
      <c r="A125" s="451" t="s">
        <v>4033</v>
      </c>
      <c r="B125" s="456">
        <v>43844</v>
      </c>
      <c r="C125" s="526">
        <v>1000004737</v>
      </c>
      <c r="D125" s="451"/>
      <c r="E125" s="457"/>
      <c r="F125" s="453"/>
      <c r="G125" s="453"/>
      <c r="H125" s="453"/>
      <c r="I125" s="453"/>
      <c r="J125" s="453"/>
      <c r="K125" s="453"/>
      <c r="L125" s="453"/>
      <c r="M125" s="453"/>
      <c r="N125" s="453"/>
      <c r="O125" s="453"/>
      <c r="P125" s="453"/>
      <c r="Q125" s="453"/>
      <c r="R125" s="453"/>
      <c r="S125" s="453"/>
      <c r="T125" s="453"/>
      <c r="U125" s="453"/>
      <c r="V125" s="453"/>
      <c r="W125" s="453"/>
      <c r="X125" s="453"/>
      <c r="Y125" s="453"/>
      <c r="Z125" s="489"/>
      <c r="AA125" s="489"/>
      <c r="AB125" s="490"/>
      <c r="AC125" s="453"/>
      <c r="AD125" s="453"/>
      <c r="AE125" s="453"/>
      <c r="AF125" s="453"/>
      <c r="AG125" s="453"/>
      <c r="AH125" s="529"/>
      <c r="AI125" s="529"/>
      <c r="AJ125" s="529"/>
      <c r="AK125" s="529"/>
      <c r="AL125" s="453"/>
      <c r="AM125" s="453">
        <v>25000</v>
      </c>
      <c r="AN125" s="453"/>
      <c r="AO125" s="453"/>
      <c r="AP125" s="529"/>
      <c r="AQ125" s="529"/>
      <c r="AR125" s="529"/>
      <c r="AS125" s="529"/>
      <c r="AT125" s="529"/>
      <c r="AU125" s="529"/>
      <c r="AV125" s="453"/>
      <c r="AW125" s="453"/>
      <c r="AX125" s="453"/>
      <c r="AY125" s="453"/>
      <c r="AZ125" s="453"/>
      <c r="BA125" s="453"/>
      <c r="BB125" s="502"/>
      <c r="BC125" s="503"/>
      <c r="BD125" s="453"/>
      <c r="BE125" s="453"/>
      <c r="BF125" s="470"/>
      <c r="BG125" s="453"/>
      <c r="BH125" s="453"/>
      <c r="BI125" s="453"/>
      <c r="BJ125" s="453"/>
      <c r="BK125" s="453"/>
      <c r="BL125" s="453"/>
      <c r="BM125" s="502"/>
      <c r="BN125" s="490"/>
      <c r="BO125" s="470"/>
      <c r="BP125" s="490"/>
      <c r="BQ125" s="453"/>
      <c r="BR125" s="502"/>
      <c r="BS125" s="524"/>
      <c r="BT125" s="530"/>
    </row>
    <row r="126" s="435" customFormat="1" ht="18" customHeight="1" spans="1:72">
      <c r="A126" s="451" t="s">
        <v>4033</v>
      </c>
      <c r="B126" s="456">
        <v>43881</v>
      </c>
      <c r="C126" s="526">
        <v>1000004786</v>
      </c>
      <c r="D126" s="451"/>
      <c r="E126" s="457"/>
      <c r="F126" s="453"/>
      <c r="G126" s="453"/>
      <c r="H126" s="453"/>
      <c r="I126" s="453"/>
      <c r="J126" s="453"/>
      <c r="K126" s="453"/>
      <c r="L126" s="453"/>
      <c r="M126" s="453"/>
      <c r="N126" s="453"/>
      <c r="O126" s="453"/>
      <c r="P126" s="453"/>
      <c r="Q126" s="453"/>
      <c r="R126" s="453"/>
      <c r="S126" s="453"/>
      <c r="T126" s="453"/>
      <c r="U126" s="453"/>
      <c r="V126" s="453"/>
      <c r="W126" s="453"/>
      <c r="X126" s="453"/>
      <c r="Y126" s="453"/>
      <c r="Z126" s="489"/>
      <c r="AA126" s="489"/>
      <c r="AB126" s="490"/>
      <c r="AC126" s="453">
        <v>150000</v>
      </c>
      <c r="AD126" s="453"/>
      <c r="AE126" s="453"/>
      <c r="AF126" s="453"/>
      <c r="AG126" s="453"/>
      <c r="AH126" s="529"/>
      <c r="AI126" s="529"/>
      <c r="AJ126" s="529"/>
      <c r="AK126" s="529"/>
      <c r="AL126" s="453"/>
      <c r="AM126" s="453"/>
      <c r="AN126" s="453"/>
      <c r="AO126" s="453"/>
      <c r="AP126" s="529"/>
      <c r="AQ126" s="529"/>
      <c r="AR126" s="529"/>
      <c r="AS126" s="529"/>
      <c r="AT126" s="529"/>
      <c r="AU126" s="529"/>
      <c r="AV126" s="453"/>
      <c r="AW126" s="453"/>
      <c r="AX126" s="453"/>
      <c r="AY126" s="453"/>
      <c r="AZ126" s="453"/>
      <c r="BA126" s="453"/>
      <c r="BB126" s="502"/>
      <c r="BC126" s="503"/>
      <c r="BD126" s="453"/>
      <c r="BE126" s="453"/>
      <c r="BF126" s="470"/>
      <c r="BG126" s="453"/>
      <c r="BH126" s="453"/>
      <c r="BI126" s="453"/>
      <c r="BJ126" s="453"/>
      <c r="BK126" s="453"/>
      <c r="BL126" s="453"/>
      <c r="BM126" s="502"/>
      <c r="BN126" s="490"/>
      <c r="BO126" s="470"/>
      <c r="BP126" s="490"/>
      <c r="BQ126" s="453"/>
      <c r="BR126" s="502"/>
      <c r="BS126" s="524"/>
      <c r="BT126" s="530"/>
    </row>
    <row r="127" s="435" customFormat="1" ht="18" customHeight="1" spans="1:72">
      <c r="A127" s="451" t="s">
        <v>4033</v>
      </c>
      <c r="B127" s="456">
        <v>43881</v>
      </c>
      <c r="C127" s="526">
        <v>1000004787</v>
      </c>
      <c r="D127" s="451"/>
      <c r="E127" s="457"/>
      <c r="F127" s="453"/>
      <c r="G127" s="453"/>
      <c r="H127" s="453"/>
      <c r="I127" s="453"/>
      <c r="J127" s="453"/>
      <c r="K127" s="453"/>
      <c r="L127" s="453"/>
      <c r="M127" s="453"/>
      <c r="N127" s="453"/>
      <c r="O127" s="453"/>
      <c r="P127" s="453"/>
      <c r="Q127" s="453"/>
      <c r="R127" s="453"/>
      <c r="S127" s="453"/>
      <c r="T127" s="453"/>
      <c r="U127" s="453"/>
      <c r="V127" s="453"/>
      <c r="W127" s="453"/>
      <c r="X127" s="453"/>
      <c r="Y127" s="453"/>
      <c r="Z127" s="489"/>
      <c r="AA127" s="489"/>
      <c r="AB127" s="490"/>
      <c r="AC127" s="453"/>
      <c r="AD127" s="453"/>
      <c r="AE127" s="453"/>
      <c r="AF127" s="453"/>
      <c r="AG127" s="453"/>
      <c r="AH127" s="529"/>
      <c r="AI127" s="529"/>
      <c r="AJ127" s="529"/>
      <c r="AK127" s="529"/>
      <c r="AL127" s="453"/>
      <c r="AM127" s="453">
        <v>150000</v>
      </c>
      <c r="AN127" s="453"/>
      <c r="AO127" s="453"/>
      <c r="AP127" s="529"/>
      <c r="AQ127" s="529"/>
      <c r="AR127" s="529"/>
      <c r="AS127" s="529"/>
      <c r="AT127" s="529"/>
      <c r="AU127" s="529"/>
      <c r="AV127" s="453"/>
      <c r="AW127" s="453"/>
      <c r="AX127" s="453"/>
      <c r="AY127" s="453"/>
      <c r="AZ127" s="453"/>
      <c r="BA127" s="453"/>
      <c r="BB127" s="502"/>
      <c r="BC127" s="503"/>
      <c r="BD127" s="453"/>
      <c r="BE127" s="453"/>
      <c r="BF127" s="470"/>
      <c r="BG127" s="453"/>
      <c r="BH127" s="453"/>
      <c r="BI127" s="453"/>
      <c r="BJ127" s="453"/>
      <c r="BK127" s="453"/>
      <c r="BL127" s="453"/>
      <c r="BM127" s="502"/>
      <c r="BN127" s="490"/>
      <c r="BO127" s="470"/>
      <c r="BP127" s="490"/>
      <c r="BQ127" s="453"/>
      <c r="BR127" s="502"/>
      <c r="BS127" s="524"/>
      <c r="BT127" s="530"/>
    </row>
    <row r="128" s="435" customFormat="1" ht="18" customHeight="1" spans="1:72">
      <c r="A128" s="451" t="s">
        <v>4033</v>
      </c>
      <c r="B128" s="456">
        <v>43881</v>
      </c>
      <c r="C128" s="526">
        <v>1000004788</v>
      </c>
      <c r="D128" s="451"/>
      <c r="E128" s="457"/>
      <c r="F128" s="453"/>
      <c r="G128" s="453"/>
      <c r="H128" s="453"/>
      <c r="I128" s="453"/>
      <c r="J128" s="453"/>
      <c r="K128" s="453"/>
      <c r="L128" s="453"/>
      <c r="M128" s="453"/>
      <c r="N128" s="453"/>
      <c r="O128" s="453"/>
      <c r="P128" s="453"/>
      <c r="Q128" s="453"/>
      <c r="R128" s="453"/>
      <c r="S128" s="453"/>
      <c r="T128" s="453"/>
      <c r="U128" s="453"/>
      <c r="V128" s="453"/>
      <c r="W128" s="453"/>
      <c r="X128" s="453"/>
      <c r="Y128" s="453"/>
      <c r="Z128" s="489"/>
      <c r="AA128" s="489"/>
      <c r="AB128" s="490"/>
      <c r="AC128" s="453"/>
      <c r="AD128" s="453"/>
      <c r="AE128" s="453"/>
      <c r="AF128" s="453"/>
      <c r="AG128" s="453"/>
      <c r="AH128" s="529"/>
      <c r="AI128" s="529"/>
      <c r="AJ128" s="529"/>
      <c r="AK128" s="529"/>
      <c r="AL128" s="453"/>
      <c r="AM128" s="453"/>
      <c r="AN128" s="453"/>
      <c r="AO128" s="453"/>
      <c r="AP128" s="529"/>
      <c r="AQ128" s="529"/>
      <c r="AR128" s="529"/>
      <c r="AS128" s="529"/>
      <c r="AT128" s="529"/>
      <c r="AU128" s="529"/>
      <c r="AV128" s="453"/>
      <c r="AW128" s="453"/>
      <c r="AX128" s="453"/>
      <c r="AY128" s="453"/>
      <c r="AZ128" s="453"/>
      <c r="BA128" s="453">
        <v>8640</v>
      </c>
      <c r="BB128" s="502"/>
      <c r="BC128" s="503"/>
      <c r="BD128" s="453"/>
      <c r="BE128" s="453"/>
      <c r="BF128" s="470"/>
      <c r="BG128" s="453"/>
      <c r="BH128" s="453"/>
      <c r="BI128" s="453"/>
      <c r="BJ128" s="453"/>
      <c r="BK128" s="453"/>
      <c r="BL128" s="453"/>
      <c r="BM128" s="502"/>
      <c r="BN128" s="490"/>
      <c r="BO128" s="470"/>
      <c r="BP128" s="490"/>
      <c r="BQ128" s="453"/>
      <c r="BR128" s="502"/>
      <c r="BS128" s="524"/>
      <c r="BT128" s="530"/>
    </row>
    <row r="129" s="435" customFormat="1" ht="18" customHeight="1" spans="1:72">
      <c r="A129" s="451" t="s">
        <v>4033</v>
      </c>
      <c r="B129" s="456">
        <v>43881</v>
      </c>
      <c r="C129" s="526">
        <v>1000004789</v>
      </c>
      <c r="D129" s="451"/>
      <c r="E129" s="457"/>
      <c r="F129" s="453"/>
      <c r="G129" s="453"/>
      <c r="H129" s="453"/>
      <c r="I129" s="453"/>
      <c r="J129" s="453"/>
      <c r="K129" s="453"/>
      <c r="L129" s="453"/>
      <c r="M129" s="453"/>
      <c r="N129" s="453"/>
      <c r="O129" s="453"/>
      <c r="P129" s="453"/>
      <c r="Q129" s="453"/>
      <c r="R129" s="453"/>
      <c r="S129" s="453"/>
      <c r="T129" s="453"/>
      <c r="U129" s="453"/>
      <c r="V129" s="453"/>
      <c r="W129" s="453"/>
      <c r="X129" s="453"/>
      <c r="Y129" s="453"/>
      <c r="Z129" s="489"/>
      <c r="AA129" s="489"/>
      <c r="AB129" s="490"/>
      <c r="AC129" s="453"/>
      <c r="AD129" s="453"/>
      <c r="AE129" s="453"/>
      <c r="AF129" s="453"/>
      <c r="AG129" s="453"/>
      <c r="AH129" s="529"/>
      <c r="AI129" s="529"/>
      <c r="AJ129" s="529"/>
      <c r="AK129" s="529"/>
      <c r="AL129" s="453"/>
      <c r="AM129" s="453"/>
      <c r="AN129" s="453"/>
      <c r="AO129" s="453"/>
      <c r="AP129" s="529"/>
      <c r="AQ129" s="529"/>
      <c r="AR129" s="529"/>
      <c r="AS129" s="529"/>
      <c r="AT129" s="529"/>
      <c r="AU129" s="529"/>
      <c r="AV129" s="453"/>
      <c r="AW129" s="453"/>
      <c r="AX129" s="453"/>
      <c r="AY129" s="453"/>
      <c r="AZ129" s="453"/>
      <c r="BA129" s="453"/>
      <c r="BB129" s="502">
        <v>8640</v>
      </c>
      <c r="BC129" s="503"/>
      <c r="BD129" s="453"/>
      <c r="BE129" s="453"/>
      <c r="BF129" s="470"/>
      <c r="BG129" s="453"/>
      <c r="BH129" s="453"/>
      <c r="BI129" s="453"/>
      <c r="BJ129" s="453"/>
      <c r="BK129" s="453"/>
      <c r="BL129" s="453"/>
      <c r="BM129" s="502"/>
      <c r="BN129" s="490"/>
      <c r="BO129" s="470"/>
      <c r="BP129" s="490"/>
      <c r="BQ129" s="453"/>
      <c r="BR129" s="502"/>
      <c r="BS129" s="524"/>
      <c r="BT129" s="530"/>
    </row>
    <row r="130" s="435" customFormat="1" ht="18" customHeight="1" spans="1:72">
      <c r="A130" s="451" t="s">
        <v>4033</v>
      </c>
      <c r="B130" s="456">
        <v>43889</v>
      </c>
      <c r="C130" s="526">
        <v>1000004830</v>
      </c>
      <c r="D130" s="451"/>
      <c r="E130" s="457"/>
      <c r="F130" s="453"/>
      <c r="G130" s="453"/>
      <c r="H130" s="453"/>
      <c r="I130" s="453"/>
      <c r="J130" s="453"/>
      <c r="K130" s="453"/>
      <c r="L130" s="453"/>
      <c r="M130" s="453"/>
      <c r="N130" s="453"/>
      <c r="O130" s="453"/>
      <c r="P130" s="453"/>
      <c r="Q130" s="453"/>
      <c r="R130" s="453"/>
      <c r="S130" s="453"/>
      <c r="T130" s="453"/>
      <c r="U130" s="453"/>
      <c r="V130" s="453"/>
      <c r="W130" s="453"/>
      <c r="X130" s="453"/>
      <c r="Y130" s="453"/>
      <c r="Z130" s="489"/>
      <c r="AA130" s="489"/>
      <c r="AB130" s="490"/>
      <c r="AC130" s="453">
        <v>50000</v>
      </c>
      <c r="AD130" s="453"/>
      <c r="AE130" s="453"/>
      <c r="AF130" s="453"/>
      <c r="AG130" s="453"/>
      <c r="AH130" s="529"/>
      <c r="AI130" s="529"/>
      <c r="AJ130" s="529"/>
      <c r="AK130" s="529"/>
      <c r="AL130" s="453"/>
      <c r="AM130" s="453"/>
      <c r="AN130" s="453"/>
      <c r="AO130" s="453"/>
      <c r="AP130" s="529"/>
      <c r="AQ130" s="529"/>
      <c r="AR130" s="529"/>
      <c r="AS130" s="529"/>
      <c r="AT130" s="529"/>
      <c r="AU130" s="529"/>
      <c r="AV130" s="453"/>
      <c r="AW130" s="453"/>
      <c r="AX130" s="453"/>
      <c r="AY130" s="453"/>
      <c r="AZ130" s="453"/>
      <c r="BA130" s="453"/>
      <c r="BB130" s="502"/>
      <c r="BC130" s="503"/>
      <c r="BD130" s="453"/>
      <c r="BE130" s="453"/>
      <c r="BF130" s="470"/>
      <c r="BG130" s="453"/>
      <c r="BH130" s="453"/>
      <c r="BI130" s="453"/>
      <c r="BJ130" s="453"/>
      <c r="BK130" s="453"/>
      <c r="BL130" s="453"/>
      <c r="BM130" s="502"/>
      <c r="BN130" s="490"/>
      <c r="BO130" s="470"/>
      <c r="BP130" s="490"/>
      <c r="BQ130" s="453"/>
      <c r="BR130" s="502"/>
      <c r="BS130" s="524"/>
      <c r="BT130" s="530"/>
    </row>
    <row r="131" s="435" customFormat="1" ht="18" customHeight="1" spans="1:72">
      <c r="A131" s="451" t="s">
        <v>4033</v>
      </c>
      <c r="B131" s="456">
        <v>43889</v>
      </c>
      <c r="C131" s="526">
        <v>1000004831</v>
      </c>
      <c r="D131" s="451"/>
      <c r="E131" s="457"/>
      <c r="F131" s="453"/>
      <c r="G131" s="453"/>
      <c r="H131" s="453"/>
      <c r="I131" s="453"/>
      <c r="J131" s="453"/>
      <c r="K131" s="453"/>
      <c r="L131" s="453"/>
      <c r="M131" s="453"/>
      <c r="N131" s="453"/>
      <c r="O131" s="453"/>
      <c r="P131" s="453"/>
      <c r="Q131" s="453"/>
      <c r="R131" s="453"/>
      <c r="S131" s="453"/>
      <c r="T131" s="453"/>
      <c r="U131" s="453"/>
      <c r="V131" s="453"/>
      <c r="W131" s="453"/>
      <c r="X131" s="453"/>
      <c r="Y131" s="453"/>
      <c r="Z131" s="489"/>
      <c r="AA131" s="489"/>
      <c r="AB131" s="490"/>
      <c r="AC131" s="453"/>
      <c r="AD131" s="453"/>
      <c r="AE131" s="453"/>
      <c r="AF131" s="453"/>
      <c r="AG131" s="453"/>
      <c r="AH131" s="529"/>
      <c r="AI131" s="529"/>
      <c r="AJ131" s="529"/>
      <c r="AK131" s="529"/>
      <c r="AL131" s="453"/>
      <c r="AM131" s="453">
        <v>120000</v>
      </c>
      <c r="AN131" s="453"/>
      <c r="AO131" s="453"/>
      <c r="AP131" s="529"/>
      <c r="AQ131" s="529"/>
      <c r="AR131" s="529"/>
      <c r="AS131" s="529"/>
      <c r="AT131" s="529"/>
      <c r="AU131" s="529"/>
      <c r="AV131" s="453"/>
      <c r="AW131" s="453"/>
      <c r="AX131" s="453"/>
      <c r="AY131" s="453"/>
      <c r="AZ131" s="453"/>
      <c r="BA131" s="453"/>
      <c r="BB131" s="502"/>
      <c r="BC131" s="503"/>
      <c r="BD131" s="453"/>
      <c r="BE131" s="453"/>
      <c r="BF131" s="470"/>
      <c r="BG131" s="453"/>
      <c r="BH131" s="453"/>
      <c r="BI131" s="453"/>
      <c r="BJ131" s="453"/>
      <c r="BK131" s="453"/>
      <c r="BL131" s="453"/>
      <c r="BM131" s="502"/>
      <c r="BN131" s="490"/>
      <c r="BO131" s="470"/>
      <c r="BP131" s="490"/>
      <c r="BQ131" s="453"/>
      <c r="BR131" s="502"/>
      <c r="BS131" s="524"/>
      <c r="BT131" s="530"/>
    </row>
    <row r="132" s="435" customFormat="1" ht="18" customHeight="1" spans="1:72">
      <c r="A132" s="451" t="s">
        <v>4033</v>
      </c>
      <c r="B132" s="456">
        <v>43889</v>
      </c>
      <c r="C132" s="526">
        <v>1000004832</v>
      </c>
      <c r="D132" s="451"/>
      <c r="E132" s="457"/>
      <c r="F132" s="453"/>
      <c r="G132" s="453"/>
      <c r="H132" s="453"/>
      <c r="I132" s="453">
        <v>5000</v>
      </c>
      <c r="J132" s="453"/>
      <c r="K132" s="453"/>
      <c r="L132" s="453"/>
      <c r="M132" s="453"/>
      <c r="N132" s="453"/>
      <c r="O132" s="453"/>
      <c r="P132" s="453"/>
      <c r="Q132" s="453"/>
      <c r="R132" s="453"/>
      <c r="S132" s="453"/>
      <c r="T132" s="453"/>
      <c r="U132" s="453"/>
      <c r="V132" s="453"/>
      <c r="W132" s="453"/>
      <c r="X132" s="453"/>
      <c r="Y132" s="453"/>
      <c r="Z132" s="489"/>
      <c r="AA132" s="489"/>
      <c r="AB132" s="490"/>
      <c r="AC132" s="453"/>
      <c r="AD132" s="453"/>
      <c r="AE132" s="453"/>
      <c r="AF132" s="453"/>
      <c r="AG132" s="453"/>
      <c r="AH132" s="529"/>
      <c r="AI132" s="529"/>
      <c r="AJ132" s="529"/>
      <c r="AK132" s="529"/>
      <c r="AL132" s="453"/>
      <c r="AM132" s="453"/>
      <c r="AN132" s="453"/>
      <c r="AO132" s="453"/>
      <c r="AP132" s="529"/>
      <c r="AQ132" s="529"/>
      <c r="AR132" s="529"/>
      <c r="AS132" s="529"/>
      <c r="AT132" s="529"/>
      <c r="AU132" s="529"/>
      <c r="AV132" s="453"/>
      <c r="AW132" s="453"/>
      <c r="AX132" s="453"/>
      <c r="AY132" s="453"/>
      <c r="AZ132" s="453"/>
      <c r="BA132" s="453"/>
      <c r="BB132" s="502"/>
      <c r="BC132" s="503"/>
      <c r="BD132" s="453"/>
      <c r="BE132" s="453"/>
      <c r="BF132" s="470"/>
      <c r="BG132" s="453"/>
      <c r="BH132" s="453"/>
      <c r="BI132" s="453"/>
      <c r="BJ132" s="453"/>
      <c r="BK132" s="453"/>
      <c r="BL132" s="453"/>
      <c r="BM132" s="502"/>
      <c r="BN132" s="490"/>
      <c r="BO132" s="470"/>
      <c r="BP132" s="490"/>
      <c r="BQ132" s="453"/>
      <c r="BR132" s="502"/>
      <c r="BS132" s="524"/>
      <c r="BT132" s="530"/>
    </row>
    <row r="133" s="435" customFormat="1" ht="18" customHeight="1" spans="1:72">
      <c r="A133" s="451" t="s">
        <v>4033</v>
      </c>
      <c r="B133" s="456">
        <v>43889</v>
      </c>
      <c r="C133" s="526">
        <v>1000004833</v>
      </c>
      <c r="D133" s="451"/>
      <c r="E133" s="457"/>
      <c r="F133" s="453"/>
      <c r="G133" s="453"/>
      <c r="H133" s="453"/>
      <c r="I133" s="453"/>
      <c r="J133" s="453">
        <v>7000</v>
      </c>
      <c r="K133" s="453"/>
      <c r="L133" s="453"/>
      <c r="M133" s="453"/>
      <c r="N133" s="453"/>
      <c r="O133" s="453"/>
      <c r="P133" s="453"/>
      <c r="Q133" s="453"/>
      <c r="R133" s="453"/>
      <c r="S133" s="453"/>
      <c r="T133" s="453"/>
      <c r="U133" s="453"/>
      <c r="V133" s="453"/>
      <c r="W133" s="453"/>
      <c r="X133" s="453"/>
      <c r="Y133" s="453"/>
      <c r="Z133" s="489"/>
      <c r="AA133" s="489"/>
      <c r="AB133" s="490"/>
      <c r="AC133" s="453"/>
      <c r="AD133" s="453"/>
      <c r="AE133" s="453"/>
      <c r="AF133" s="453"/>
      <c r="AG133" s="453"/>
      <c r="AH133" s="529"/>
      <c r="AI133" s="529"/>
      <c r="AJ133" s="529"/>
      <c r="AK133" s="529"/>
      <c r="AL133" s="453"/>
      <c r="AM133" s="453"/>
      <c r="AN133" s="453"/>
      <c r="AO133" s="453"/>
      <c r="AP133" s="529"/>
      <c r="AQ133" s="529"/>
      <c r="AR133" s="529"/>
      <c r="AS133" s="529"/>
      <c r="AT133" s="529"/>
      <c r="AU133" s="529"/>
      <c r="AV133" s="453"/>
      <c r="AW133" s="453"/>
      <c r="AX133" s="453"/>
      <c r="AY133" s="453"/>
      <c r="AZ133" s="453"/>
      <c r="BA133" s="453"/>
      <c r="BB133" s="502"/>
      <c r="BC133" s="503"/>
      <c r="BD133" s="453"/>
      <c r="BE133" s="453"/>
      <c r="BF133" s="470"/>
      <c r="BG133" s="453"/>
      <c r="BH133" s="453"/>
      <c r="BI133" s="453"/>
      <c r="BJ133" s="453"/>
      <c r="BK133" s="453"/>
      <c r="BL133" s="453"/>
      <c r="BM133" s="502"/>
      <c r="BN133" s="490"/>
      <c r="BO133" s="470"/>
      <c r="BP133" s="490"/>
      <c r="BQ133" s="453"/>
      <c r="BR133" s="502"/>
      <c r="BS133" s="524"/>
      <c r="BT133" s="530"/>
    </row>
    <row r="134" s="435" customFormat="1" ht="18" customHeight="1" spans="1:72">
      <c r="A134" s="451" t="s">
        <v>4033</v>
      </c>
      <c r="B134" s="456">
        <v>43889</v>
      </c>
      <c r="C134" s="526">
        <v>1000004834</v>
      </c>
      <c r="D134" s="451"/>
      <c r="E134" s="457"/>
      <c r="F134" s="453"/>
      <c r="G134" s="453"/>
      <c r="H134" s="453"/>
      <c r="I134" s="453"/>
      <c r="J134" s="453"/>
      <c r="K134" s="453">
        <v>7000</v>
      </c>
      <c r="L134" s="453"/>
      <c r="M134" s="453"/>
      <c r="N134" s="453"/>
      <c r="O134" s="453"/>
      <c r="P134" s="453"/>
      <c r="Q134" s="453"/>
      <c r="R134" s="453"/>
      <c r="S134" s="453"/>
      <c r="T134" s="453"/>
      <c r="U134" s="453"/>
      <c r="V134" s="453"/>
      <c r="W134" s="453"/>
      <c r="X134" s="453"/>
      <c r="Y134" s="453"/>
      <c r="Z134" s="489"/>
      <c r="AA134" s="489"/>
      <c r="AB134" s="490"/>
      <c r="AC134" s="453"/>
      <c r="AD134" s="453"/>
      <c r="AE134" s="453"/>
      <c r="AF134" s="453"/>
      <c r="AG134" s="453"/>
      <c r="AH134" s="529"/>
      <c r="AI134" s="529"/>
      <c r="AJ134" s="529"/>
      <c r="AK134" s="529"/>
      <c r="AL134" s="453"/>
      <c r="AM134" s="453"/>
      <c r="AN134" s="453"/>
      <c r="AO134" s="453"/>
      <c r="AP134" s="529"/>
      <c r="AQ134" s="529"/>
      <c r="AR134" s="529"/>
      <c r="AS134" s="529"/>
      <c r="AT134" s="529"/>
      <c r="AU134" s="529"/>
      <c r="AV134" s="453"/>
      <c r="AW134" s="453"/>
      <c r="AX134" s="453"/>
      <c r="AY134" s="453"/>
      <c r="AZ134" s="453"/>
      <c r="BA134" s="453"/>
      <c r="BB134" s="502"/>
      <c r="BC134" s="503"/>
      <c r="BD134" s="453"/>
      <c r="BE134" s="453"/>
      <c r="BF134" s="470"/>
      <c r="BG134" s="453"/>
      <c r="BH134" s="453"/>
      <c r="BI134" s="453"/>
      <c r="BJ134" s="453"/>
      <c r="BK134" s="453"/>
      <c r="BL134" s="453"/>
      <c r="BM134" s="502"/>
      <c r="BN134" s="490"/>
      <c r="BO134" s="470"/>
      <c r="BP134" s="490"/>
      <c r="BQ134" s="453"/>
      <c r="BR134" s="502"/>
      <c r="BS134" s="524"/>
      <c r="BT134" s="530"/>
    </row>
    <row r="135" s="435" customFormat="1" ht="18" customHeight="1" spans="1:72">
      <c r="A135" s="451" t="s">
        <v>4033</v>
      </c>
      <c r="B135" s="456">
        <v>43889</v>
      </c>
      <c r="C135" s="526">
        <v>1000004835</v>
      </c>
      <c r="D135" s="451"/>
      <c r="E135" s="457"/>
      <c r="F135" s="453"/>
      <c r="G135" s="453"/>
      <c r="H135" s="453"/>
      <c r="I135" s="453"/>
      <c r="J135" s="453"/>
      <c r="K135" s="453"/>
      <c r="L135" s="453"/>
      <c r="M135" s="453"/>
      <c r="N135" s="453"/>
      <c r="O135" s="453"/>
      <c r="P135" s="453"/>
      <c r="Q135" s="453"/>
      <c r="R135" s="453">
        <v>25000</v>
      </c>
      <c r="S135" s="453"/>
      <c r="T135" s="453"/>
      <c r="U135" s="453"/>
      <c r="V135" s="453"/>
      <c r="W135" s="453"/>
      <c r="X135" s="453"/>
      <c r="Y135" s="453"/>
      <c r="Z135" s="489"/>
      <c r="AA135" s="489"/>
      <c r="AB135" s="490"/>
      <c r="AC135" s="453"/>
      <c r="AD135" s="453"/>
      <c r="AE135" s="453"/>
      <c r="AF135" s="453"/>
      <c r="AG135" s="453"/>
      <c r="AH135" s="529"/>
      <c r="AI135" s="529"/>
      <c r="AJ135" s="529"/>
      <c r="AK135" s="529"/>
      <c r="AL135" s="453"/>
      <c r="AM135" s="453"/>
      <c r="AN135" s="453"/>
      <c r="AO135" s="453"/>
      <c r="AP135" s="529"/>
      <c r="AQ135" s="529"/>
      <c r="AR135" s="529"/>
      <c r="AS135" s="529"/>
      <c r="AT135" s="529"/>
      <c r="AU135" s="529"/>
      <c r="AV135" s="453"/>
      <c r="AW135" s="453"/>
      <c r="AX135" s="453"/>
      <c r="AY135" s="453"/>
      <c r="AZ135" s="453"/>
      <c r="BA135" s="453"/>
      <c r="BB135" s="502"/>
      <c r="BC135" s="503"/>
      <c r="BD135" s="453"/>
      <c r="BE135" s="453"/>
      <c r="BF135" s="470"/>
      <c r="BG135" s="453"/>
      <c r="BH135" s="453"/>
      <c r="BI135" s="453"/>
      <c r="BJ135" s="453"/>
      <c r="BK135" s="453"/>
      <c r="BL135" s="453"/>
      <c r="BM135" s="502"/>
      <c r="BN135" s="490"/>
      <c r="BO135" s="470"/>
      <c r="BP135" s="490"/>
      <c r="BQ135" s="453"/>
      <c r="BR135" s="502"/>
      <c r="BS135" s="524"/>
      <c r="BT135" s="530"/>
    </row>
    <row r="136" s="435" customFormat="1" ht="18" customHeight="1" spans="1:72">
      <c r="A136" s="451" t="s">
        <v>4033</v>
      </c>
      <c r="B136" s="456">
        <v>43902</v>
      </c>
      <c r="C136" s="526">
        <v>1000004856</v>
      </c>
      <c r="D136" s="451"/>
      <c r="E136" s="457"/>
      <c r="F136" s="453"/>
      <c r="G136" s="453"/>
      <c r="H136" s="453"/>
      <c r="I136" s="453"/>
      <c r="J136" s="453"/>
      <c r="K136" s="453"/>
      <c r="L136" s="453"/>
      <c r="M136" s="453"/>
      <c r="N136" s="453"/>
      <c r="O136" s="453"/>
      <c r="P136" s="453"/>
      <c r="Q136" s="453"/>
      <c r="R136" s="453"/>
      <c r="S136" s="453"/>
      <c r="T136" s="453"/>
      <c r="U136" s="453"/>
      <c r="V136" s="453"/>
      <c r="W136" s="453"/>
      <c r="X136" s="453"/>
      <c r="Y136" s="453"/>
      <c r="Z136" s="489"/>
      <c r="AA136" s="489"/>
      <c r="AB136" s="490"/>
      <c r="AC136" s="453">
        <v>20000</v>
      </c>
      <c r="AD136" s="453"/>
      <c r="AE136" s="453"/>
      <c r="AF136" s="453"/>
      <c r="AG136" s="453"/>
      <c r="AH136" s="529"/>
      <c r="AI136" s="529"/>
      <c r="AJ136" s="529"/>
      <c r="AK136" s="529"/>
      <c r="AL136" s="453"/>
      <c r="AM136" s="453"/>
      <c r="AN136" s="453"/>
      <c r="AO136" s="453"/>
      <c r="AP136" s="529"/>
      <c r="AQ136" s="529"/>
      <c r="AR136" s="529"/>
      <c r="AS136" s="529"/>
      <c r="AT136" s="529"/>
      <c r="AU136" s="529"/>
      <c r="AV136" s="453"/>
      <c r="AW136" s="453"/>
      <c r="AX136" s="453"/>
      <c r="AY136" s="453"/>
      <c r="AZ136" s="453"/>
      <c r="BA136" s="453"/>
      <c r="BB136" s="502"/>
      <c r="BC136" s="503"/>
      <c r="BD136" s="453"/>
      <c r="BE136" s="453"/>
      <c r="BF136" s="470"/>
      <c r="BG136" s="453"/>
      <c r="BH136" s="453"/>
      <c r="BI136" s="453"/>
      <c r="BJ136" s="453"/>
      <c r="BK136" s="453"/>
      <c r="BL136" s="453"/>
      <c r="BM136" s="502"/>
      <c r="BN136" s="490"/>
      <c r="BO136" s="470"/>
      <c r="BP136" s="490"/>
      <c r="BQ136" s="453"/>
      <c r="BR136" s="502"/>
      <c r="BS136" s="524"/>
      <c r="BT136" s="530"/>
    </row>
    <row r="137" s="435" customFormat="1" ht="18" customHeight="1" spans="1:72">
      <c r="A137" s="451" t="s">
        <v>4033</v>
      </c>
      <c r="B137" s="456">
        <v>43902</v>
      </c>
      <c r="C137" s="526">
        <v>1000004857</v>
      </c>
      <c r="D137" s="451"/>
      <c r="E137" s="457"/>
      <c r="F137" s="453"/>
      <c r="G137" s="453"/>
      <c r="H137" s="453"/>
      <c r="I137" s="453"/>
      <c r="J137" s="453"/>
      <c r="K137" s="453"/>
      <c r="L137" s="453"/>
      <c r="M137" s="453"/>
      <c r="N137" s="453"/>
      <c r="O137" s="453"/>
      <c r="P137" s="453"/>
      <c r="Q137" s="453"/>
      <c r="R137" s="453"/>
      <c r="S137" s="453"/>
      <c r="T137" s="453"/>
      <c r="U137" s="453"/>
      <c r="V137" s="453"/>
      <c r="W137" s="453"/>
      <c r="X137" s="453"/>
      <c r="Y137" s="453"/>
      <c r="Z137" s="489"/>
      <c r="AA137" s="489"/>
      <c r="AB137" s="490"/>
      <c r="AC137" s="453"/>
      <c r="AD137" s="453"/>
      <c r="AE137" s="453"/>
      <c r="AF137" s="453"/>
      <c r="AG137" s="453"/>
      <c r="AH137" s="529"/>
      <c r="AI137" s="529"/>
      <c r="AJ137" s="529"/>
      <c r="AK137" s="529"/>
      <c r="AL137" s="453"/>
      <c r="AM137" s="453">
        <v>60000</v>
      </c>
      <c r="AN137" s="453"/>
      <c r="AO137" s="453"/>
      <c r="AP137" s="529"/>
      <c r="AQ137" s="529"/>
      <c r="AR137" s="529"/>
      <c r="AS137" s="529"/>
      <c r="AT137" s="529"/>
      <c r="AU137" s="529"/>
      <c r="AV137" s="453"/>
      <c r="AW137" s="453"/>
      <c r="AX137" s="453"/>
      <c r="AY137" s="453"/>
      <c r="AZ137" s="453"/>
      <c r="BA137" s="453"/>
      <c r="BB137" s="502"/>
      <c r="BC137" s="503"/>
      <c r="BD137" s="453"/>
      <c r="BE137" s="453"/>
      <c r="BF137" s="470"/>
      <c r="BG137" s="453"/>
      <c r="BH137" s="453"/>
      <c r="BI137" s="453"/>
      <c r="BJ137" s="453"/>
      <c r="BK137" s="453"/>
      <c r="BL137" s="453"/>
      <c r="BM137" s="502"/>
      <c r="BN137" s="490"/>
      <c r="BO137" s="470"/>
      <c r="BP137" s="490"/>
      <c r="BQ137" s="453"/>
      <c r="BR137" s="502"/>
      <c r="BS137" s="524"/>
      <c r="BT137" s="530"/>
    </row>
    <row r="138" s="435" customFormat="1" ht="18" customHeight="1" spans="1:72">
      <c r="A138" s="451" t="s">
        <v>4033</v>
      </c>
      <c r="B138" s="456">
        <v>43917</v>
      </c>
      <c r="C138" s="526">
        <v>1000004941</v>
      </c>
      <c r="D138" s="451"/>
      <c r="E138" s="457"/>
      <c r="F138" s="453"/>
      <c r="G138" s="453"/>
      <c r="H138" s="453"/>
      <c r="I138" s="453"/>
      <c r="J138" s="453"/>
      <c r="K138" s="453"/>
      <c r="L138" s="453"/>
      <c r="M138" s="453"/>
      <c r="N138" s="453"/>
      <c r="O138" s="453"/>
      <c r="P138" s="453"/>
      <c r="Q138" s="453"/>
      <c r="R138" s="453"/>
      <c r="S138" s="453"/>
      <c r="T138" s="453"/>
      <c r="U138" s="453"/>
      <c r="V138" s="453"/>
      <c r="W138" s="453"/>
      <c r="X138" s="453"/>
      <c r="Y138" s="453"/>
      <c r="Z138" s="489"/>
      <c r="AA138" s="489"/>
      <c r="AB138" s="490"/>
      <c r="AC138" s="453"/>
      <c r="AD138" s="453"/>
      <c r="AE138" s="453"/>
      <c r="AF138" s="453"/>
      <c r="AG138" s="453"/>
      <c r="AH138" s="529">
        <v>10000</v>
      </c>
      <c r="AI138" s="529"/>
      <c r="AJ138" s="529"/>
      <c r="AK138" s="529"/>
      <c r="AL138" s="453"/>
      <c r="AM138" s="453"/>
      <c r="AN138" s="453"/>
      <c r="AO138" s="453"/>
      <c r="AP138" s="529"/>
      <c r="AQ138" s="529"/>
      <c r="AR138" s="529"/>
      <c r="AS138" s="529"/>
      <c r="AT138" s="529"/>
      <c r="AU138" s="529"/>
      <c r="AV138" s="453"/>
      <c r="AW138" s="453"/>
      <c r="AX138" s="453"/>
      <c r="AY138" s="453"/>
      <c r="AZ138" s="453"/>
      <c r="BA138" s="453"/>
      <c r="BB138" s="502"/>
      <c r="BC138" s="503"/>
      <c r="BD138" s="453"/>
      <c r="BE138" s="453"/>
      <c r="BF138" s="470"/>
      <c r="BG138" s="453"/>
      <c r="BH138" s="453"/>
      <c r="BI138" s="453"/>
      <c r="BJ138" s="453"/>
      <c r="BK138" s="453"/>
      <c r="BL138" s="453"/>
      <c r="BM138" s="502"/>
      <c r="BN138" s="490"/>
      <c r="BO138" s="470"/>
      <c r="BP138" s="490"/>
      <c r="BQ138" s="453"/>
      <c r="BR138" s="502"/>
      <c r="BS138" s="524"/>
      <c r="BT138" s="530"/>
    </row>
    <row r="139" s="435" customFormat="1" ht="18" customHeight="1" spans="1:72">
      <c r="A139" s="451" t="s">
        <v>4033</v>
      </c>
      <c r="B139" s="456">
        <v>43917</v>
      </c>
      <c r="C139" s="526">
        <v>1000004942</v>
      </c>
      <c r="D139" s="451"/>
      <c r="E139" s="457"/>
      <c r="F139" s="453"/>
      <c r="G139" s="453"/>
      <c r="H139" s="453"/>
      <c r="I139" s="453"/>
      <c r="J139" s="453"/>
      <c r="K139" s="453"/>
      <c r="L139" s="453"/>
      <c r="M139" s="453"/>
      <c r="N139" s="453"/>
      <c r="O139" s="453"/>
      <c r="P139" s="453"/>
      <c r="Q139" s="453"/>
      <c r="R139" s="453"/>
      <c r="S139" s="453"/>
      <c r="T139" s="453"/>
      <c r="U139" s="453"/>
      <c r="V139" s="453"/>
      <c r="W139" s="453"/>
      <c r="X139" s="453"/>
      <c r="Y139" s="453"/>
      <c r="Z139" s="489"/>
      <c r="AA139" s="489"/>
      <c r="AB139" s="490"/>
      <c r="AC139" s="453"/>
      <c r="AD139" s="453"/>
      <c r="AE139" s="453"/>
      <c r="AF139" s="453"/>
      <c r="AG139" s="453"/>
      <c r="AH139" s="529"/>
      <c r="AI139" s="529"/>
      <c r="AJ139" s="529"/>
      <c r="AK139" s="529"/>
      <c r="AL139" s="453"/>
      <c r="AM139" s="453"/>
      <c r="AN139" s="453"/>
      <c r="AO139" s="453"/>
      <c r="AP139" s="529"/>
      <c r="AQ139" s="529">
        <v>10000</v>
      </c>
      <c r="AR139" s="529"/>
      <c r="AS139" s="529"/>
      <c r="AT139" s="529"/>
      <c r="AU139" s="529"/>
      <c r="AV139" s="453"/>
      <c r="AW139" s="453"/>
      <c r="AX139" s="453"/>
      <c r="AY139" s="453"/>
      <c r="AZ139" s="453"/>
      <c r="BA139" s="453"/>
      <c r="BB139" s="502"/>
      <c r="BC139" s="503"/>
      <c r="BD139" s="453"/>
      <c r="BE139" s="453"/>
      <c r="BF139" s="470"/>
      <c r="BG139" s="453"/>
      <c r="BH139" s="453"/>
      <c r="BI139" s="453"/>
      <c r="BJ139" s="453"/>
      <c r="BK139" s="453"/>
      <c r="BL139" s="453"/>
      <c r="BM139" s="502"/>
      <c r="BN139" s="490"/>
      <c r="BO139" s="470"/>
      <c r="BP139" s="490"/>
      <c r="BQ139" s="453"/>
      <c r="BR139" s="502"/>
      <c r="BS139" s="524"/>
      <c r="BT139" s="530"/>
    </row>
    <row r="140" s="435" customFormat="1" ht="18" customHeight="1" spans="1:72">
      <c r="A140" s="451" t="s">
        <v>4033</v>
      </c>
      <c r="B140" s="456">
        <v>43951</v>
      </c>
      <c r="C140" s="460">
        <v>1000005094</v>
      </c>
      <c r="D140" s="451"/>
      <c r="E140" s="457"/>
      <c r="F140" s="453"/>
      <c r="G140" s="453"/>
      <c r="H140" s="453"/>
      <c r="I140" s="453">
        <v>5000</v>
      </c>
      <c r="J140" s="453"/>
      <c r="K140" s="453"/>
      <c r="L140" s="453"/>
      <c r="M140" s="453"/>
      <c r="N140" s="453"/>
      <c r="O140" s="453"/>
      <c r="P140" s="453"/>
      <c r="Q140" s="453"/>
      <c r="R140" s="453"/>
      <c r="S140" s="453"/>
      <c r="T140" s="453"/>
      <c r="U140" s="453"/>
      <c r="V140" s="453"/>
      <c r="W140" s="453"/>
      <c r="X140" s="453"/>
      <c r="Y140" s="453"/>
      <c r="Z140" s="489"/>
      <c r="AA140" s="489"/>
      <c r="AB140" s="490"/>
      <c r="AC140" s="453"/>
      <c r="AD140" s="453"/>
      <c r="AE140" s="453"/>
      <c r="AF140" s="453"/>
      <c r="AG140" s="453"/>
      <c r="AH140" s="529"/>
      <c r="AI140" s="529"/>
      <c r="AJ140" s="529"/>
      <c r="AK140" s="529"/>
      <c r="AL140" s="453"/>
      <c r="AM140" s="453"/>
      <c r="AN140" s="453"/>
      <c r="AO140" s="453"/>
      <c r="AP140" s="529"/>
      <c r="AQ140" s="529"/>
      <c r="AR140" s="529"/>
      <c r="AS140" s="529"/>
      <c r="AT140" s="529"/>
      <c r="AU140" s="529"/>
      <c r="AV140" s="453"/>
      <c r="AW140" s="453"/>
      <c r="AX140" s="453"/>
      <c r="AY140" s="453"/>
      <c r="AZ140" s="453"/>
      <c r="BA140" s="453"/>
      <c r="BB140" s="502"/>
      <c r="BC140" s="503"/>
      <c r="BD140" s="453"/>
      <c r="BE140" s="453"/>
      <c r="BF140" s="470"/>
      <c r="BG140" s="453"/>
      <c r="BH140" s="453"/>
      <c r="BI140" s="453"/>
      <c r="BJ140" s="453"/>
      <c r="BK140" s="453"/>
      <c r="BL140" s="453"/>
      <c r="BM140" s="502"/>
      <c r="BN140" s="490"/>
      <c r="BO140" s="470"/>
      <c r="BP140" s="490"/>
      <c r="BQ140" s="453"/>
      <c r="BR140" s="502"/>
      <c r="BS140" s="524"/>
      <c r="BT140" s="530"/>
    </row>
    <row r="141" s="435" customFormat="1" ht="18" customHeight="1" spans="1:72">
      <c r="A141" s="451" t="s">
        <v>4033</v>
      </c>
      <c r="B141" s="456">
        <v>43951</v>
      </c>
      <c r="C141" s="531">
        <v>1000005095</v>
      </c>
      <c r="D141" s="451"/>
      <c r="E141" s="457"/>
      <c r="F141" s="453"/>
      <c r="G141" s="453"/>
      <c r="H141" s="453"/>
      <c r="I141" s="453"/>
      <c r="J141" s="453">
        <v>5000</v>
      </c>
      <c r="K141" s="453"/>
      <c r="L141" s="453"/>
      <c r="M141" s="453"/>
      <c r="N141" s="453"/>
      <c r="O141" s="453"/>
      <c r="P141" s="453"/>
      <c r="Q141" s="453"/>
      <c r="R141" s="453"/>
      <c r="S141" s="453"/>
      <c r="T141" s="453"/>
      <c r="U141" s="453"/>
      <c r="V141" s="453"/>
      <c r="W141" s="453"/>
      <c r="X141" s="453"/>
      <c r="Y141" s="453"/>
      <c r="Z141" s="489"/>
      <c r="AA141" s="489"/>
      <c r="AB141" s="490"/>
      <c r="AC141" s="453"/>
      <c r="AD141" s="453"/>
      <c r="AE141" s="453"/>
      <c r="AF141" s="453"/>
      <c r="AG141" s="453"/>
      <c r="AH141" s="529"/>
      <c r="AI141" s="529"/>
      <c r="AJ141" s="529"/>
      <c r="AK141" s="529"/>
      <c r="AL141" s="453"/>
      <c r="AM141" s="453"/>
      <c r="AN141" s="453"/>
      <c r="AO141" s="453"/>
      <c r="AP141" s="529"/>
      <c r="AQ141" s="529"/>
      <c r="AR141" s="529"/>
      <c r="AS141" s="529"/>
      <c r="AT141" s="529"/>
      <c r="AU141" s="529"/>
      <c r="AV141" s="453"/>
      <c r="AW141" s="453"/>
      <c r="AX141" s="453"/>
      <c r="AY141" s="453"/>
      <c r="AZ141" s="453"/>
      <c r="BA141" s="453"/>
      <c r="BB141" s="502"/>
      <c r="BC141" s="503"/>
      <c r="BD141" s="453"/>
      <c r="BE141" s="453"/>
      <c r="BF141" s="470"/>
      <c r="BG141" s="453"/>
      <c r="BH141" s="453"/>
      <c r="BI141" s="453"/>
      <c r="BJ141" s="453"/>
      <c r="BK141" s="453"/>
      <c r="BL141" s="453"/>
      <c r="BM141" s="502"/>
      <c r="BN141" s="490"/>
      <c r="BO141" s="470"/>
      <c r="BP141" s="490"/>
      <c r="BQ141" s="453"/>
      <c r="BR141" s="502"/>
      <c r="BS141" s="524"/>
      <c r="BT141" s="530"/>
    </row>
    <row r="142" s="435" customFormat="1" ht="18" customHeight="1" spans="1:72">
      <c r="A142" s="451" t="s">
        <v>4033</v>
      </c>
      <c r="B142" s="456">
        <v>43951</v>
      </c>
      <c r="C142" s="531">
        <v>1000005096</v>
      </c>
      <c r="D142" s="451"/>
      <c r="E142" s="457"/>
      <c r="F142" s="453"/>
      <c r="G142" s="453"/>
      <c r="H142" s="453"/>
      <c r="I142" s="453"/>
      <c r="J142" s="453"/>
      <c r="K142" s="453">
        <v>5000</v>
      </c>
      <c r="L142" s="453"/>
      <c r="M142" s="453"/>
      <c r="N142" s="453"/>
      <c r="O142" s="453"/>
      <c r="P142" s="453"/>
      <c r="Q142" s="453"/>
      <c r="R142" s="453"/>
      <c r="S142" s="453"/>
      <c r="T142" s="453"/>
      <c r="U142" s="453"/>
      <c r="V142" s="453"/>
      <c r="W142" s="453"/>
      <c r="X142" s="453"/>
      <c r="Y142" s="453"/>
      <c r="Z142" s="489"/>
      <c r="AA142" s="489"/>
      <c r="AB142" s="490"/>
      <c r="AC142" s="453"/>
      <c r="AD142" s="453"/>
      <c r="AE142" s="453"/>
      <c r="AF142" s="453"/>
      <c r="AG142" s="453"/>
      <c r="AH142" s="529"/>
      <c r="AI142" s="529"/>
      <c r="AJ142" s="529"/>
      <c r="AK142" s="529"/>
      <c r="AL142" s="453"/>
      <c r="AM142" s="453"/>
      <c r="AN142" s="453"/>
      <c r="AO142" s="453"/>
      <c r="AP142" s="529"/>
      <c r="AQ142" s="529"/>
      <c r="AR142" s="529"/>
      <c r="AS142" s="529"/>
      <c r="AT142" s="529"/>
      <c r="AU142" s="529"/>
      <c r="AV142" s="453"/>
      <c r="AW142" s="453"/>
      <c r="AX142" s="453"/>
      <c r="AY142" s="453"/>
      <c r="AZ142" s="453"/>
      <c r="BA142" s="453"/>
      <c r="BB142" s="502"/>
      <c r="BC142" s="503"/>
      <c r="BD142" s="453"/>
      <c r="BE142" s="453"/>
      <c r="BF142" s="470"/>
      <c r="BG142" s="453"/>
      <c r="BH142" s="453"/>
      <c r="BI142" s="453"/>
      <c r="BJ142" s="453"/>
      <c r="BK142" s="453"/>
      <c r="BL142" s="453"/>
      <c r="BM142" s="502"/>
      <c r="BN142" s="490"/>
      <c r="BO142" s="470"/>
      <c r="BP142" s="490"/>
      <c r="BQ142" s="453"/>
      <c r="BR142" s="502"/>
      <c r="BS142" s="524"/>
      <c r="BT142" s="530"/>
    </row>
    <row r="143" s="435" customFormat="1" ht="18" customHeight="1" spans="1:72">
      <c r="A143" s="451" t="s">
        <v>4033</v>
      </c>
      <c r="B143" s="456">
        <v>43951</v>
      </c>
      <c r="C143" s="459">
        <v>1000005097</v>
      </c>
      <c r="D143" s="451"/>
      <c r="E143" s="457"/>
      <c r="F143" s="453"/>
      <c r="G143" s="453"/>
      <c r="H143" s="453"/>
      <c r="I143" s="453"/>
      <c r="J143" s="453"/>
      <c r="K143" s="453"/>
      <c r="L143" s="453"/>
      <c r="M143" s="453"/>
      <c r="N143" s="453"/>
      <c r="O143" s="453"/>
      <c r="P143" s="453"/>
      <c r="Q143" s="453"/>
      <c r="R143" s="453">
        <v>10000</v>
      </c>
      <c r="S143" s="453"/>
      <c r="T143" s="453"/>
      <c r="U143" s="453"/>
      <c r="V143" s="453"/>
      <c r="W143" s="453"/>
      <c r="X143" s="453"/>
      <c r="Y143" s="453"/>
      <c r="Z143" s="489"/>
      <c r="AA143" s="489"/>
      <c r="AB143" s="490"/>
      <c r="AC143" s="453"/>
      <c r="AD143" s="453"/>
      <c r="AE143" s="453"/>
      <c r="AF143" s="453"/>
      <c r="AG143" s="453"/>
      <c r="AH143" s="529"/>
      <c r="AI143" s="529"/>
      <c r="AJ143" s="529"/>
      <c r="AK143" s="529"/>
      <c r="AL143" s="453"/>
      <c r="AM143" s="453"/>
      <c r="AN143" s="453"/>
      <c r="AO143" s="453"/>
      <c r="AP143" s="529"/>
      <c r="AQ143" s="529"/>
      <c r="AR143" s="529"/>
      <c r="AS143" s="529"/>
      <c r="AT143" s="529"/>
      <c r="AU143" s="529"/>
      <c r="AV143" s="453"/>
      <c r="AW143" s="453"/>
      <c r="AX143" s="453"/>
      <c r="AY143" s="453"/>
      <c r="AZ143" s="453"/>
      <c r="BA143" s="453"/>
      <c r="BB143" s="502"/>
      <c r="BC143" s="503"/>
      <c r="BD143" s="453"/>
      <c r="BE143" s="453"/>
      <c r="BF143" s="470"/>
      <c r="BG143" s="453"/>
      <c r="BH143" s="453"/>
      <c r="BI143" s="453"/>
      <c r="BJ143" s="453"/>
      <c r="BK143" s="453"/>
      <c r="BL143" s="453"/>
      <c r="BM143" s="502"/>
      <c r="BN143" s="490"/>
      <c r="BO143" s="470"/>
      <c r="BP143" s="490"/>
      <c r="BQ143" s="453"/>
      <c r="BR143" s="502"/>
      <c r="BS143" s="524"/>
      <c r="BT143" s="530"/>
    </row>
    <row r="144" s="435" customFormat="1" ht="18" customHeight="1" spans="1:72">
      <c r="A144" s="451" t="s">
        <v>4033</v>
      </c>
      <c r="B144" s="456">
        <v>43960</v>
      </c>
      <c r="C144" s="459">
        <v>1000005142</v>
      </c>
      <c r="D144" s="451"/>
      <c r="E144" s="457"/>
      <c r="F144" s="453"/>
      <c r="G144" s="453"/>
      <c r="H144" s="453"/>
      <c r="I144" s="453"/>
      <c r="J144" s="453"/>
      <c r="K144" s="453"/>
      <c r="L144" s="453"/>
      <c r="M144" s="453"/>
      <c r="N144" s="453"/>
      <c r="O144" s="453"/>
      <c r="P144" s="453"/>
      <c r="Q144" s="453"/>
      <c r="R144" s="453"/>
      <c r="S144" s="453"/>
      <c r="T144" s="453"/>
      <c r="U144" s="453"/>
      <c r="V144" s="453"/>
      <c r="W144" s="453"/>
      <c r="X144" s="453"/>
      <c r="Y144" s="453"/>
      <c r="Z144" s="489"/>
      <c r="AA144" s="489"/>
      <c r="AB144" s="490"/>
      <c r="AC144" s="453"/>
      <c r="AD144" s="453"/>
      <c r="AE144" s="453"/>
      <c r="AF144" s="453"/>
      <c r="AG144" s="453"/>
      <c r="AH144" s="529"/>
      <c r="AI144" s="529"/>
      <c r="AJ144" s="529"/>
      <c r="AK144" s="529"/>
      <c r="AL144" s="453"/>
      <c r="AM144" s="453"/>
      <c r="AN144" s="453"/>
      <c r="AO144" s="453"/>
      <c r="AP144" s="529"/>
      <c r="AQ144" s="529"/>
      <c r="AR144" s="529"/>
      <c r="AS144" s="529"/>
      <c r="AT144" s="529"/>
      <c r="AU144" s="529"/>
      <c r="AV144" s="453"/>
      <c r="AW144" s="453"/>
      <c r="AX144" s="453"/>
      <c r="AY144" s="453"/>
      <c r="AZ144" s="453"/>
      <c r="BA144" s="453">
        <v>1600</v>
      </c>
      <c r="BB144" s="502"/>
      <c r="BC144" s="503"/>
      <c r="BD144" s="453"/>
      <c r="BE144" s="453"/>
      <c r="BF144" s="470"/>
      <c r="BG144" s="453"/>
      <c r="BH144" s="453"/>
      <c r="BI144" s="453"/>
      <c r="BJ144" s="453"/>
      <c r="BK144" s="453"/>
      <c r="BL144" s="453"/>
      <c r="BM144" s="502"/>
      <c r="BN144" s="490"/>
      <c r="BO144" s="470"/>
      <c r="BP144" s="490"/>
      <c r="BQ144" s="453"/>
      <c r="BR144" s="502"/>
      <c r="BS144" s="524"/>
      <c r="BT144" s="530"/>
    </row>
    <row r="145" s="435" customFormat="1" ht="18" customHeight="1" spans="1:72">
      <c r="A145" s="451" t="s">
        <v>4033</v>
      </c>
      <c r="B145" s="456">
        <v>43960</v>
      </c>
      <c r="C145" s="459">
        <v>1000005143</v>
      </c>
      <c r="D145" s="451"/>
      <c r="E145" s="457"/>
      <c r="F145" s="453"/>
      <c r="G145" s="453"/>
      <c r="H145" s="453"/>
      <c r="I145" s="453"/>
      <c r="J145" s="453"/>
      <c r="K145" s="453"/>
      <c r="L145" s="453"/>
      <c r="M145" s="453"/>
      <c r="N145" s="453"/>
      <c r="O145" s="453"/>
      <c r="P145" s="453"/>
      <c r="Q145" s="453"/>
      <c r="R145" s="453"/>
      <c r="S145" s="453"/>
      <c r="T145" s="453"/>
      <c r="U145" s="453"/>
      <c r="V145" s="453"/>
      <c r="W145" s="453"/>
      <c r="X145" s="453"/>
      <c r="Y145" s="453"/>
      <c r="Z145" s="489"/>
      <c r="AA145" s="489"/>
      <c r="AB145" s="490"/>
      <c r="AC145" s="453"/>
      <c r="AD145" s="453"/>
      <c r="AE145" s="453"/>
      <c r="AF145" s="453"/>
      <c r="AG145" s="453"/>
      <c r="AH145" s="529"/>
      <c r="AI145" s="529"/>
      <c r="AJ145" s="529"/>
      <c r="AK145" s="529"/>
      <c r="AL145" s="453"/>
      <c r="AM145" s="453"/>
      <c r="AN145" s="453"/>
      <c r="AO145" s="453"/>
      <c r="AP145" s="529"/>
      <c r="AQ145" s="529"/>
      <c r="AR145" s="529"/>
      <c r="AS145" s="529"/>
      <c r="AT145" s="529"/>
      <c r="AU145" s="529"/>
      <c r="AV145" s="453"/>
      <c r="AW145" s="453"/>
      <c r="AX145" s="453"/>
      <c r="AY145" s="453"/>
      <c r="AZ145" s="453"/>
      <c r="BA145" s="453"/>
      <c r="BB145" s="502">
        <v>1920</v>
      </c>
      <c r="BC145" s="503"/>
      <c r="BD145" s="453"/>
      <c r="BE145" s="453"/>
      <c r="BF145" s="470"/>
      <c r="BG145" s="453"/>
      <c r="BH145" s="453"/>
      <c r="BI145" s="453"/>
      <c r="BJ145" s="453"/>
      <c r="BK145" s="453"/>
      <c r="BL145" s="453"/>
      <c r="BM145" s="502"/>
      <c r="BN145" s="490"/>
      <c r="BO145" s="470"/>
      <c r="BP145" s="490"/>
      <c r="BQ145" s="453"/>
      <c r="BR145" s="502"/>
      <c r="BS145" s="524"/>
      <c r="BT145" s="530"/>
    </row>
    <row r="146" s="435" customFormat="1" ht="18" customHeight="1" spans="1:72">
      <c r="A146" s="451" t="s">
        <v>4033</v>
      </c>
      <c r="B146" s="456">
        <v>43967</v>
      </c>
      <c r="C146" s="459">
        <v>1000005180</v>
      </c>
      <c r="D146" s="451"/>
      <c r="E146" s="457"/>
      <c r="F146" s="453"/>
      <c r="G146" s="453"/>
      <c r="H146" s="453"/>
      <c r="I146" s="453"/>
      <c r="J146" s="453"/>
      <c r="K146" s="453"/>
      <c r="L146" s="453"/>
      <c r="M146" s="453"/>
      <c r="N146" s="453"/>
      <c r="O146" s="453"/>
      <c r="P146" s="453"/>
      <c r="Q146" s="453"/>
      <c r="R146" s="453"/>
      <c r="S146" s="453"/>
      <c r="T146" s="453"/>
      <c r="U146" s="453"/>
      <c r="V146" s="453"/>
      <c r="W146" s="453"/>
      <c r="X146" s="453"/>
      <c r="Y146" s="453"/>
      <c r="Z146" s="489"/>
      <c r="AA146" s="489"/>
      <c r="AB146" s="490"/>
      <c r="AC146" s="453">
        <v>30000</v>
      </c>
      <c r="AD146" s="453"/>
      <c r="AE146" s="453"/>
      <c r="AF146" s="453"/>
      <c r="AG146" s="453"/>
      <c r="AH146" s="529"/>
      <c r="AI146" s="529"/>
      <c r="AJ146" s="529"/>
      <c r="AK146" s="529"/>
      <c r="AL146" s="453"/>
      <c r="AM146" s="453"/>
      <c r="AN146" s="453"/>
      <c r="AO146" s="453"/>
      <c r="AP146" s="529"/>
      <c r="AQ146" s="529"/>
      <c r="AR146" s="529"/>
      <c r="AS146" s="529"/>
      <c r="AT146" s="529"/>
      <c r="AU146" s="529"/>
      <c r="AV146" s="453"/>
      <c r="AW146" s="453"/>
      <c r="AX146" s="453"/>
      <c r="AY146" s="453"/>
      <c r="AZ146" s="453"/>
      <c r="BA146" s="453"/>
      <c r="BB146" s="502"/>
      <c r="BC146" s="503"/>
      <c r="BD146" s="453"/>
      <c r="BE146" s="453"/>
      <c r="BF146" s="470"/>
      <c r="BG146" s="453"/>
      <c r="BH146" s="453"/>
      <c r="BI146" s="453"/>
      <c r="BJ146" s="453"/>
      <c r="BK146" s="453"/>
      <c r="BL146" s="453"/>
      <c r="BM146" s="502"/>
      <c r="BN146" s="490"/>
      <c r="BO146" s="470"/>
      <c r="BP146" s="490"/>
      <c r="BQ146" s="453"/>
      <c r="BR146" s="502"/>
      <c r="BS146" s="524"/>
      <c r="BT146" s="530"/>
    </row>
    <row r="147" s="435" customFormat="1" ht="18" customHeight="1" spans="1:72">
      <c r="A147" s="451" t="s">
        <v>4033</v>
      </c>
      <c r="B147" s="456">
        <v>43967</v>
      </c>
      <c r="C147" s="459">
        <v>1000005181</v>
      </c>
      <c r="D147" s="451"/>
      <c r="E147" s="457"/>
      <c r="F147" s="453"/>
      <c r="G147" s="453"/>
      <c r="H147" s="453"/>
      <c r="I147" s="453"/>
      <c r="J147" s="453"/>
      <c r="K147" s="453"/>
      <c r="L147" s="453"/>
      <c r="M147" s="453"/>
      <c r="N147" s="453"/>
      <c r="O147" s="453"/>
      <c r="P147" s="453"/>
      <c r="Q147" s="453"/>
      <c r="R147" s="453"/>
      <c r="S147" s="453"/>
      <c r="T147" s="453"/>
      <c r="U147" s="453"/>
      <c r="V147" s="453"/>
      <c r="W147" s="453"/>
      <c r="X147" s="453"/>
      <c r="Y147" s="453"/>
      <c r="Z147" s="489"/>
      <c r="AA147" s="489"/>
      <c r="AB147" s="490"/>
      <c r="AC147" s="453"/>
      <c r="AD147" s="453"/>
      <c r="AE147" s="453"/>
      <c r="AF147" s="453"/>
      <c r="AG147" s="453"/>
      <c r="AH147" s="529"/>
      <c r="AI147" s="529"/>
      <c r="AJ147" s="529"/>
      <c r="AK147" s="529"/>
      <c r="AL147" s="453"/>
      <c r="AM147" s="453">
        <v>30000</v>
      </c>
      <c r="AN147" s="453"/>
      <c r="AO147" s="453"/>
      <c r="AP147" s="529"/>
      <c r="AQ147" s="529"/>
      <c r="AR147" s="529"/>
      <c r="AS147" s="529"/>
      <c r="AT147" s="529"/>
      <c r="AU147" s="529"/>
      <c r="AV147" s="453"/>
      <c r="AW147" s="453"/>
      <c r="AX147" s="453"/>
      <c r="AY147" s="453"/>
      <c r="AZ147" s="453"/>
      <c r="BA147" s="453"/>
      <c r="BB147" s="502"/>
      <c r="BC147" s="503"/>
      <c r="BD147" s="453"/>
      <c r="BE147" s="453"/>
      <c r="BF147" s="470"/>
      <c r="BG147" s="453"/>
      <c r="BH147" s="453"/>
      <c r="BI147" s="453"/>
      <c r="BJ147" s="453"/>
      <c r="BK147" s="453"/>
      <c r="BL147" s="453"/>
      <c r="BM147" s="502"/>
      <c r="BN147" s="490"/>
      <c r="BO147" s="470"/>
      <c r="BP147" s="490"/>
      <c r="BQ147" s="453"/>
      <c r="BR147" s="502"/>
      <c r="BS147" s="524"/>
      <c r="BT147" s="530"/>
    </row>
    <row r="148" s="435" customFormat="1" ht="18" customHeight="1" spans="1:72">
      <c r="A148" s="451" t="s">
        <v>4033</v>
      </c>
      <c r="B148" s="456">
        <v>43976</v>
      </c>
      <c r="C148" s="459">
        <v>1000005400</v>
      </c>
      <c r="D148" s="451"/>
      <c r="E148" s="457"/>
      <c r="F148" s="453"/>
      <c r="G148" s="453"/>
      <c r="H148" s="453"/>
      <c r="I148" s="453"/>
      <c r="J148" s="453"/>
      <c r="K148" s="453"/>
      <c r="L148" s="453"/>
      <c r="M148" s="453"/>
      <c r="N148" s="453"/>
      <c r="O148" s="453"/>
      <c r="P148" s="453"/>
      <c r="Q148" s="453"/>
      <c r="R148" s="453"/>
      <c r="S148" s="453"/>
      <c r="T148" s="453"/>
      <c r="U148" s="453"/>
      <c r="V148" s="453"/>
      <c r="W148" s="453"/>
      <c r="X148" s="453"/>
      <c r="Y148" s="453"/>
      <c r="Z148" s="489"/>
      <c r="AA148" s="489"/>
      <c r="AB148" s="490"/>
      <c r="AC148" s="453"/>
      <c r="AD148" s="453"/>
      <c r="AE148" s="453"/>
      <c r="AF148" s="453"/>
      <c r="AG148" s="453"/>
      <c r="AH148" s="529"/>
      <c r="AI148" s="529"/>
      <c r="AJ148" s="529"/>
      <c r="AK148" s="529"/>
      <c r="AL148" s="453"/>
      <c r="AM148" s="453"/>
      <c r="AN148" s="453"/>
      <c r="AO148" s="453"/>
      <c r="AP148" s="529"/>
      <c r="AQ148" s="529"/>
      <c r="AR148" s="529"/>
      <c r="AS148" s="529"/>
      <c r="AT148" s="529"/>
      <c r="AU148" s="529"/>
      <c r="AV148" s="453"/>
      <c r="AW148" s="453"/>
      <c r="AX148" s="453"/>
      <c r="AY148" s="453"/>
      <c r="AZ148" s="453"/>
      <c r="BA148" s="453"/>
      <c r="BB148" s="502"/>
      <c r="BC148" s="503">
        <v>10000</v>
      </c>
      <c r="BD148" s="453"/>
      <c r="BE148" s="453"/>
      <c r="BF148" s="470"/>
      <c r="BG148" s="453"/>
      <c r="BH148" s="453"/>
      <c r="BI148" s="453"/>
      <c r="BJ148" s="453"/>
      <c r="BK148" s="453"/>
      <c r="BL148" s="453"/>
      <c r="BM148" s="502"/>
      <c r="BN148" s="490"/>
      <c r="BO148" s="470"/>
      <c r="BP148" s="490"/>
      <c r="BQ148" s="453"/>
      <c r="BR148" s="502"/>
      <c r="BS148" s="524"/>
      <c r="BT148" s="530"/>
    </row>
    <row r="149" s="435" customFormat="1" ht="18" customHeight="1" spans="1:72">
      <c r="A149" s="451" t="s">
        <v>4033</v>
      </c>
      <c r="B149" s="456">
        <v>43976</v>
      </c>
      <c r="C149" s="459">
        <v>1000005401</v>
      </c>
      <c r="D149" s="451"/>
      <c r="E149" s="457"/>
      <c r="F149" s="453"/>
      <c r="G149" s="453"/>
      <c r="H149" s="453"/>
      <c r="I149" s="453"/>
      <c r="J149" s="453"/>
      <c r="K149" s="453"/>
      <c r="L149" s="453"/>
      <c r="M149" s="453"/>
      <c r="N149" s="453"/>
      <c r="O149" s="453"/>
      <c r="P149" s="453"/>
      <c r="Q149" s="453"/>
      <c r="R149" s="453"/>
      <c r="S149" s="453"/>
      <c r="T149" s="453"/>
      <c r="U149" s="453"/>
      <c r="V149" s="453"/>
      <c r="W149" s="453"/>
      <c r="X149" s="453"/>
      <c r="Y149" s="453"/>
      <c r="Z149" s="489"/>
      <c r="AA149" s="489"/>
      <c r="AB149" s="490"/>
      <c r="AC149" s="453"/>
      <c r="AD149" s="453"/>
      <c r="AE149" s="453"/>
      <c r="AF149" s="453"/>
      <c r="AG149" s="453"/>
      <c r="AH149" s="529"/>
      <c r="AI149" s="529"/>
      <c r="AJ149" s="529"/>
      <c r="AK149" s="529"/>
      <c r="AL149" s="453"/>
      <c r="AM149" s="453"/>
      <c r="AN149" s="453"/>
      <c r="AO149" s="453"/>
      <c r="AP149" s="529"/>
      <c r="AQ149" s="529"/>
      <c r="AR149" s="529"/>
      <c r="AS149" s="529"/>
      <c r="AT149" s="529"/>
      <c r="AU149" s="529"/>
      <c r="AV149" s="453"/>
      <c r="AW149" s="453"/>
      <c r="AX149" s="453"/>
      <c r="AY149" s="453"/>
      <c r="AZ149" s="453"/>
      <c r="BA149" s="453"/>
      <c r="BB149" s="502"/>
      <c r="BC149" s="503"/>
      <c r="BD149" s="453">
        <v>10000</v>
      </c>
      <c r="BE149" s="453"/>
      <c r="BF149" s="470"/>
      <c r="BG149" s="453"/>
      <c r="BH149" s="453"/>
      <c r="BI149" s="453"/>
      <c r="BJ149" s="453"/>
      <c r="BK149" s="453"/>
      <c r="BL149" s="453"/>
      <c r="BM149" s="502"/>
      <c r="BN149" s="490"/>
      <c r="BO149" s="470"/>
      <c r="BP149" s="490"/>
      <c r="BQ149" s="453"/>
      <c r="BR149" s="502"/>
      <c r="BS149" s="524"/>
      <c r="BT149" s="530"/>
    </row>
    <row r="150" s="435" customFormat="1" ht="18" customHeight="1" spans="1:72">
      <c r="A150" s="451" t="s">
        <v>4033</v>
      </c>
      <c r="B150" s="456">
        <v>43976</v>
      </c>
      <c r="C150" s="459">
        <v>1000005402</v>
      </c>
      <c r="D150" s="451"/>
      <c r="E150" s="457"/>
      <c r="F150" s="453"/>
      <c r="G150" s="453"/>
      <c r="H150" s="453"/>
      <c r="I150" s="453"/>
      <c r="J150" s="453"/>
      <c r="K150" s="453"/>
      <c r="L150" s="453"/>
      <c r="M150" s="453"/>
      <c r="N150" s="453"/>
      <c r="O150" s="453"/>
      <c r="P150" s="453"/>
      <c r="Q150" s="453"/>
      <c r="R150" s="453"/>
      <c r="S150" s="453"/>
      <c r="T150" s="453"/>
      <c r="U150" s="453"/>
      <c r="V150" s="453"/>
      <c r="W150" s="453"/>
      <c r="X150" s="453"/>
      <c r="Y150" s="453"/>
      <c r="Z150" s="489"/>
      <c r="AA150" s="489"/>
      <c r="AB150" s="490"/>
      <c r="AC150" s="453"/>
      <c r="AD150" s="453"/>
      <c r="AE150" s="453"/>
      <c r="AF150" s="453"/>
      <c r="AG150" s="453"/>
      <c r="AH150" s="529"/>
      <c r="AI150" s="529"/>
      <c r="AJ150" s="529"/>
      <c r="AK150" s="529"/>
      <c r="AL150" s="453"/>
      <c r="AM150" s="453"/>
      <c r="AN150" s="453"/>
      <c r="AO150" s="453"/>
      <c r="AP150" s="529"/>
      <c r="AQ150" s="529"/>
      <c r="AR150" s="529"/>
      <c r="AS150" s="529"/>
      <c r="AT150" s="529"/>
      <c r="AU150" s="529"/>
      <c r="AV150" s="453"/>
      <c r="AW150" s="453"/>
      <c r="AX150" s="453"/>
      <c r="AY150" s="453"/>
      <c r="AZ150" s="453"/>
      <c r="BA150" s="453"/>
      <c r="BB150" s="502"/>
      <c r="BC150" s="503"/>
      <c r="BD150" s="453"/>
      <c r="BE150" s="453">
        <v>10000</v>
      </c>
      <c r="BF150" s="470"/>
      <c r="BG150" s="453"/>
      <c r="BH150" s="453"/>
      <c r="BI150" s="453"/>
      <c r="BJ150" s="453"/>
      <c r="BK150" s="453"/>
      <c r="BL150" s="453"/>
      <c r="BM150" s="502"/>
      <c r="BN150" s="490"/>
      <c r="BO150" s="470"/>
      <c r="BP150" s="490"/>
      <c r="BQ150" s="453"/>
      <c r="BR150" s="502"/>
      <c r="BS150" s="524"/>
      <c r="BT150" s="530"/>
    </row>
    <row r="151" s="435" customFormat="1" ht="18" customHeight="1" spans="1:72">
      <c r="A151" s="451" t="s">
        <v>4033</v>
      </c>
      <c r="B151" s="456">
        <v>43976</v>
      </c>
      <c r="C151" s="459">
        <v>1000005403</v>
      </c>
      <c r="D151" s="451"/>
      <c r="E151" s="457"/>
      <c r="F151" s="453"/>
      <c r="G151" s="453"/>
      <c r="H151" s="453"/>
      <c r="I151" s="453"/>
      <c r="J151" s="453"/>
      <c r="K151" s="453"/>
      <c r="L151" s="453"/>
      <c r="M151" s="453"/>
      <c r="N151" s="453"/>
      <c r="O151" s="453"/>
      <c r="P151" s="453"/>
      <c r="Q151" s="453"/>
      <c r="R151" s="453"/>
      <c r="S151" s="453"/>
      <c r="T151" s="453"/>
      <c r="U151" s="453"/>
      <c r="V151" s="453"/>
      <c r="W151" s="453"/>
      <c r="X151" s="453"/>
      <c r="Y151" s="453"/>
      <c r="Z151" s="489"/>
      <c r="AA151" s="489"/>
      <c r="AB151" s="490"/>
      <c r="AC151" s="453"/>
      <c r="AD151" s="453"/>
      <c r="AE151" s="453"/>
      <c r="AF151" s="453"/>
      <c r="AG151" s="453"/>
      <c r="AH151" s="529"/>
      <c r="AI151" s="529"/>
      <c r="AJ151" s="529"/>
      <c r="AK151" s="529"/>
      <c r="AL151" s="453"/>
      <c r="AM151" s="453"/>
      <c r="AN151" s="453"/>
      <c r="AO151" s="453"/>
      <c r="AP151" s="529"/>
      <c r="AQ151" s="529"/>
      <c r="AR151" s="529"/>
      <c r="AS151" s="529"/>
      <c r="AT151" s="529"/>
      <c r="AU151" s="529"/>
      <c r="AV151" s="453"/>
      <c r="AW151" s="453"/>
      <c r="AX151" s="453"/>
      <c r="AY151" s="453"/>
      <c r="AZ151" s="453"/>
      <c r="BA151" s="453"/>
      <c r="BB151" s="502"/>
      <c r="BC151" s="503"/>
      <c r="BD151" s="453"/>
      <c r="BE151" s="453"/>
      <c r="BF151" s="470">
        <v>10000</v>
      </c>
      <c r="BG151" s="453"/>
      <c r="BH151" s="453"/>
      <c r="BI151" s="453"/>
      <c r="BJ151" s="453"/>
      <c r="BK151" s="453"/>
      <c r="BL151" s="453"/>
      <c r="BM151" s="502"/>
      <c r="BN151" s="490"/>
      <c r="BO151" s="470"/>
      <c r="BP151" s="490"/>
      <c r="BQ151" s="453"/>
      <c r="BR151" s="502"/>
      <c r="BS151" s="524"/>
      <c r="BT151" s="530"/>
    </row>
    <row r="152" s="435" customFormat="1" ht="18" customHeight="1" spans="1:72">
      <c r="A152" s="451" t="s">
        <v>4033</v>
      </c>
      <c r="B152" s="456">
        <v>43980</v>
      </c>
      <c r="C152" s="459">
        <v>1000005249</v>
      </c>
      <c r="D152" s="451"/>
      <c r="E152" s="457"/>
      <c r="F152" s="453"/>
      <c r="G152" s="453"/>
      <c r="H152" s="453"/>
      <c r="I152" s="453"/>
      <c r="J152" s="453"/>
      <c r="K152" s="453"/>
      <c r="L152" s="453"/>
      <c r="M152" s="453"/>
      <c r="N152" s="453"/>
      <c r="O152" s="453"/>
      <c r="P152" s="453"/>
      <c r="Q152" s="453"/>
      <c r="R152" s="453"/>
      <c r="S152" s="453"/>
      <c r="T152" s="453"/>
      <c r="U152" s="453"/>
      <c r="V152" s="453"/>
      <c r="W152" s="453"/>
      <c r="X152" s="453"/>
      <c r="Y152" s="453"/>
      <c r="Z152" s="489"/>
      <c r="AA152" s="489"/>
      <c r="AB152" s="490"/>
      <c r="AC152" s="453"/>
      <c r="AD152" s="453"/>
      <c r="AE152" s="453"/>
      <c r="AF152" s="453"/>
      <c r="AG152" s="453"/>
      <c r="AH152" s="529">
        <v>16000</v>
      </c>
      <c r="AI152" s="529"/>
      <c r="AJ152" s="529"/>
      <c r="AK152" s="529"/>
      <c r="AL152" s="453"/>
      <c r="AM152" s="453"/>
      <c r="AN152" s="453"/>
      <c r="AO152" s="453"/>
      <c r="AP152" s="529"/>
      <c r="AQ152" s="529"/>
      <c r="AR152" s="529"/>
      <c r="AS152" s="529"/>
      <c r="AT152" s="529"/>
      <c r="AU152" s="529"/>
      <c r="AV152" s="453"/>
      <c r="AW152" s="453"/>
      <c r="AX152" s="453"/>
      <c r="AY152" s="453"/>
      <c r="AZ152" s="453"/>
      <c r="BA152" s="453"/>
      <c r="BB152" s="502"/>
      <c r="BC152" s="503"/>
      <c r="BD152" s="453"/>
      <c r="BE152" s="453"/>
      <c r="BF152" s="470"/>
      <c r="BG152" s="453"/>
      <c r="BH152" s="453"/>
      <c r="BI152" s="453"/>
      <c r="BJ152" s="453"/>
      <c r="BK152" s="453"/>
      <c r="BL152" s="453"/>
      <c r="BM152" s="502"/>
      <c r="BN152" s="490"/>
      <c r="BO152" s="470"/>
      <c r="BP152" s="490"/>
      <c r="BQ152" s="453"/>
      <c r="BR152" s="502"/>
      <c r="BS152" s="524"/>
      <c r="BT152" s="530"/>
    </row>
    <row r="153" s="435" customFormat="1" ht="18" customHeight="1" spans="1:72">
      <c r="A153" s="451" t="s">
        <v>4033</v>
      </c>
      <c r="B153" s="456">
        <v>43980</v>
      </c>
      <c r="C153" s="459">
        <v>1000005250</v>
      </c>
      <c r="D153" s="451"/>
      <c r="E153" s="457"/>
      <c r="F153" s="453"/>
      <c r="G153" s="453"/>
      <c r="H153" s="453"/>
      <c r="I153" s="453"/>
      <c r="J153" s="453"/>
      <c r="K153" s="453"/>
      <c r="L153" s="453"/>
      <c r="M153" s="453"/>
      <c r="N153" s="453"/>
      <c r="O153" s="453"/>
      <c r="P153" s="453"/>
      <c r="Q153" s="453"/>
      <c r="R153" s="453"/>
      <c r="S153" s="453"/>
      <c r="T153" s="453"/>
      <c r="U153" s="453"/>
      <c r="V153" s="453"/>
      <c r="W153" s="453"/>
      <c r="X153" s="453"/>
      <c r="Y153" s="453"/>
      <c r="Z153" s="489"/>
      <c r="AA153" s="489"/>
      <c r="AB153" s="490"/>
      <c r="AC153" s="453"/>
      <c r="AD153" s="453"/>
      <c r="AE153" s="453"/>
      <c r="AF153" s="453"/>
      <c r="AG153" s="453"/>
      <c r="AH153" s="529"/>
      <c r="AI153" s="529"/>
      <c r="AJ153" s="529"/>
      <c r="AK153" s="529"/>
      <c r="AL153" s="453"/>
      <c r="AM153" s="453"/>
      <c r="AN153" s="453"/>
      <c r="AO153" s="453"/>
      <c r="AP153" s="529"/>
      <c r="AQ153" s="529">
        <v>17000</v>
      </c>
      <c r="AR153" s="529"/>
      <c r="AS153" s="529"/>
      <c r="AT153" s="529"/>
      <c r="AU153" s="529"/>
      <c r="AV153" s="453"/>
      <c r="AW153" s="453"/>
      <c r="AX153" s="453"/>
      <c r="AY153" s="453"/>
      <c r="AZ153" s="453"/>
      <c r="BA153" s="453"/>
      <c r="BB153" s="502"/>
      <c r="BC153" s="503"/>
      <c r="BD153" s="453"/>
      <c r="BE153" s="453"/>
      <c r="BF153" s="470"/>
      <c r="BG153" s="453"/>
      <c r="BH153" s="453"/>
      <c r="BI153" s="453"/>
      <c r="BJ153" s="453"/>
      <c r="BK153" s="453"/>
      <c r="BL153" s="453"/>
      <c r="BM153" s="502"/>
      <c r="BN153" s="490"/>
      <c r="BO153" s="470"/>
      <c r="BP153" s="490"/>
      <c r="BQ153" s="453"/>
      <c r="BR153" s="502"/>
      <c r="BS153" s="524"/>
      <c r="BT153" s="530"/>
    </row>
    <row r="154" s="435" customFormat="1" ht="18" customHeight="1" spans="1:72">
      <c r="A154" s="451" t="s">
        <v>4033</v>
      </c>
      <c r="B154" s="456">
        <v>43980</v>
      </c>
      <c r="C154" s="459">
        <v>1000005251</v>
      </c>
      <c r="D154" s="451"/>
      <c r="E154" s="457"/>
      <c r="F154" s="453"/>
      <c r="G154" s="453"/>
      <c r="H154" s="453"/>
      <c r="I154" s="453"/>
      <c r="J154" s="453"/>
      <c r="K154" s="453"/>
      <c r="L154" s="453"/>
      <c r="M154" s="453"/>
      <c r="N154" s="453"/>
      <c r="O154" s="453"/>
      <c r="P154" s="453"/>
      <c r="Q154" s="453"/>
      <c r="R154" s="453"/>
      <c r="S154" s="453"/>
      <c r="T154" s="453"/>
      <c r="U154" s="453"/>
      <c r="V154" s="453"/>
      <c r="W154" s="453"/>
      <c r="X154" s="453"/>
      <c r="Y154" s="453"/>
      <c r="Z154" s="489"/>
      <c r="AA154" s="489"/>
      <c r="AB154" s="490"/>
      <c r="AC154" s="453">
        <v>80000</v>
      </c>
      <c r="AD154" s="453"/>
      <c r="AE154" s="453"/>
      <c r="AF154" s="453"/>
      <c r="AG154" s="453"/>
      <c r="AH154" s="529"/>
      <c r="AI154" s="529"/>
      <c r="AJ154" s="529"/>
      <c r="AK154" s="529"/>
      <c r="AL154" s="453"/>
      <c r="AM154" s="453"/>
      <c r="AN154" s="453"/>
      <c r="AO154" s="453"/>
      <c r="AP154" s="529"/>
      <c r="AQ154" s="529"/>
      <c r="AR154" s="529"/>
      <c r="AS154" s="529"/>
      <c r="AT154" s="529"/>
      <c r="AU154" s="529"/>
      <c r="AV154" s="453"/>
      <c r="AW154" s="453"/>
      <c r="AX154" s="453"/>
      <c r="AY154" s="453"/>
      <c r="AZ154" s="453"/>
      <c r="BA154" s="453"/>
      <c r="BB154" s="502"/>
      <c r="BC154" s="503"/>
      <c r="BD154" s="453"/>
      <c r="BE154" s="453"/>
      <c r="BF154" s="470"/>
      <c r="BG154" s="453"/>
      <c r="BH154" s="453"/>
      <c r="BI154" s="453"/>
      <c r="BJ154" s="453"/>
      <c r="BK154" s="453"/>
      <c r="BL154" s="453"/>
      <c r="BM154" s="502"/>
      <c r="BN154" s="490"/>
      <c r="BO154" s="470"/>
      <c r="BP154" s="490"/>
      <c r="BQ154" s="453"/>
      <c r="BR154" s="502"/>
      <c r="BS154" s="524"/>
      <c r="BT154" s="530"/>
    </row>
    <row r="155" s="435" customFormat="1" ht="18" customHeight="1" spans="1:72">
      <c r="A155" s="451" t="s">
        <v>4033</v>
      </c>
      <c r="B155" s="456">
        <v>43980</v>
      </c>
      <c r="C155" s="459">
        <v>1000005252</v>
      </c>
      <c r="D155" s="451"/>
      <c r="E155" s="457"/>
      <c r="F155" s="453"/>
      <c r="G155" s="453"/>
      <c r="H155" s="453"/>
      <c r="I155" s="453"/>
      <c r="J155" s="453"/>
      <c r="K155" s="453"/>
      <c r="L155" s="453"/>
      <c r="M155" s="453"/>
      <c r="N155" s="453"/>
      <c r="O155" s="453"/>
      <c r="P155" s="453"/>
      <c r="Q155" s="453"/>
      <c r="R155" s="453"/>
      <c r="S155" s="453"/>
      <c r="T155" s="453"/>
      <c r="U155" s="453"/>
      <c r="V155" s="453"/>
      <c r="W155" s="453"/>
      <c r="X155" s="453"/>
      <c r="Y155" s="453"/>
      <c r="Z155" s="489"/>
      <c r="AA155" s="489"/>
      <c r="AB155" s="490"/>
      <c r="AC155" s="453"/>
      <c r="AD155" s="453"/>
      <c r="AE155" s="453"/>
      <c r="AF155" s="453"/>
      <c r="AG155" s="453"/>
      <c r="AH155" s="529"/>
      <c r="AI155" s="529"/>
      <c r="AJ155" s="529"/>
      <c r="AK155" s="529"/>
      <c r="AL155" s="453"/>
      <c r="AM155" s="453">
        <v>80000</v>
      </c>
      <c r="AN155" s="453"/>
      <c r="AO155" s="453"/>
      <c r="AP155" s="529"/>
      <c r="AQ155" s="529"/>
      <c r="AR155" s="529"/>
      <c r="AS155" s="529"/>
      <c r="AT155" s="529"/>
      <c r="AU155" s="529"/>
      <c r="AV155" s="453"/>
      <c r="AW155" s="453"/>
      <c r="AX155" s="453"/>
      <c r="AY155" s="453"/>
      <c r="AZ155" s="453"/>
      <c r="BA155" s="453"/>
      <c r="BB155" s="502"/>
      <c r="BC155" s="503"/>
      <c r="BD155" s="453"/>
      <c r="BE155" s="453"/>
      <c r="BF155" s="470"/>
      <c r="BG155" s="453"/>
      <c r="BH155" s="453"/>
      <c r="BI155" s="453"/>
      <c r="BJ155" s="453"/>
      <c r="BK155" s="453"/>
      <c r="BL155" s="453"/>
      <c r="BM155" s="502"/>
      <c r="BN155" s="490"/>
      <c r="BO155" s="470"/>
      <c r="BP155" s="490"/>
      <c r="BQ155" s="453"/>
      <c r="BR155" s="502"/>
      <c r="BS155" s="524"/>
      <c r="BT155" s="530"/>
    </row>
    <row r="156" s="435" customFormat="1" ht="18" customHeight="1" spans="1:72">
      <c r="A156" s="451" t="s">
        <v>4033</v>
      </c>
      <c r="B156" s="456">
        <v>43988</v>
      </c>
      <c r="C156" s="459">
        <v>1000005344</v>
      </c>
      <c r="D156" s="451"/>
      <c r="E156" s="457"/>
      <c r="F156" s="453"/>
      <c r="G156" s="453"/>
      <c r="H156" s="453"/>
      <c r="I156" s="453"/>
      <c r="J156" s="453"/>
      <c r="K156" s="453"/>
      <c r="L156" s="453"/>
      <c r="M156" s="453"/>
      <c r="N156" s="453"/>
      <c r="O156" s="453"/>
      <c r="P156" s="453"/>
      <c r="Q156" s="453"/>
      <c r="R156" s="453"/>
      <c r="S156" s="453"/>
      <c r="T156" s="453"/>
      <c r="U156" s="453"/>
      <c r="V156" s="453"/>
      <c r="W156" s="453"/>
      <c r="X156" s="453"/>
      <c r="Y156" s="453"/>
      <c r="Z156" s="489"/>
      <c r="AA156" s="489"/>
      <c r="AB156" s="490"/>
      <c r="AC156" s="453"/>
      <c r="AD156" s="453"/>
      <c r="AE156" s="453"/>
      <c r="AF156" s="453"/>
      <c r="AG156" s="453"/>
      <c r="AH156" s="529"/>
      <c r="AI156" s="529"/>
      <c r="AJ156" s="529"/>
      <c r="AK156" s="529"/>
      <c r="AL156" s="453"/>
      <c r="AM156" s="453"/>
      <c r="AN156" s="453"/>
      <c r="AO156" s="453"/>
      <c r="AP156" s="529"/>
      <c r="AQ156" s="529"/>
      <c r="AR156" s="529"/>
      <c r="AS156" s="529"/>
      <c r="AT156" s="529"/>
      <c r="AU156" s="529"/>
      <c r="AV156" s="453"/>
      <c r="AW156" s="453"/>
      <c r="AX156" s="453"/>
      <c r="AY156" s="453"/>
      <c r="AZ156" s="453"/>
      <c r="BA156" s="453">
        <v>17920</v>
      </c>
      <c r="BB156" s="502"/>
      <c r="BC156" s="503"/>
      <c r="BD156" s="453"/>
      <c r="BE156" s="453"/>
      <c r="BF156" s="470"/>
      <c r="BG156" s="453"/>
      <c r="BH156" s="453"/>
      <c r="BI156" s="453"/>
      <c r="BJ156" s="453"/>
      <c r="BK156" s="453"/>
      <c r="BL156" s="453"/>
      <c r="BM156" s="502"/>
      <c r="BN156" s="490"/>
      <c r="BO156" s="470"/>
      <c r="BP156" s="490"/>
      <c r="BQ156" s="453"/>
      <c r="BR156" s="502"/>
      <c r="BS156" s="524"/>
      <c r="BT156" s="530"/>
    </row>
    <row r="157" s="435" customFormat="1" ht="18" customHeight="1" spans="1:72">
      <c r="A157" s="451" t="s">
        <v>4033</v>
      </c>
      <c r="B157" s="456">
        <v>43988</v>
      </c>
      <c r="C157" s="459">
        <v>1000005345</v>
      </c>
      <c r="D157" s="451"/>
      <c r="E157" s="457"/>
      <c r="F157" s="453"/>
      <c r="G157" s="453"/>
      <c r="H157" s="453"/>
      <c r="I157" s="453"/>
      <c r="J157" s="453"/>
      <c r="K157" s="453"/>
      <c r="L157" s="453"/>
      <c r="M157" s="453"/>
      <c r="N157" s="453"/>
      <c r="O157" s="453"/>
      <c r="P157" s="453"/>
      <c r="Q157" s="453"/>
      <c r="R157" s="453"/>
      <c r="S157" s="453"/>
      <c r="T157" s="453"/>
      <c r="U157" s="453"/>
      <c r="V157" s="453"/>
      <c r="W157" s="453"/>
      <c r="X157" s="453"/>
      <c r="Y157" s="453"/>
      <c r="Z157" s="489"/>
      <c r="AA157" s="489"/>
      <c r="AB157" s="490"/>
      <c r="AC157" s="453"/>
      <c r="AD157" s="453"/>
      <c r="AE157" s="453"/>
      <c r="AF157" s="453"/>
      <c r="AG157" s="453"/>
      <c r="AH157" s="529"/>
      <c r="AI157" s="529"/>
      <c r="AJ157" s="529"/>
      <c r="AK157" s="529"/>
      <c r="AL157" s="453"/>
      <c r="AM157" s="453"/>
      <c r="AN157" s="453"/>
      <c r="AO157" s="453"/>
      <c r="AP157" s="529"/>
      <c r="AQ157" s="529"/>
      <c r="AR157" s="529"/>
      <c r="AS157" s="529"/>
      <c r="AT157" s="529"/>
      <c r="AU157" s="529"/>
      <c r="AV157" s="453"/>
      <c r="AW157" s="453"/>
      <c r="AX157" s="453"/>
      <c r="AY157" s="453"/>
      <c r="AZ157" s="453"/>
      <c r="BA157" s="453"/>
      <c r="BB157" s="502">
        <v>14720</v>
      </c>
      <c r="BC157" s="503"/>
      <c r="BD157" s="453"/>
      <c r="BE157" s="453"/>
      <c r="BF157" s="470"/>
      <c r="BG157" s="453"/>
      <c r="BH157" s="453"/>
      <c r="BI157" s="453"/>
      <c r="BJ157" s="453"/>
      <c r="BK157" s="453"/>
      <c r="BL157" s="453"/>
      <c r="BM157" s="502"/>
      <c r="BN157" s="490"/>
      <c r="BO157" s="470"/>
      <c r="BP157" s="490"/>
      <c r="BQ157" s="453"/>
      <c r="BR157" s="502"/>
      <c r="BS157" s="524"/>
      <c r="BT157" s="530"/>
    </row>
    <row r="158" s="435" customFormat="1" ht="18" customHeight="1" spans="1:72">
      <c r="A158" s="451" t="s">
        <v>4033</v>
      </c>
      <c r="B158" s="456">
        <v>44001</v>
      </c>
      <c r="C158" s="459">
        <v>1000005408</v>
      </c>
      <c r="D158" s="451"/>
      <c r="E158" s="457"/>
      <c r="F158" s="453"/>
      <c r="G158" s="453"/>
      <c r="H158" s="453"/>
      <c r="I158" s="453"/>
      <c r="J158" s="453"/>
      <c r="K158" s="453"/>
      <c r="L158" s="453"/>
      <c r="M158" s="453"/>
      <c r="N158" s="453"/>
      <c r="O158" s="453"/>
      <c r="P158" s="453"/>
      <c r="Q158" s="453"/>
      <c r="R158" s="453"/>
      <c r="S158" s="453"/>
      <c r="T158" s="453"/>
      <c r="U158" s="453"/>
      <c r="V158" s="453"/>
      <c r="W158" s="453"/>
      <c r="X158" s="453"/>
      <c r="Y158" s="453"/>
      <c r="Z158" s="489"/>
      <c r="AA158" s="489"/>
      <c r="AB158" s="490"/>
      <c r="AC158" s="453">
        <v>80000</v>
      </c>
      <c r="AD158" s="453"/>
      <c r="AE158" s="453"/>
      <c r="AF158" s="453"/>
      <c r="AG158" s="453"/>
      <c r="AH158" s="529"/>
      <c r="AI158" s="529"/>
      <c r="AJ158" s="529"/>
      <c r="AK158" s="529"/>
      <c r="AL158" s="453"/>
      <c r="AM158" s="453"/>
      <c r="AN158" s="453"/>
      <c r="AO158" s="453"/>
      <c r="AP158" s="529"/>
      <c r="AQ158" s="529"/>
      <c r="AR158" s="529"/>
      <c r="AS158" s="529"/>
      <c r="AT158" s="529"/>
      <c r="AU158" s="529"/>
      <c r="AV158" s="453"/>
      <c r="AW158" s="453"/>
      <c r="AX158" s="453"/>
      <c r="AY158" s="453"/>
      <c r="AZ158" s="453"/>
      <c r="BA158" s="453"/>
      <c r="BB158" s="502"/>
      <c r="BC158" s="503"/>
      <c r="BD158" s="453"/>
      <c r="BE158" s="453"/>
      <c r="BF158" s="470"/>
      <c r="BG158" s="453"/>
      <c r="BH158" s="453"/>
      <c r="BI158" s="453"/>
      <c r="BJ158" s="453"/>
      <c r="BK158" s="453"/>
      <c r="BL158" s="453"/>
      <c r="BM158" s="502"/>
      <c r="BN158" s="490"/>
      <c r="BO158" s="470"/>
      <c r="BP158" s="490"/>
      <c r="BQ158" s="453"/>
      <c r="BR158" s="502"/>
      <c r="BS158" s="524"/>
      <c r="BT158" s="530"/>
    </row>
    <row r="159" s="435" customFormat="1" ht="18" customHeight="1" spans="1:72">
      <c r="A159" s="451" t="s">
        <v>4033</v>
      </c>
      <c r="B159" s="456">
        <v>44001</v>
      </c>
      <c r="C159" s="459">
        <v>1000005409</v>
      </c>
      <c r="D159" s="451"/>
      <c r="E159" s="457"/>
      <c r="F159" s="453"/>
      <c r="G159" s="453"/>
      <c r="H159" s="453"/>
      <c r="I159" s="453"/>
      <c r="J159" s="453"/>
      <c r="K159" s="453"/>
      <c r="L159" s="453"/>
      <c r="M159" s="453"/>
      <c r="N159" s="453"/>
      <c r="O159" s="453"/>
      <c r="P159" s="453"/>
      <c r="Q159" s="453"/>
      <c r="R159" s="453"/>
      <c r="S159" s="453"/>
      <c r="T159" s="453"/>
      <c r="U159" s="453"/>
      <c r="V159" s="453"/>
      <c r="W159" s="453"/>
      <c r="X159" s="453"/>
      <c r="Y159" s="453"/>
      <c r="Z159" s="489"/>
      <c r="AA159" s="489"/>
      <c r="AB159" s="490"/>
      <c r="AC159" s="453"/>
      <c r="AD159" s="453"/>
      <c r="AE159" s="453"/>
      <c r="AF159" s="453"/>
      <c r="AG159" s="453"/>
      <c r="AH159" s="529"/>
      <c r="AI159" s="529"/>
      <c r="AJ159" s="529"/>
      <c r="AK159" s="529"/>
      <c r="AL159" s="453"/>
      <c r="AM159" s="453">
        <v>100000</v>
      </c>
      <c r="AN159" s="453"/>
      <c r="AO159" s="453"/>
      <c r="AP159" s="529"/>
      <c r="AQ159" s="529"/>
      <c r="AR159" s="529"/>
      <c r="AS159" s="529"/>
      <c r="AT159" s="529"/>
      <c r="AU159" s="529"/>
      <c r="AV159" s="453"/>
      <c r="AW159" s="453"/>
      <c r="AX159" s="453"/>
      <c r="AY159" s="453"/>
      <c r="AZ159" s="453"/>
      <c r="BA159" s="453"/>
      <c r="BB159" s="502"/>
      <c r="BC159" s="503"/>
      <c r="BD159" s="453"/>
      <c r="BE159" s="453"/>
      <c r="BF159" s="470"/>
      <c r="BG159" s="453"/>
      <c r="BH159" s="453"/>
      <c r="BI159" s="453"/>
      <c r="BJ159" s="453"/>
      <c r="BK159" s="453"/>
      <c r="BL159" s="453"/>
      <c r="BM159" s="502"/>
      <c r="BN159" s="490"/>
      <c r="BO159" s="470"/>
      <c r="BP159" s="490"/>
      <c r="BQ159" s="453"/>
      <c r="BR159" s="502"/>
      <c r="BS159" s="524"/>
      <c r="BT159" s="530"/>
    </row>
    <row r="160" s="435" customFormat="1" ht="18" customHeight="1" spans="1:72">
      <c r="A160" s="451" t="s">
        <v>4033</v>
      </c>
      <c r="B160" s="456">
        <v>44018</v>
      </c>
      <c r="C160" s="459">
        <v>1000005473</v>
      </c>
      <c r="D160" s="451"/>
      <c r="E160" s="457"/>
      <c r="F160" s="453"/>
      <c r="G160" s="453"/>
      <c r="H160" s="453"/>
      <c r="I160" s="453"/>
      <c r="J160" s="453"/>
      <c r="K160" s="453"/>
      <c r="L160" s="453"/>
      <c r="M160" s="453"/>
      <c r="N160" s="453"/>
      <c r="O160" s="453"/>
      <c r="P160" s="453"/>
      <c r="Q160" s="453"/>
      <c r="R160" s="453"/>
      <c r="S160" s="453"/>
      <c r="T160" s="453"/>
      <c r="U160" s="453"/>
      <c r="V160" s="453"/>
      <c r="W160" s="453"/>
      <c r="X160" s="453"/>
      <c r="Y160" s="453"/>
      <c r="Z160" s="489"/>
      <c r="AA160" s="489"/>
      <c r="AB160" s="490"/>
      <c r="AC160" s="453">
        <v>100000</v>
      </c>
      <c r="AD160" s="453"/>
      <c r="AE160" s="453"/>
      <c r="AF160" s="453"/>
      <c r="AG160" s="453"/>
      <c r="AH160" s="529"/>
      <c r="AI160" s="529"/>
      <c r="AJ160" s="529"/>
      <c r="AK160" s="529"/>
      <c r="AL160" s="453"/>
      <c r="AM160" s="453"/>
      <c r="AN160" s="453"/>
      <c r="AO160" s="453"/>
      <c r="AP160" s="529"/>
      <c r="AQ160" s="529"/>
      <c r="AR160" s="529"/>
      <c r="AS160" s="529"/>
      <c r="AT160" s="529"/>
      <c r="AU160" s="529"/>
      <c r="AV160" s="453"/>
      <c r="AW160" s="453"/>
      <c r="AX160" s="453"/>
      <c r="AY160" s="453"/>
      <c r="AZ160" s="453"/>
      <c r="BA160" s="453">
        <v>5440</v>
      </c>
      <c r="BB160" s="502"/>
      <c r="BC160" s="503"/>
      <c r="BD160" s="453"/>
      <c r="BE160" s="453"/>
      <c r="BF160" s="470"/>
      <c r="BG160" s="453"/>
      <c r="BH160" s="453"/>
      <c r="BI160" s="453"/>
      <c r="BJ160" s="453"/>
      <c r="BK160" s="453"/>
      <c r="BL160" s="453"/>
      <c r="BM160" s="502"/>
      <c r="BN160" s="490"/>
      <c r="BO160" s="470"/>
      <c r="BP160" s="490"/>
      <c r="BQ160" s="453"/>
      <c r="BR160" s="502"/>
      <c r="BS160" s="524"/>
      <c r="BT160" s="530"/>
    </row>
    <row r="161" s="435" customFormat="1" ht="18" customHeight="1" spans="1:72">
      <c r="A161" s="451" t="s">
        <v>4033</v>
      </c>
      <c r="B161" s="456">
        <v>44018</v>
      </c>
      <c r="C161" s="459">
        <v>1000005474</v>
      </c>
      <c r="D161" s="451"/>
      <c r="E161" s="457"/>
      <c r="F161" s="453"/>
      <c r="G161" s="453"/>
      <c r="H161" s="453"/>
      <c r="I161" s="453"/>
      <c r="J161" s="453"/>
      <c r="K161" s="453"/>
      <c r="L161" s="453"/>
      <c r="M161" s="453"/>
      <c r="N161" s="453"/>
      <c r="O161" s="453"/>
      <c r="P161" s="453"/>
      <c r="Q161" s="453"/>
      <c r="R161" s="453"/>
      <c r="S161" s="453"/>
      <c r="T161" s="453"/>
      <c r="U161" s="453"/>
      <c r="V161" s="453"/>
      <c r="W161" s="453"/>
      <c r="X161" s="453"/>
      <c r="Y161" s="453"/>
      <c r="Z161" s="489"/>
      <c r="AA161" s="489"/>
      <c r="AB161" s="490"/>
      <c r="AC161" s="453"/>
      <c r="AD161" s="453"/>
      <c r="AE161" s="453"/>
      <c r="AF161" s="453"/>
      <c r="AG161" s="453"/>
      <c r="AH161" s="529"/>
      <c r="AI161" s="529"/>
      <c r="AJ161" s="529"/>
      <c r="AK161" s="529"/>
      <c r="AL161" s="453"/>
      <c r="AM161" s="453">
        <v>127000</v>
      </c>
      <c r="AN161" s="453"/>
      <c r="AO161" s="453"/>
      <c r="AP161" s="529"/>
      <c r="AQ161" s="529"/>
      <c r="AR161" s="529"/>
      <c r="AS161" s="529"/>
      <c r="AT161" s="529"/>
      <c r="AU161" s="529"/>
      <c r="AV161" s="453"/>
      <c r="AW161" s="453"/>
      <c r="AX161" s="453"/>
      <c r="AY161" s="453"/>
      <c r="AZ161" s="453"/>
      <c r="BA161" s="453"/>
      <c r="BB161" s="502"/>
      <c r="BC161" s="503"/>
      <c r="BD161" s="453"/>
      <c r="BE161" s="453"/>
      <c r="BF161" s="470"/>
      <c r="BG161" s="453"/>
      <c r="BH161" s="453"/>
      <c r="BI161" s="453"/>
      <c r="BJ161" s="453"/>
      <c r="BK161" s="453"/>
      <c r="BL161" s="453"/>
      <c r="BM161" s="502"/>
      <c r="BN161" s="490"/>
      <c r="BO161" s="470"/>
      <c r="BP161" s="490"/>
      <c r="BQ161" s="453"/>
      <c r="BR161" s="502"/>
      <c r="BS161" s="524"/>
      <c r="BT161" s="530"/>
    </row>
    <row r="162" s="435" customFormat="1" ht="18" customHeight="1" spans="1:72">
      <c r="A162" s="451" t="s">
        <v>4033</v>
      </c>
      <c r="B162" s="456">
        <v>44018</v>
      </c>
      <c r="C162" s="459">
        <v>1000005475</v>
      </c>
      <c r="D162" s="451"/>
      <c r="E162" s="457"/>
      <c r="F162" s="453"/>
      <c r="G162" s="453"/>
      <c r="H162" s="453"/>
      <c r="I162" s="453"/>
      <c r="J162" s="453"/>
      <c r="K162" s="453"/>
      <c r="L162" s="453"/>
      <c r="M162" s="453"/>
      <c r="N162" s="453"/>
      <c r="O162" s="453"/>
      <c r="P162" s="453"/>
      <c r="Q162" s="453"/>
      <c r="R162" s="453"/>
      <c r="S162" s="453"/>
      <c r="T162" s="453"/>
      <c r="U162" s="453"/>
      <c r="V162" s="453"/>
      <c r="W162" s="453"/>
      <c r="X162" s="453"/>
      <c r="Y162" s="453"/>
      <c r="Z162" s="489"/>
      <c r="AA162" s="489"/>
      <c r="AB162" s="490"/>
      <c r="AC162" s="453"/>
      <c r="AD162" s="453"/>
      <c r="AE162" s="453"/>
      <c r="AF162" s="453"/>
      <c r="AG162" s="453"/>
      <c r="AH162" s="453">
        <v>23000</v>
      </c>
      <c r="AI162" s="453"/>
      <c r="AJ162" s="453"/>
      <c r="AK162" s="453"/>
      <c r="AL162" s="453"/>
      <c r="AM162" s="453"/>
      <c r="AN162" s="453"/>
      <c r="AO162" s="453"/>
      <c r="AP162" s="529"/>
      <c r="AQ162" s="529"/>
      <c r="AR162" s="529"/>
      <c r="AS162" s="529"/>
      <c r="AT162" s="529"/>
      <c r="AU162" s="529"/>
      <c r="AV162" s="453"/>
      <c r="AW162" s="453"/>
      <c r="AX162" s="453"/>
      <c r="AY162" s="453"/>
      <c r="AZ162" s="453"/>
      <c r="BA162" s="453"/>
      <c r="BB162" s="502"/>
      <c r="BC162" s="503"/>
      <c r="BD162" s="453"/>
      <c r="BE162" s="453"/>
      <c r="BF162" s="470"/>
      <c r="BG162" s="453"/>
      <c r="BH162" s="453"/>
      <c r="BI162" s="453"/>
      <c r="BJ162" s="453"/>
      <c r="BK162" s="453"/>
      <c r="BL162" s="453"/>
      <c r="BM162" s="502"/>
      <c r="BN162" s="490"/>
      <c r="BO162" s="470"/>
      <c r="BP162" s="490"/>
      <c r="BQ162" s="453"/>
      <c r="BR162" s="502"/>
      <c r="BS162" s="524"/>
      <c r="BT162" s="530"/>
    </row>
    <row r="163" s="435" customFormat="1" ht="18" customHeight="1" spans="1:72">
      <c r="A163" s="451" t="s">
        <v>4033</v>
      </c>
      <c r="B163" s="456">
        <v>44018</v>
      </c>
      <c r="C163" s="459">
        <v>1000005476</v>
      </c>
      <c r="D163" s="451"/>
      <c r="E163" s="457"/>
      <c r="F163" s="453"/>
      <c r="G163" s="453"/>
      <c r="H163" s="453"/>
      <c r="I163" s="453"/>
      <c r="J163" s="453"/>
      <c r="K163" s="453"/>
      <c r="L163" s="453"/>
      <c r="M163" s="453"/>
      <c r="N163" s="453"/>
      <c r="O163" s="453"/>
      <c r="P163" s="453"/>
      <c r="Q163" s="453"/>
      <c r="R163" s="453"/>
      <c r="S163" s="453"/>
      <c r="T163" s="453"/>
      <c r="U163" s="453"/>
      <c r="V163" s="453"/>
      <c r="W163" s="453"/>
      <c r="X163" s="453"/>
      <c r="Y163" s="453"/>
      <c r="Z163" s="489"/>
      <c r="AA163" s="489"/>
      <c r="AB163" s="490"/>
      <c r="AC163" s="453"/>
      <c r="AD163" s="453"/>
      <c r="AE163" s="453"/>
      <c r="AF163" s="453"/>
      <c r="AG163" s="453"/>
      <c r="AH163" s="529"/>
      <c r="AI163" s="529"/>
      <c r="AJ163" s="529"/>
      <c r="AK163" s="529"/>
      <c r="AL163" s="453"/>
      <c r="AM163" s="453"/>
      <c r="AN163" s="453"/>
      <c r="AO163" s="453"/>
      <c r="AP163" s="529"/>
      <c r="AQ163" s="453">
        <v>23000</v>
      </c>
      <c r="AR163" s="453"/>
      <c r="AS163" s="453"/>
      <c r="AT163" s="453"/>
      <c r="AU163" s="453"/>
      <c r="AV163" s="453"/>
      <c r="AW163" s="453"/>
      <c r="AX163" s="453"/>
      <c r="AY163" s="453"/>
      <c r="AZ163" s="453"/>
      <c r="BA163" s="453"/>
      <c r="BB163" s="502">
        <v>4800</v>
      </c>
      <c r="BC163" s="503"/>
      <c r="BD163" s="453"/>
      <c r="BE163" s="453"/>
      <c r="BF163" s="470"/>
      <c r="BG163" s="453"/>
      <c r="BH163" s="453"/>
      <c r="BI163" s="453"/>
      <c r="BJ163" s="453"/>
      <c r="BK163" s="453"/>
      <c r="BL163" s="453"/>
      <c r="BM163" s="502"/>
      <c r="BN163" s="490"/>
      <c r="BO163" s="470"/>
      <c r="BP163" s="490"/>
      <c r="BQ163" s="453"/>
      <c r="BR163" s="502"/>
      <c r="BS163" s="524"/>
      <c r="BT163" s="530"/>
    </row>
    <row r="164" s="435" customFormat="1" ht="18" customHeight="1" spans="1:72">
      <c r="A164" s="451" t="s">
        <v>4033</v>
      </c>
      <c r="B164" s="456">
        <v>44020</v>
      </c>
      <c r="C164" s="459">
        <v>1000005477</v>
      </c>
      <c r="D164" s="451"/>
      <c r="E164" s="457"/>
      <c r="F164" s="453"/>
      <c r="G164" s="453"/>
      <c r="H164" s="453"/>
      <c r="I164" s="453"/>
      <c r="J164" s="453"/>
      <c r="K164" s="453"/>
      <c r="L164" s="453"/>
      <c r="M164" s="453"/>
      <c r="N164" s="453"/>
      <c r="O164" s="453"/>
      <c r="P164" s="453"/>
      <c r="Q164" s="453"/>
      <c r="R164" s="453"/>
      <c r="S164" s="453"/>
      <c r="T164" s="453"/>
      <c r="U164" s="453"/>
      <c r="V164" s="453"/>
      <c r="W164" s="453"/>
      <c r="X164" s="453"/>
      <c r="Y164" s="453"/>
      <c r="Z164" s="489"/>
      <c r="AA164" s="489"/>
      <c r="AB164" s="490"/>
      <c r="AC164" s="453"/>
      <c r="AD164" s="453"/>
      <c r="AE164" s="453"/>
      <c r="AF164" s="453"/>
      <c r="AG164" s="453"/>
      <c r="AH164" s="529"/>
      <c r="AI164" s="529"/>
      <c r="AJ164" s="529"/>
      <c r="AK164" s="529"/>
      <c r="AL164" s="453"/>
      <c r="AM164" s="453"/>
      <c r="AN164" s="453"/>
      <c r="AO164" s="453"/>
      <c r="AP164" s="529"/>
      <c r="AQ164" s="453"/>
      <c r="AR164" s="453"/>
      <c r="AS164" s="453"/>
      <c r="AT164" s="453"/>
      <c r="AU164" s="453"/>
      <c r="AV164" s="453"/>
      <c r="AW164" s="453"/>
      <c r="AX164" s="453"/>
      <c r="AY164" s="453"/>
      <c r="AZ164" s="453"/>
      <c r="BA164" s="453"/>
      <c r="BB164" s="502">
        <v>15360</v>
      </c>
      <c r="BC164" s="503"/>
      <c r="BD164" s="453"/>
      <c r="BE164" s="453"/>
      <c r="BF164" s="470"/>
      <c r="BG164" s="453"/>
      <c r="BH164" s="453"/>
      <c r="BI164" s="453"/>
      <c r="BJ164" s="453"/>
      <c r="BK164" s="453"/>
      <c r="BL164" s="453"/>
      <c r="BM164" s="502"/>
      <c r="BN164" s="490"/>
      <c r="BO164" s="470"/>
      <c r="BP164" s="490"/>
      <c r="BQ164" s="453"/>
      <c r="BR164" s="502"/>
      <c r="BS164" s="524"/>
      <c r="BT164" s="530"/>
    </row>
    <row r="165" s="435" customFormat="1" ht="18" customHeight="1" spans="1:72">
      <c r="A165" s="451" t="s">
        <v>4033</v>
      </c>
      <c r="B165" s="456">
        <v>44020</v>
      </c>
      <c r="C165" s="459">
        <v>1000005478</v>
      </c>
      <c r="D165" s="451"/>
      <c r="E165" s="457"/>
      <c r="F165" s="453"/>
      <c r="G165" s="453"/>
      <c r="H165" s="453"/>
      <c r="I165" s="453"/>
      <c r="J165" s="453"/>
      <c r="K165" s="453"/>
      <c r="L165" s="453"/>
      <c r="M165" s="453"/>
      <c r="N165" s="453"/>
      <c r="O165" s="453"/>
      <c r="P165" s="453"/>
      <c r="Q165" s="453"/>
      <c r="R165" s="453"/>
      <c r="S165" s="453"/>
      <c r="T165" s="453"/>
      <c r="U165" s="453"/>
      <c r="V165" s="453"/>
      <c r="W165" s="453"/>
      <c r="X165" s="453"/>
      <c r="Y165" s="453"/>
      <c r="Z165" s="489"/>
      <c r="AA165" s="489"/>
      <c r="AB165" s="490"/>
      <c r="AC165" s="453"/>
      <c r="AD165" s="453"/>
      <c r="AE165" s="453"/>
      <c r="AF165" s="453"/>
      <c r="AG165" s="453"/>
      <c r="AH165" s="529"/>
      <c r="AI165" s="529"/>
      <c r="AJ165" s="529"/>
      <c r="AK165" s="529"/>
      <c r="AL165" s="453"/>
      <c r="AM165" s="453"/>
      <c r="AN165" s="453"/>
      <c r="AO165" s="453"/>
      <c r="AP165" s="529"/>
      <c r="AQ165" s="453"/>
      <c r="AR165" s="453"/>
      <c r="AS165" s="453"/>
      <c r="AT165" s="453"/>
      <c r="AU165" s="453"/>
      <c r="AV165" s="453"/>
      <c r="AW165" s="453"/>
      <c r="AX165" s="453"/>
      <c r="AY165" s="453"/>
      <c r="AZ165" s="453"/>
      <c r="BA165" s="453">
        <v>6080</v>
      </c>
      <c r="BB165" s="502"/>
      <c r="BC165" s="503"/>
      <c r="BD165" s="453"/>
      <c r="BE165" s="453"/>
      <c r="BF165" s="470"/>
      <c r="BG165" s="453"/>
      <c r="BH165" s="453"/>
      <c r="BI165" s="453"/>
      <c r="BJ165" s="453"/>
      <c r="BK165" s="453"/>
      <c r="BL165" s="453"/>
      <c r="BM165" s="502"/>
      <c r="BN165" s="490"/>
      <c r="BO165" s="470"/>
      <c r="BP165" s="490"/>
      <c r="BQ165" s="453"/>
      <c r="BR165" s="502"/>
      <c r="BS165" s="524"/>
      <c r="BT165" s="530"/>
    </row>
    <row r="166" s="435" customFormat="1" ht="18" customHeight="1" spans="1:72">
      <c r="A166" s="451" t="s">
        <v>4033</v>
      </c>
      <c r="B166" s="456">
        <v>44035</v>
      </c>
      <c r="C166" s="526">
        <v>1000005592</v>
      </c>
      <c r="D166" s="451"/>
      <c r="E166" s="457"/>
      <c r="F166" s="453"/>
      <c r="G166" s="453"/>
      <c r="H166" s="453"/>
      <c r="I166" s="453"/>
      <c r="J166" s="453"/>
      <c r="K166" s="453"/>
      <c r="L166" s="453"/>
      <c r="M166" s="453"/>
      <c r="N166" s="453"/>
      <c r="O166" s="453"/>
      <c r="P166" s="453"/>
      <c r="Q166" s="453"/>
      <c r="R166" s="453"/>
      <c r="S166" s="453"/>
      <c r="T166" s="453"/>
      <c r="U166" s="453"/>
      <c r="V166" s="453"/>
      <c r="W166" s="453"/>
      <c r="X166" s="453"/>
      <c r="Y166" s="453"/>
      <c r="Z166" s="489"/>
      <c r="AA166" s="489"/>
      <c r="AB166" s="490"/>
      <c r="AC166" s="453"/>
      <c r="AD166" s="453"/>
      <c r="AE166" s="453"/>
      <c r="AF166" s="453"/>
      <c r="AG166" s="453"/>
      <c r="AH166" s="453"/>
      <c r="AI166" s="453"/>
      <c r="AJ166" s="453"/>
      <c r="AK166" s="453"/>
      <c r="AL166" s="453"/>
      <c r="AM166" s="453"/>
      <c r="AN166" s="453"/>
      <c r="AO166" s="453"/>
      <c r="AP166" s="453"/>
      <c r="AQ166" s="453"/>
      <c r="AR166" s="453"/>
      <c r="AS166" s="453"/>
      <c r="AT166" s="453"/>
      <c r="AU166" s="453"/>
      <c r="AV166" s="453"/>
      <c r="AW166" s="453"/>
      <c r="AX166" s="453"/>
      <c r="AY166" s="453"/>
      <c r="AZ166" s="453"/>
      <c r="BA166" s="532">
        <v>6080</v>
      </c>
      <c r="BB166" s="502"/>
      <c r="BC166" s="503"/>
      <c r="BD166" s="453"/>
      <c r="BE166" s="453"/>
      <c r="BF166" s="470"/>
      <c r="BG166" s="453"/>
      <c r="BH166" s="453"/>
      <c r="BI166" s="453"/>
      <c r="BJ166" s="453"/>
      <c r="BK166" s="453"/>
      <c r="BL166" s="453"/>
      <c r="BM166" s="502"/>
      <c r="BN166" s="490"/>
      <c r="BO166" s="470"/>
      <c r="BP166" s="490"/>
      <c r="BQ166" s="453"/>
      <c r="BR166" s="502"/>
      <c r="BS166" s="524"/>
      <c r="BT166" s="530"/>
    </row>
    <row r="167" s="435" customFormat="1" ht="18" customHeight="1" spans="1:72">
      <c r="A167" s="451" t="s">
        <v>4033</v>
      </c>
      <c r="B167" s="456">
        <v>44035</v>
      </c>
      <c r="C167" s="526">
        <v>1000005593</v>
      </c>
      <c r="D167" s="451"/>
      <c r="E167" s="457"/>
      <c r="F167" s="453"/>
      <c r="G167" s="453"/>
      <c r="H167" s="453"/>
      <c r="I167" s="453"/>
      <c r="J167" s="453"/>
      <c r="K167" s="453"/>
      <c r="L167" s="453"/>
      <c r="M167" s="453"/>
      <c r="N167" s="453"/>
      <c r="O167" s="453"/>
      <c r="P167" s="453"/>
      <c r="Q167" s="453"/>
      <c r="R167" s="453"/>
      <c r="S167" s="453"/>
      <c r="T167" s="453"/>
      <c r="U167" s="453"/>
      <c r="V167" s="453"/>
      <c r="W167" s="453"/>
      <c r="X167" s="453"/>
      <c r="Y167" s="453"/>
      <c r="Z167" s="489"/>
      <c r="AA167" s="489"/>
      <c r="AB167" s="490"/>
      <c r="AC167" s="453"/>
      <c r="AD167" s="453"/>
      <c r="AE167" s="453"/>
      <c r="AF167" s="453"/>
      <c r="AG167" s="453"/>
      <c r="AH167" s="453"/>
      <c r="AI167" s="453"/>
      <c r="AJ167" s="453"/>
      <c r="AK167" s="453"/>
      <c r="AL167" s="453"/>
      <c r="AM167" s="453"/>
      <c r="AN167" s="453"/>
      <c r="AO167" s="453"/>
      <c r="AP167" s="453"/>
      <c r="AQ167" s="453"/>
      <c r="AR167" s="453"/>
      <c r="AS167" s="453"/>
      <c r="AT167" s="453"/>
      <c r="AU167" s="453"/>
      <c r="AV167" s="453"/>
      <c r="AW167" s="453"/>
      <c r="AX167" s="453"/>
      <c r="AY167" s="453"/>
      <c r="AZ167" s="453"/>
      <c r="BA167" s="532"/>
      <c r="BB167" s="502">
        <v>4800</v>
      </c>
      <c r="BC167" s="503"/>
      <c r="BD167" s="453"/>
      <c r="BE167" s="453"/>
      <c r="BF167" s="470"/>
      <c r="BG167" s="453"/>
      <c r="BH167" s="453"/>
      <c r="BI167" s="453"/>
      <c r="BJ167" s="453"/>
      <c r="BK167" s="453"/>
      <c r="BL167" s="453"/>
      <c r="BM167" s="502"/>
      <c r="BN167" s="490"/>
      <c r="BO167" s="470"/>
      <c r="BP167" s="490"/>
      <c r="BQ167" s="453"/>
      <c r="BR167" s="502"/>
      <c r="BS167" s="524"/>
      <c r="BT167" s="530"/>
    </row>
    <row r="168" s="435" customFormat="1" ht="18" customHeight="1" spans="1:72">
      <c r="A168" s="451" t="s">
        <v>4033</v>
      </c>
      <c r="B168" s="456">
        <v>44036</v>
      </c>
      <c r="C168" s="526">
        <v>1000005602</v>
      </c>
      <c r="D168" s="451"/>
      <c r="E168" s="457"/>
      <c r="F168" s="453"/>
      <c r="G168" s="453"/>
      <c r="H168" s="453"/>
      <c r="I168" s="453"/>
      <c r="J168" s="453"/>
      <c r="K168" s="453"/>
      <c r="L168" s="453"/>
      <c r="M168" s="453"/>
      <c r="N168" s="453"/>
      <c r="O168" s="453"/>
      <c r="P168" s="453"/>
      <c r="Q168" s="453"/>
      <c r="R168" s="453"/>
      <c r="S168" s="453"/>
      <c r="T168" s="453"/>
      <c r="U168" s="453"/>
      <c r="V168" s="453"/>
      <c r="W168" s="453"/>
      <c r="X168" s="453"/>
      <c r="Y168" s="453"/>
      <c r="Z168" s="489"/>
      <c r="AA168" s="489"/>
      <c r="AB168" s="490"/>
      <c r="AC168" s="453">
        <v>240000</v>
      </c>
      <c r="AD168" s="453"/>
      <c r="AE168" s="453"/>
      <c r="AF168" s="453"/>
      <c r="AG168" s="453"/>
      <c r="AH168" s="453"/>
      <c r="AI168" s="453"/>
      <c r="AJ168" s="453"/>
      <c r="AK168" s="453"/>
      <c r="AL168" s="453"/>
      <c r="AM168" s="453"/>
      <c r="AN168" s="453"/>
      <c r="AO168" s="453"/>
      <c r="AP168" s="453"/>
      <c r="AQ168" s="453"/>
      <c r="AR168" s="453"/>
      <c r="AS168" s="453"/>
      <c r="AT168" s="453"/>
      <c r="AU168" s="453"/>
      <c r="AV168" s="453"/>
      <c r="AW168" s="453"/>
      <c r="AX168" s="453"/>
      <c r="AY168" s="453"/>
      <c r="AZ168" s="453"/>
      <c r="BA168" s="532"/>
      <c r="BB168" s="502"/>
      <c r="BC168" s="503"/>
      <c r="BD168" s="453"/>
      <c r="BE168" s="453"/>
      <c r="BF168" s="470"/>
      <c r="BG168" s="453"/>
      <c r="BH168" s="453"/>
      <c r="BI168" s="453"/>
      <c r="BJ168" s="453"/>
      <c r="BK168" s="453"/>
      <c r="BL168" s="453"/>
      <c r="BM168" s="502"/>
      <c r="BN168" s="490"/>
      <c r="BO168" s="470"/>
      <c r="BP168" s="490"/>
      <c r="BQ168" s="453"/>
      <c r="BR168" s="502"/>
      <c r="BS168" s="524"/>
      <c r="BT168" s="530"/>
    </row>
    <row r="169" s="435" customFormat="1" ht="18" customHeight="1" spans="1:72">
      <c r="A169" s="451" t="s">
        <v>4033</v>
      </c>
      <c r="B169" s="456">
        <v>44036</v>
      </c>
      <c r="C169" s="526">
        <v>1000005603</v>
      </c>
      <c r="D169" s="451"/>
      <c r="E169" s="457"/>
      <c r="F169" s="453"/>
      <c r="G169" s="453"/>
      <c r="H169" s="453"/>
      <c r="I169" s="453"/>
      <c r="J169" s="453"/>
      <c r="K169" s="453"/>
      <c r="L169" s="453"/>
      <c r="M169" s="453"/>
      <c r="N169" s="453"/>
      <c r="O169" s="453"/>
      <c r="P169" s="453"/>
      <c r="Q169" s="453"/>
      <c r="R169" s="453"/>
      <c r="S169" s="453"/>
      <c r="T169" s="453"/>
      <c r="U169" s="453"/>
      <c r="V169" s="453"/>
      <c r="W169" s="453"/>
      <c r="X169" s="453"/>
      <c r="Y169" s="453"/>
      <c r="Z169" s="489"/>
      <c r="AA169" s="489"/>
      <c r="AB169" s="490"/>
      <c r="AC169" s="453"/>
      <c r="AD169" s="453"/>
      <c r="AE169" s="453"/>
      <c r="AF169" s="453"/>
      <c r="AG169" s="453"/>
      <c r="AH169" s="453"/>
      <c r="AI169" s="453"/>
      <c r="AJ169" s="453"/>
      <c r="AK169" s="453"/>
      <c r="AL169" s="453"/>
      <c r="AM169" s="453">
        <v>320000</v>
      </c>
      <c r="AN169" s="453"/>
      <c r="AO169" s="453"/>
      <c r="AP169" s="453"/>
      <c r="AQ169" s="453"/>
      <c r="AR169" s="453"/>
      <c r="AS169" s="453"/>
      <c r="AT169" s="453"/>
      <c r="AU169" s="453"/>
      <c r="AV169" s="453"/>
      <c r="AW169" s="453"/>
      <c r="AX169" s="453"/>
      <c r="AY169" s="453"/>
      <c r="AZ169" s="453"/>
      <c r="BA169" s="532"/>
      <c r="BB169" s="502"/>
      <c r="BC169" s="503"/>
      <c r="BD169" s="453"/>
      <c r="BE169" s="453"/>
      <c r="BF169" s="470"/>
      <c r="BG169" s="453"/>
      <c r="BH169" s="453"/>
      <c r="BI169" s="453"/>
      <c r="BJ169" s="453"/>
      <c r="BK169" s="453"/>
      <c r="BL169" s="453"/>
      <c r="BM169" s="502"/>
      <c r="BN169" s="490"/>
      <c r="BO169" s="470"/>
      <c r="BP169" s="490"/>
      <c r="BQ169" s="453"/>
      <c r="BR169" s="502"/>
      <c r="BS169" s="524"/>
      <c r="BT169" s="530"/>
    </row>
    <row r="170" s="435" customFormat="1" ht="18" customHeight="1" spans="1:72">
      <c r="A170" s="451" t="s">
        <v>4033</v>
      </c>
      <c r="B170" s="456">
        <v>44036</v>
      </c>
      <c r="C170" s="526">
        <v>1000005604</v>
      </c>
      <c r="D170" s="451"/>
      <c r="E170" s="457"/>
      <c r="F170" s="453"/>
      <c r="G170" s="453"/>
      <c r="H170" s="453"/>
      <c r="I170" s="453"/>
      <c r="J170" s="453"/>
      <c r="K170" s="453"/>
      <c r="L170" s="453"/>
      <c r="M170" s="453"/>
      <c r="N170" s="453"/>
      <c r="O170" s="453"/>
      <c r="P170" s="453"/>
      <c r="Q170" s="453"/>
      <c r="R170" s="453"/>
      <c r="S170" s="453"/>
      <c r="T170" s="453"/>
      <c r="U170" s="453"/>
      <c r="V170" s="453"/>
      <c r="W170" s="453"/>
      <c r="X170" s="453"/>
      <c r="Y170" s="453"/>
      <c r="Z170" s="489"/>
      <c r="AA170" s="489"/>
      <c r="AB170" s="490"/>
      <c r="AC170" s="453"/>
      <c r="AD170" s="453"/>
      <c r="AE170" s="453"/>
      <c r="AF170" s="453"/>
      <c r="AG170" s="453"/>
      <c r="AH170" s="453">
        <v>20000</v>
      </c>
      <c r="AI170" s="453"/>
      <c r="AJ170" s="453"/>
      <c r="AK170" s="453"/>
      <c r="AL170" s="453"/>
      <c r="AM170" s="453"/>
      <c r="AN170" s="453"/>
      <c r="AO170" s="453"/>
      <c r="AP170" s="453"/>
      <c r="AQ170" s="453"/>
      <c r="AR170" s="453"/>
      <c r="AS170" s="453"/>
      <c r="AT170" s="453"/>
      <c r="AU170" s="453"/>
      <c r="AV170" s="453"/>
      <c r="AW170" s="453"/>
      <c r="AX170" s="453"/>
      <c r="AY170" s="453"/>
      <c r="AZ170" s="453"/>
      <c r="BA170" s="532"/>
      <c r="BB170" s="502"/>
      <c r="BC170" s="503"/>
      <c r="BD170" s="453"/>
      <c r="BE170" s="453"/>
      <c r="BF170" s="470"/>
      <c r="BG170" s="453"/>
      <c r="BH170" s="453"/>
      <c r="BI170" s="453"/>
      <c r="BJ170" s="453"/>
      <c r="BK170" s="453"/>
      <c r="BL170" s="453"/>
      <c r="BM170" s="502"/>
      <c r="BN170" s="490"/>
      <c r="BO170" s="470"/>
      <c r="BP170" s="490"/>
      <c r="BQ170" s="453"/>
      <c r="BR170" s="502"/>
      <c r="BS170" s="524"/>
      <c r="BT170" s="530"/>
    </row>
    <row r="171" s="435" customFormat="1" ht="18" customHeight="1" spans="1:72">
      <c r="A171" s="451" t="s">
        <v>4033</v>
      </c>
      <c r="B171" s="456">
        <v>44036</v>
      </c>
      <c r="C171" s="526">
        <v>1000005605</v>
      </c>
      <c r="D171" s="451"/>
      <c r="E171" s="457"/>
      <c r="F171" s="453"/>
      <c r="G171" s="453"/>
      <c r="H171" s="453"/>
      <c r="I171" s="453"/>
      <c r="J171" s="453"/>
      <c r="K171" s="453"/>
      <c r="L171" s="453"/>
      <c r="M171" s="453"/>
      <c r="N171" s="453"/>
      <c r="O171" s="453"/>
      <c r="P171" s="453"/>
      <c r="Q171" s="453"/>
      <c r="R171" s="453"/>
      <c r="S171" s="453"/>
      <c r="T171" s="453"/>
      <c r="U171" s="453"/>
      <c r="V171" s="453"/>
      <c r="W171" s="453"/>
      <c r="X171" s="453"/>
      <c r="Y171" s="453"/>
      <c r="Z171" s="489"/>
      <c r="AA171" s="489"/>
      <c r="AB171" s="490"/>
      <c r="AC171" s="453"/>
      <c r="AD171" s="453"/>
      <c r="AE171" s="453"/>
      <c r="AF171" s="453"/>
      <c r="AG171" s="453"/>
      <c r="AH171" s="453"/>
      <c r="AI171" s="453"/>
      <c r="AJ171" s="453"/>
      <c r="AK171" s="453"/>
      <c r="AL171" s="453"/>
      <c r="AM171" s="453"/>
      <c r="AN171" s="453"/>
      <c r="AO171" s="453"/>
      <c r="AP171" s="453"/>
      <c r="AQ171" s="453">
        <v>12000</v>
      </c>
      <c r="AR171" s="453"/>
      <c r="AS171" s="453"/>
      <c r="AT171" s="453"/>
      <c r="AU171" s="453"/>
      <c r="AV171" s="453"/>
      <c r="AW171" s="453"/>
      <c r="AX171" s="453"/>
      <c r="AY171" s="453"/>
      <c r="AZ171" s="453"/>
      <c r="BA171" s="532"/>
      <c r="BB171" s="502"/>
      <c r="BC171" s="503"/>
      <c r="BD171" s="453"/>
      <c r="BE171" s="453"/>
      <c r="BF171" s="470"/>
      <c r="BG171" s="453"/>
      <c r="BH171" s="453"/>
      <c r="BI171" s="453"/>
      <c r="BJ171" s="453"/>
      <c r="BK171" s="453"/>
      <c r="BL171" s="453"/>
      <c r="BM171" s="502"/>
      <c r="BN171" s="490"/>
      <c r="BO171" s="470"/>
      <c r="BP171" s="490"/>
      <c r="BQ171" s="453"/>
      <c r="BR171" s="502"/>
      <c r="BS171" s="524"/>
      <c r="BT171" s="530"/>
    </row>
    <row r="172" s="435" customFormat="1" ht="18" customHeight="1" spans="1:72">
      <c r="A172" s="451" t="s">
        <v>4033</v>
      </c>
      <c r="B172" s="456">
        <v>44036</v>
      </c>
      <c r="C172" s="526">
        <v>1000005606</v>
      </c>
      <c r="D172" s="451"/>
      <c r="E172" s="457"/>
      <c r="F172" s="453"/>
      <c r="G172" s="453"/>
      <c r="H172" s="453"/>
      <c r="I172" s="453"/>
      <c r="J172" s="453"/>
      <c r="K172" s="453"/>
      <c r="L172" s="453"/>
      <c r="M172" s="453"/>
      <c r="N172" s="453"/>
      <c r="O172" s="453"/>
      <c r="P172" s="453"/>
      <c r="Q172" s="453"/>
      <c r="R172" s="453"/>
      <c r="S172" s="453"/>
      <c r="T172" s="453"/>
      <c r="U172" s="453"/>
      <c r="V172" s="453"/>
      <c r="W172" s="453"/>
      <c r="X172" s="453"/>
      <c r="Y172" s="453"/>
      <c r="Z172" s="489"/>
      <c r="AA172" s="489"/>
      <c r="AB172" s="490"/>
      <c r="AC172" s="453"/>
      <c r="AD172" s="453"/>
      <c r="AE172" s="453"/>
      <c r="AF172" s="453"/>
      <c r="AG172" s="453"/>
      <c r="AH172" s="453"/>
      <c r="AI172" s="453"/>
      <c r="AJ172" s="453"/>
      <c r="AK172" s="453"/>
      <c r="AL172" s="453"/>
      <c r="AM172" s="453"/>
      <c r="AN172" s="453"/>
      <c r="AO172" s="453"/>
      <c r="AP172" s="453"/>
      <c r="AQ172" s="453"/>
      <c r="AR172" s="453"/>
      <c r="AS172" s="453"/>
      <c r="AT172" s="453"/>
      <c r="AU172" s="453"/>
      <c r="AV172" s="453"/>
      <c r="AW172" s="453"/>
      <c r="AX172" s="453"/>
      <c r="AY172" s="453"/>
      <c r="AZ172" s="453"/>
      <c r="BA172" s="532"/>
      <c r="BB172" s="502"/>
      <c r="BC172" s="503">
        <v>40000</v>
      </c>
      <c r="BD172" s="453"/>
      <c r="BE172" s="453"/>
      <c r="BF172" s="470"/>
      <c r="BG172" s="453"/>
      <c r="BH172" s="453"/>
      <c r="BI172" s="453"/>
      <c r="BJ172" s="453"/>
      <c r="BK172" s="453"/>
      <c r="BL172" s="453"/>
      <c r="BM172" s="502"/>
      <c r="BN172" s="490"/>
      <c r="BO172" s="470"/>
      <c r="BP172" s="490"/>
      <c r="BQ172" s="453"/>
      <c r="BR172" s="502"/>
      <c r="BS172" s="524"/>
      <c r="BT172" s="530"/>
    </row>
    <row r="173" s="435" customFormat="1" ht="18" customHeight="1" spans="1:72">
      <c r="A173" s="451" t="s">
        <v>4033</v>
      </c>
      <c r="B173" s="456">
        <v>44036</v>
      </c>
      <c r="C173" s="526">
        <v>1000005607</v>
      </c>
      <c r="D173" s="451"/>
      <c r="E173" s="457"/>
      <c r="F173" s="453"/>
      <c r="G173" s="453"/>
      <c r="H173" s="453"/>
      <c r="I173" s="453"/>
      <c r="J173" s="453"/>
      <c r="K173" s="453"/>
      <c r="L173" s="453"/>
      <c r="M173" s="453"/>
      <c r="N173" s="453"/>
      <c r="O173" s="453"/>
      <c r="P173" s="453"/>
      <c r="Q173" s="453"/>
      <c r="R173" s="453"/>
      <c r="S173" s="453"/>
      <c r="T173" s="453"/>
      <c r="U173" s="453"/>
      <c r="V173" s="453"/>
      <c r="W173" s="453"/>
      <c r="X173" s="453"/>
      <c r="Y173" s="453"/>
      <c r="Z173" s="489"/>
      <c r="AA173" s="489"/>
      <c r="AB173" s="490"/>
      <c r="AC173" s="453"/>
      <c r="AD173" s="453"/>
      <c r="AE173" s="453"/>
      <c r="AF173" s="453"/>
      <c r="AG173" s="453"/>
      <c r="AH173" s="453"/>
      <c r="AI173" s="453"/>
      <c r="AJ173" s="453"/>
      <c r="AK173" s="453"/>
      <c r="AL173" s="453"/>
      <c r="AM173" s="453"/>
      <c r="AN173" s="453"/>
      <c r="AO173" s="453"/>
      <c r="AP173" s="453"/>
      <c r="AQ173" s="453"/>
      <c r="AR173" s="453"/>
      <c r="AS173" s="453"/>
      <c r="AT173" s="453"/>
      <c r="AU173" s="453"/>
      <c r="AV173" s="453"/>
      <c r="AW173" s="453"/>
      <c r="AX173" s="453"/>
      <c r="AY173" s="453"/>
      <c r="AZ173" s="453"/>
      <c r="BA173" s="532"/>
      <c r="BB173" s="502"/>
      <c r="BC173" s="503"/>
      <c r="BD173" s="453">
        <v>40000</v>
      </c>
      <c r="BE173" s="453"/>
      <c r="BF173" s="470"/>
      <c r="BG173" s="453"/>
      <c r="BH173" s="453"/>
      <c r="BI173" s="453"/>
      <c r="BJ173" s="453"/>
      <c r="BK173" s="453"/>
      <c r="BL173" s="453"/>
      <c r="BM173" s="502"/>
      <c r="BN173" s="490"/>
      <c r="BO173" s="470"/>
      <c r="BP173" s="490"/>
      <c r="BQ173" s="453"/>
      <c r="BR173" s="502"/>
      <c r="BS173" s="524"/>
      <c r="BT173" s="530"/>
    </row>
    <row r="174" s="435" customFormat="1" ht="18" customHeight="1" spans="1:72">
      <c r="A174" s="451" t="s">
        <v>4033</v>
      </c>
      <c r="B174" s="456">
        <v>44036</v>
      </c>
      <c r="C174" s="526">
        <v>1000005608</v>
      </c>
      <c r="D174" s="451"/>
      <c r="E174" s="457"/>
      <c r="F174" s="453"/>
      <c r="G174" s="453"/>
      <c r="H174" s="453"/>
      <c r="I174" s="453"/>
      <c r="J174" s="453"/>
      <c r="K174" s="453"/>
      <c r="L174" s="453"/>
      <c r="M174" s="453"/>
      <c r="N174" s="453"/>
      <c r="O174" s="453"/>
      <c r="P174" s="453"/>
      <c r="Q174" s="453"/>
      <c r="R174" s="453"/>
      <c r="S174" s="453"/>
      <c r="T174" s="453"/>
      <c r="U174" s="453"/>
      <c r="V174" s="453"/>
      <c r="W174" s="453"/>
      <c r="X174" s="453"/>
      <c r="Y174" s="453"/>
      <c r="Z174" s="489"/>
      <c r="AA174" s="489"/>
      <c r="AB174" s="490"/>
      <c r="AC174" s="453"/>
      <c r="AD174" s="453"/>
      <c r="AE174" s="453"/>
      <c r="AF174" s="453"/>
      <c r="AG174" s="453"/>
      <c r="AH174" s="453"/>
      <c r="AI174" s="453"/>
      <c r="AJ174" s="453"/>
      <c r="AK174" s="453"/>
      <c r="AL174" s="453"/>
      <c r="AM174" s="453"/>
      <c r="AN174" s="453"/>
      <c r="AO174" s="453"/>
      <c r="AP174" s="453"/>
      <c r="AQ174" s="453"/>
      <c r="AR174" s="453"/>
      <c r="AS174" s="453"/>
      <c r="AT174" s="453"/>
      <c r="AU174" s="453"/>
      <c r="AV174" s="453"/>
      <c r="AW174" s="453"/>
      <c r="AX174" s="453"/>
      <c r="AY174" s="453"/>
      <c r="AZ174" s="453"/>
      <c r="BA174" s="532"/>
      <c r="BB174" s="502"/>
      <c r="BC174" s="503"/>
      <c r="BD174" s="453"/>
      <c r="BE174" s="453">
        <v>10000</v>
      </c>
      <c r="BF174" s="470"/>
      <c r="BG174" s="453"/>
      <c r="BH174" s="453"/>
      <c r="BI174" s="453"/>
      <c r="BJ174" s="453"/>
      <c r="BK174" s="453"/>
      <c r="BL174" s="453"/>
      <c r="BM174" s="502"/>
      <c r="BN174" s="490"/>
      <c r="BO174" s="470"/>
      <c r="BP174" s="490"/>
      <c r="BQ174" s="453"/>
      <c r="BR174" s="502"/>
      <c r="BS174" s="524"/>
      <c r="BT174" s="530"/>
    </row>
    <row r="175" s="435" customFormat="1" ht="18" customHeight="1" spans="1:72">
      <c r="A175" s="451" t="s">
        <v>4033</v>
      </c>
      <c r="B175" s="456">
        <v>44036</v>
      </c>
      <c r="C175" s="526">
        <v>1000005609</v>
      </c>
      <c r="D175" s="451"/>
      <c r="E175" s="457"/>
      <c r="F175" s="453"/>
      <c r="G175" s="453"/>
      <c r="H175" s="453"/>
      <c r="I175" s="453"/>
      <c r="J175" s="453"/>
      <c r="K175" s="453"/>
      <c r="L175" s="453"/>
      <c r="M175" s="453"/>
      <c r="N175" s="453"/>
      <c r="O175" s="453"/>
      <c r="P175" s="453"/>
      <c r="Q175" s="453"/>
      <c r="R175" s="453"/>
      <c r="S175" s="453"/>
      <c r="T175" s="453"/>
      <c r="U175" s="453"/>
      <c r="V175" s="453"/>
      <c r="W175" s="453"/>
      <c r="X175" s="453"/>
      <c r="Y175" s="453"/>
      <c r="Z175" s="489"/>
      <c r="AA175" s="489"/>
      <c r="AB175" s="490"/>
      <c r="AC175" s="453"/>
      <c r="AD175" s="453"/>
      <c r="AE175" s="453"/>
      <c r="AF175" s="453"/>
      <c r="AG175" s="453"/>
      <c r="AH175" s="453"/>
      <c r="AI175" s="453"/>
      <c r="AJ175" s="453"/>
      <c r="AK175" s="453"/>
      <c r="AL175" s="453"/>
      <c r="AM175" s="453"/>
      <c r="AN175" s="453"/>
      <c r="AO175" s="453"/>
      <c r="AP175" s="453"/>
      <c r="AQ175" s="453"/>
      <c r="AR175" s="453"/>
      <c r="AS175" s="453"/>
      <c r="AT175" s="453"/>
      <c r="AU175" s="453"/>
      <c r="AV175" s="453"/>
      <c r="AW175" s="453"/>
      <c r="AX175" s="453"/>
      <c r="AY175" s="453"/>
      <c r="AZ175" s="453"/>
      <c r="BA175" s="532"/>
      <c r="BB175" s="502"/>
      <c r="BC175" s="503"/>
      <c r="BD175" s="453"/>
      <c r="BE175" s="453"/>
      <c r="BF175" s="470">
        <v>10000</v>
      </c>
      <c r="BG175" s="453"/>
      <c r="BH175" s="453"/>
      <c r="BI175" s="453"/>
      <c r="BJ175" s="453"/>
      <c r="BK175" s="453"/>
      <c r="BL175" s="453"/>
      <c r="BM175" s="502"/>
      <c r="BN175" s="490"/>
      <c r="BO175" s="470"/>
      <c r="BP175" s="490"/>
      <c r="BQ175" s="453"/>
      <c r="BR175" s="502"/>
      <c r="BS175" s="524"/>
      <c r="BT175" s="530"/>
    </row>
    <row r="176" s="435" customFormat="1" ht="18" customHeight="1" spans="1:72">
      <c r="A176" s="451" t="s">
        <v>4033</v>
      </c>
      <c r="B176" s="456">
        <v>44043</v>
      </c>
      <c r="C176" s="526">
        <v>1000005650</v>
      </c>
      <c r="D176" s="451"/>
      <c r="E176" s="457"/>
      <c r="F176" s="453"/>
      <c r="G176" s="453"/>
      <c r="H176" s="453"/>
      <c r="I176" s="453"/>
      <c r="J176" s="453"/>
      <c r="K176" s="453"/>
      <c r="L176" s="453"/>
      <c r="M176" s="453"/>
      <c r="N176" s="453"/>
      <c r="O176" s="453"/>
      <c r="P176" s="453"/>
      <c r="Q176" s="453"/>
      <c r="R176" s="453"/>
      <c r="S176" s="453"/>
      <c r="T176" s="453"/>
      <c r="U176" s="453"/>
      <c r="V176" s="453"/>
      <c r="W176" s="453"/>
      <c r="X176" s="453"/>
      <c r="Y176" s="453"/>
      <c r="Z176" s="489"/>
      <c r="AA176" s="489"/>
      <c r="AB176" s="490"/>
      <c r="AC176" s="453"/>
      <c r="AD176" s="453"/>
      <c r="AE176" s="453"/>
      <c r="AF176" s="453"/>
      <c r="AG176" s="453"/>
      <c r="AH176" s="453"/>
      <c r="AI176" s="453"/>
      <c r="AJ176" s="453"/>
      <c r="AK176" s="453"/>
      <c r="AL176" s="453"/>
      <c r="AM176" s="453"/>
      <c r="AN176" s="453"/>
      <c r="AO176" s="453"/>
      <c r="AP176" s="453"/>
      <c r="AQ176" s="453"/>
      <c r="AR176" s="453"/>
      <c r="AS176" s="453"/>
      <c r="AT176" s="453"/>
      <c r="AU176" s="453"/>
      <c r="AV176" s="453"/>
      <c r="AW176" s="453"/>
      <c r="AX176" s="453"/>
      <c r="AY176" s="453"/>
      <c r="AZ176" s="453"/>
      <c r="BA176" s="532">
        <v>7360</v>
      </c>
      <c r="BB176" s="502"/>
      <c r="BC176" s="503"/>
      <c r="BD176" s="453"/>
      <c r="BE176" s="453"/>
      <c r="BF176" s="470"/>
      <c r="BG176" s="453"/>
      <c r="BH176" s="453"/>
      <c r="BI176" s="453"/>
      <c r="BJ176" s="453"/>
      <c r="BK176" s="453"/>
      <c r="BL176" s="453"/>
      <c r="BM176" s="502"/>
      <c r="BN176" s="490"/>
      <c r="BO176" s="470"/>
      <c r="BP176" s="490"/>
      <c r="BQ176" s="453"/>
      <c r="BR176" s="502"/>
      <c r="BS176" s="524"/>
      <c r="BT176" s="530"/>
    </row>
    <row r="177" s="435" customFormat="1" ht="18" customHeight="1" spans="1:72">
      <c r="A177" s="451" t="s">
        <v>4033</v>
      </c>
      <c r="B177" s="456">
        <v>44043</v>
      </c>
      <c r="C177" s="526">
        <v>1000005651</v>
      </c>
      <c r="D177" s="451"/>
      <c r="E177" s="457"/>
      <c r="F177" s="453"/>
      <c r="G177" s="453"/>
      <c r="H177" s="453"/>
      <c r="I177" s="453"/>
      <c r="J177" s="453"/>
      <c r="K177" s="453"/>
      <c r="L177" s="453"/>
      <c r="M177" s="453"/>
      <c r="N177" s="453"/>
      <c r="O177" s="453"/>
      <c r="P177" s="453"/>
      <c r="Q177" s="453"/>
      <c r="R177" s="453"/>
      <c r="S177" s="453"/>
      <c r="T177" s="453"/>
      <c r="U177" s="453"/>
      <c r="V177" s="453"/>
      <c r="W177" s="453"/>
      <c r="X177" s="453"/>
      <c r="Y177" s="453"/>
      <c r="Z177" s="489"/>
      <c r="AA177" s="489"/>
      <c r="AB177" s="490"/>
      <c r="AC177" s="453"/>
      <c r="AD177" s="453"/>
      <c r="AE177" s="453"/>
      <c r="AF177" s="453"/>
      <c r="AG177" s="453"/>
      <c r="AH177" s="453"/>
      <c r="AI177" s="453"/>
      <c r="AJ177" s="453"/>
      <c r="AK177" s="453"/>
      <c r="AL177" s="453"/>
      <c r="AM177" s="453"/>
      <c r="AN177" s="453"/>
      <c r="AO177" s="453"/>
      <c r="AP177" s="453"/>
      <c r="AQ177" s="453"/>
      <c r="AR177" s="453"/>
      <c r="AS177" s="453"/>
      <c r="AT177" s="453"/>
      <c r="AU177" s="453"/>
      <c r="AV177" s="453"/>
      <c r="AW177" s="453"/>
      <c r="AX177" s="453"/>
      <c r="AY177" s="453"/>
      <c r="AZ177" s="453"/>
      <c r="BA177" s="532"/>
      <c r="BB177" s="502">
        <v>8000</v>
      </c>
      <c r="BC177" s="503"/>
      <c r="BD177" s="453"/>
      <c r="BE177" s="453"/>
      <c r="BF177" s="470"/>
      <c r="BG177" s="453"/>
      <c r="BH177" s="453"/>
      <c r="BI177" s="453"/>
      <c r="BJ177" s="453"/>
      <c r="BK177" s="453"/>
      <c r="BL177" s="453"/>
      <c r="BM177" s="502"/>
      <c r="BN177" s="490"/>
      <c r="BO177" s="470"/>
      <c r="BP177" s="490"/>
      <c r="BQ177" s="453"/>
      <c r="BR177" s="502"/>
      <c r="BS177" s="524"/>
      <c r="BT177" s="530"/>
    </row>
    <row r="178" s="435" customFormat="1" ht="18" customHeight="1" spans="1:72">
      <c r="A178" s="451" t="s">
        <v>4033</v>
      </c>
      <c r="B178" s="456">
        <v>44067</v>
      </c>
      <c r="C178" s="526">
        <v>1000005792</v>
      </c>
      <c r="D178" s="451"/>
      <c r="E178" s="457"/>
      <c r="F178" s="453"/>
      <c r="G178" s="453"/>
      <c r="H178" s="453"/>
      <c r="I178" s="453"/>
      <c r="J178" s="453"/>
      <c r="K178" s="453"/>
      <c r="L178" s="453"/>
      <c r="M178" s="453"/>
      <c r="N178" s="453"/>
      <c r="O178" s="453"/>
      <c r="P178" s="453"/>
      <c r="Q178" s="453"/>
      <c r="R178" s="453"/>
      <c r="S178" s="453"/>
      <c r="T178" s="453"/>
      <c r="U178" s="453"/>
      <c r="V178" s="453"/>
      <c r="W178" s="453"/>
      <c r="X178" s="453"/>
      <c r="Y178" s="453"/>
      <c r="Z178" s="489"/>
      <c r="AA178" s="489"/>
      <c r="AB178" s="490"/>
      <c r="AC178" s="453"/>
      <c r="AD178" s="453"/>
      <c r="AE178" s="453"/>
      <c r="AF178" s="453"/>
      <c r="AG178" s="453"/>
      <c r="AH178" s="453"/>
      <c r="AI178" s="453"/>
      <c r="AJ178" s="453"/>
      <c r="AK178" s="453"/>
      <c r="AL178" s="453"/>
      <c r="AM178" s="453"/>
      <c r="AN178" s="453"/>
      <c r="AO178" s="453"/>
      <c r="AP178" s="453"/>
      <c r="AQ178" s="453"/>
      <c r="AR178" s="453"/>
      <c r="AS178" s="453"/>
      <c r="AT178" s="453"/>
      <c r="AU178" s="453"/>
      <c r="AV178" s="453"/>
      <c r="AW178" s="453"/>
      <c r="AX178" s="453"/>
      <c r="AY178" s="453"/>
      <c r="AZ178" s="453"/>
      <c r="BA178" s="532">
        <v>1920</v>
      </c>
      <c r="BB178" s="502"/>
      <c r="BC178" s="503"/>
      <c r="BD178" s="453"/>
      <c r="BE178" s="453"/>
      <c r="BF178" s="470"/>
      <c r="BG178" s="453"/>
      <c r="BH178" s="453"/>
      <c r="BI178" s="453"/>
      <c r="BJ178" s="453"/>
      <c r="BK178" s="453"/>
      <c r="BL178" s="453"/>
      <c r="BM178" s="502"/>
      <c r="BN178" s="490"/>
      <c r="BO178" s="470"/>
      <c r="BP178" s="490"/>
      <c r="BQ178" s="453"/>
      <c r="BR178" s="502"/>
      <c r="BS178" s="524"/>
      <c r="BT178" s="530"/>
    </row>
    <row r="179" s="435" customFormat="1" ht="18" customHeight="1" spans="1:72">
      <c r="A179" s="451" t="s">
        <v>4033</v>
      </c>
      <c r="B179" s="456">
        <v>44067</v>
      </c>
      <c r="C179" s="526">
        <v>1000005793</v>
      </c>
      <c r="D179" s="451"/>
      <c r="E179" s="457"/>
      <c r="F179" s="453"/>
      <c r="G179" s="453"/>
      <c r="H179" s="453"/>
      <c r="I179" s="453"/>
      <c r="J179" s="453"/>
      <c r="K179" s="453"/>
      <c r="L179" s="453"/>
      <c r="M179" s="453"/>
      <c r="N179" s="453"/>
      <c r="O179" s="453"/>
      <c r="P179" s="453"/>
      <c r="Q179" s="453"/>
      <c r="R179" s="453"/>
      <c r="S179" s="453"/>
      <c r="T179" s="453"/>
      <c r="U179" s="453"/>
      <c r="V179" s="453"/>
      <c r="W179" s="453"/>
      <c r="X179" s="453"/>
      <c r="Y179" s="453"/>
      <c r="Z179" s="489"/>
      <c r="AA179" s="489"/>
      <c r="AB179" s="490"/>
      <c r="AC179" s="453"/>
      <c r="AD179" s="453"/>
      <c r="AE179" s="453"/>
      <c r="AF179" s="453"/>
      <c r="AG179" s="453"/>
      <c r="AH179" s="453"/>
      <c r="AI179" s="453"/>
      <c r="AJ179" s="453"/>
      <c r="AK179" s="453"/>
      <c r="AL179" s="453"/>
      <c r="AM179" s="453"/>
      <c r="AN179" s="453"/>
      <c r="AO179" s="453"/>
      <c r="AP179" s="453"/>
      <c r="AQ179" s="453"/>
      <c r="AR179" s="453"/>
      <c r="AS179" s="453"/>
      <c r="AT179" s="453"/>
      <c r="AU179" s="453"/>
      <c r="AV179" s="453"/>
      <c r="AW179" s="453"/>
      <c r="AX179" s="453"/>
      <c r="AY179" s="453"/>
      <c r="AZ179" s="453"/>
      <c r="BA179" s="532"/>
      <c r="BB179" s="502">
        <v>1920</v>
      </c>
      <c r="BC179" s="503"/>
      <c r="BD179" s="453"/>
      <c r="BE179" s="453"/>
      <c r="BF179" s="470"/>
      <c r="BG179" s="453"/>
      <c r="BH179" s="453"/>
      <c r="BI179" s="453"/>
      <c r="BJ179" s="453"/>
      <c r="BK179" s="453"/>
      <c r="BL179" s="453"/>
      <c r="BM179" s="502"/>
      <c r="BN179" s="490"/>
      <c r="BO179" s="470"/>
      <c r="BP179" s="490"/>
      <c r="BQ179" s="453"/>
      <c r="BR179" s="502"/>
      <c r="BS179" s="524"/>
      <c r="BT179" s="530"/>
    </row>
    <row r="180" s="435" customFormat="1" ht="18" customHeight="1" spans="1:72">
      <c r="A180" s="451" t="s">
        <v>4033</v>
      </c>
      <c r="B180" s="456">
        <v>44083</v>
      </c>
      <c r="C180" s="526">
        <v>1000005872</v>
      </c>
      <c r="D180" s="451"/>
      <c r="E180" s="457"/>
      <c r="F180" s="453"/>
      <c r="G180" s="453"/>
      <c r="H180" s="453"/>
      <c r="I180" s="453"/>
      <c r="J180" s="453"/>
      <c r="K180" s="453"/>
      <c r="L180" s="453"/>
      <c r="M180" s="453"/>
      <c r="N180" s="453"/>
      <c r="O180" s="453"/>
      <c r="P180" s="453"/>
      <c r="Q180" s="453"/>
      <c r="R180" s="453"/>
      <c r="S180" s="453"/>
      <c r="T180" s="453"/>
      <c r="U180" s="453"/>
      <c r="V180" s="453"/>
      <c r="W180" s="453"/>
      <c r="X180" s="453"/>
      <c r="Y180" s="453"/>
      <c r="Z180" s="489"/>
      <c r="AA180" s="489"/>
      <c r="AB180" s="490"/>
      <c r="AC180" s="453">
        <v>200000</v>
      </c>
      <c r="AD180" s="453"/>
      <c r="AE180" s="453"/>
      <c r="AF180" s="453"/>
      <c r="AG180" s="453"/>
      <c r="AH180" s="453"/>
      <c r="AI180" s="453"/>
      <c r="AJ180" s="453"/>
      <c r="AK180" s="453"/>
      <c r="AL180" s="453"/>
      <c r="AM180" s="453"/>
      <c r="AN180" s="453"/>
      <c r="AO180" s="453"/>
      <c r="AP180" s="453"/>
      <c r="AQ180" s="453"/>
      <c r="AR180" s="453"/>
      <c r="AS180" s="453"/>
      <c r="AT180" s="453"/>
      <c r="AU180" s="453"/>
      <c r="AV180" s="453"/>
      <c r="AW180" s="453"/>
      <c r="AX180" s="453"/>
      <c r="AY180" s="453"/>
      <c r="AZ180" s="453"/>
      <c r="BA180" s="532"/>
      <c r="BB180" s="502"/>
      <c r="BC180" s="503"/>
      <c r="BD180" s="453"/>
      <c r="BE180" s="453"/>
      <c r="BF180" s="470"/>
      <c r="BG180" s="453"/>
      <c r="BH180" s="453"/>
      <c r="BI180" s="453"/>
      <c r="BJ180" s="453"/>
      <c r="BK180" s="453"/>
      <c r="BL180" s="453"/>
      <c r="BM180" s="502"/>
      <c r="BN180" s="490"/>
      <c r="BO180" s="470"/>
      <c r="BP180" s="490"/>
      <c r="BQ180" s="453"/>
      <c r="BR180" s="502"/>
      <c r="BS180" s="524"/>
      <c r="BT180" s="530"/>
    </row>
    <row r="181" s="435" customFormat="1" ht="18" customHeight="1" spans="1:72">
      <c r="A181" s="451" t="s">
        <v>4033</v>
      </c>
      <c r="B181" s="456">
        <v>44083</v>
      </c>
      <c r="C181" s="526">
        <v>1000005873</v>
      </c>
      <c r="D181" s="451"/>
      <c r="E181" s="457"/>
      <c r="F181" s="453"/>
      <c r="G181" s="453"/>
      <c r="H181" s="453"/>
      <c r="I181" s="453"/>
      <c r="J181" s="453"/>
      <c r="K181" s="453"/>
      <c r="L181" s="453"/>
      <c r="M181" s="453"/>
      <c r="N181" s="453"/>
      <c r="O181" s="453"/>
      <c r="P181" s="453"/>
      <c r="Q181" s="453"/>
      <c r="R181" s="453"/>
      <c r="S181" s="453"/>
      <c r="T181" s="453"/>
      <c r="U181" s="453"/>
      <c r="V181" s="453"/>
      <c r="W181" s="453"/>
      <c r="X181" s="453"/>
      <c r="Y181" s="453"/>
      <c r="Z181" s="489"/>
      <c r="AA181" s="489"/>
      <c r="AB181" s="490"/>
      <c r="AC181" s="453"/>
      <c r="AD181" s="453"/>
      <c r="AE181" s="453"/>
      <c r="AF181" s="453"/>
      <c r="AG181" s="453"/>
      <c r="AH181" s="453"/>
      <c r="AI181" s="453"/>
      <c r="AJ181" s="453"/>
      <c r="AK181" s="453"/>
      <c r="AL181" s="453"/>
      <c r="AM181" s="453">
        <v>210000</v>
      </c>
      <c r="AN181" s="453"/>
      <c r="AO181" s="453"/>
      <c r="AP181" s="453"/>
      <c r="AQ181" s="453"/>
      <c r="AR181" s="453"/>
      <c r="AS181" s="453"/>
      <c r="AT181" s="453"/>
      <c r="AU181" s="453"/>
      <c r="AV181" s="453"/>
      <c r="AW181" s="453"/>
      <c r="AX181" s="453"/>
      <c r="AY181" s="453"/>
      <c r="AZ181" s="453"/>
      <c r="BA181" s="532"/>
      <c r="BB181" s="502"/>
      <c r="BC181" s="503"/>
      <c r="BD181" s="453"/>
      <c r="BE181" s="453"/>
      <c r="BF181" s="470"/>
      <c r="BG181" s="453"/>
      <c r="BH181" s="453"/>
      <c r="BI181" s="453"/>
      <c r="BJ181" s="453"/>
      <c r="BK181" s="453"/>
      <c r="BL181" s="453"/>
      <c r="BM181" s="502"/>
      <c r="BN181" s="490"/>
      <c r="BO181" s="470"/>
      <c r="BP181" s="490"/>
      <c r="BQ181" s="453"/>
      <c r="BR181" s="502"/>
      <c r="BS181" s="524"/>
      <c r="BT181" s="530"/>
    </row>
    <row r="182" s="435" customFormat="1" ht="18" customHeight="1" spans="1:72">
      <c r="A182" s="451" t="s">
        <v>4033</v>
      </c>
      <c r="B182" s="456">
        <v>44083</v>
      </c>
      <c r="C182" s="526">
        <v>1000005874</v>
      </c>
      <c r="D182" s="451"/>
      <c r="E182" s="457"/>
      <c r="F182" s="453"/>
      <c r="G182" s="453"/>
      <c r="H182" s="453"/>
      <c r="I182" s="453"/>
      <c r="J182" s="453"/>
      <c r="K182" s="453"/>
      <c r="L182" s="453"/>
      <c r="M182" s="453"/>
      <c r="N182" s="453"/>
      <c r="O182" s="453"/>
      <c r="P182" s="453"/>
      <c r="Q182" s="453"/>
      <c r="R182" s="453"/>
      <c r="S182" s="453"/>
      <c r="T182" s="453"/>
      <c r="U182" s="453"/>
      <c r="V182" s="453"/>
      <c r="W182" s="453"/>
      <c r="X182" s="453"/>
      <c r="Y182" s="453"/>
      <c r="Z182" s="489"/>
      <c r="AA182" s="489"/>
      <c r="AB182" s="490"/>
      <c r="AC182" s="453"/>
      <c r="AD182" s="453"/>
      <c r="AE182" s="453"/>
      <c r="AF182" s="453"/>
      <c r="AG182" s="453"/>
      <c r="AH182" s="453">
        <v>15000</v>
      </c>
      <c r="AI182" s="453"/>
      <c r="AJ182" s="453"/>
      <c r="AK182" s="453"/>
      <c r="AL182" s="453"/>
      <c r="AM182" s="453"/>
      <c r="AN182" s="453"/>
      <c r="AO182" s="453"/>
      <c r="AP182" s="453"/>
      <c r="AQ182" s="453"/>
      <c r="AR182" s="453"/>
      <c r="AS182" s="453"/>
      <c r="AT182" s="453"/>
      <c r="AU182" s="453"/>
      <c r="AV182" s="453"/>
      <c r="AW182" s="453"/>
      <c r="AX182" s="453"/>
      <c r="AY182" s="453"/>
      <c r="AZ182" s="453"/>
      <c r="BA182" s="532"/>
      <c r="BB182" s="502"/>
      <c r="BC182" s="503"/>
      <c r="BD182" s="453"/>
      <c r="BE182" s="453"/>
      <c r="BF182" s="470"/>
      <c r="BG182" s="453"/>
      <c r="BH182" s="453"/>
      <c r="BI182" s="453"/>
      <c r="BJ182" s="453"/>
      <c r="BK182" s="453"/>
      <c r="BL182" s="453"/>
      <c r="BM182" s="502"/>
      <c r="BN182" s="490"/>
      <c r="BO182" s="470"/>
      <c r="BP182" s="490"/>
      <c r="BQ182" s="453"/>
      <c r="BR182" s="502"/>
      <c r="BS182" s="524"/>
      <c r="BT182" s="530"/>
    </row>
    <row r="183" s="435" customFormat="1" ht="18" customHeight="1" spans="1:72">
      <c r="A183" s="451" t="s">
        <v>4033</v>
      </c>
      <c r="B183" s="456">
        <v>44083</v>
      </c>
      <c r="C183" s="526">
        <v>1000005875</v>
      </c>
      <c r="D183" s="451"/>
      <c r="E183" s="457"/>
      <c r="F183" s="453"/>
      <c r="G183" s="453"/>
      <c r="H183" s="453"/>
      <c r="I183" s="453"/>
      <c r="J183" s="453"/>
      <c r="K183" s="453"/>
      <c r="L183" s="453"/>
      <c r="M183" s="453"/>
      <c r="N183" s="453"/>
      <c r="O183" s="453"/>
      <c r="P183" s="453"/>
      <c r="Q183" s="453"/>
      <c r="R183" s="453"/>
      <c r="S183" s="453"/>
      <c r="T183" s="453"/>
      <c r="U183" s="453"/>
      <c r="V183" s="453"/>
      <c r="W183" s="453"/>
      <c r="X183" s="453"/>
      <c r="Y183" s="453"/>
      <c r="Z183" s="489"/>
      <c r="AA183" s="489"/>
      <c r="AB183" s="490"/>
      <c r="AC183" s="453"/>
      <c r="AD183" s="453"/>
      <c r="AE183" s="453"/>
      <c r="AF183" s="453"/>
      <c r="AG183" s="453"/>
      <c r="AH183" s="453"/>
      <c r="AI183" s="453"/>
      <c r="AJ183" s="453"/>
      <c r="AK183" s="453"/>
      <c r="AL183" s="453"/>
      <c r="AM183" s="453"/>
      <c r="AN183" s="453"/>
      <c r="AO183" s="453"/>
      <c r="AP183" s="453"/>
      <c r="AQ183" s="453">
        <v>15000</v>
      </c>
      <c r="AR183" s="453"/>
      <c r="AS183" s="453"/>
      <c r="AT183" s="453"/>
      <c r="AU183" s="453"/>
      <c r="AV183" s="453"/>
      <c r="AW183" s="453"/>
      <c r="AX183" s="453"/>
      <c r="AY183" s="453"/>
      <c r="AZ183" s="453"/>
      <c r="BA183" s="532"/>
      <c r="BB183" s="502"/>
      <c r="BC183" s="503"/>
      <c r="BD183" s="453"/>
      <c r="BE183" s="453"/>
      <c r="BF183" s="470"/>
      <c r="BG183" s="453"/>
      <c r="BH183" s="453"/>
      <c r="BI183" s="453"/>
      <c r="BJ183" s="453"/>
      <c r="BK183" s="453"/>
      <c r="BL183" s="453"/>
      <c r="BM183" s="502"/>
      <c r="BN183" s="490"/>
      <c r="BO183" s="470"/>
      <c r="BP183" s="490"/>
      <c r="BQ183" s="453"/>
      <c r="BR183" s="502"/>
      <c r="BS183" s="524"/>
      <c r="BT183" s="530"/>
    </row>
    <row r="184" s="435" customFormat="1" ht="18" customHeight="1" spans="1:72">
      <c r="A184" s="451" t="s">
        <v>4033</v>
      </c>
      <c r="B184" s="456">
        <v>44083</v>
      </c>
      <c r="C184" s="526">
        <v>1000005876</v>
      </c>
      <c r="D184" s="451"/>
      <c r="E184" s="457"/>
      <c r="F184" s="453"/>
      <c r="G184" s="453"/>
      <c r="H184" s="453"/>
      <c r="I184" s="453"/>
      <c r="J184" s="453"/>
      <c r="K184" s="453"/>
      <c r="L184" s="453"/>
      <c r="M184" s="453"/>
      <c r="N184" s="453"/>
      <c r="O184" s="453"/>
      <c r="P184" s="453"/>
      <c r="Q184" s="453"/>
      <c r="R184" s="453"/>
      <c r="S184" s="453"/>
      <c r="T184" s="453"/>
      <c r="U184" s="453"/>
      <c r="V184" s="453"/>
      <c r="W184" s="453"/>
      <c r="X184" s="453"/>
      <c r="Y184" s="453"/>
      <c r="Z184" s="489"/>
      <c r="AA184" s="489"/>
      <c r="AB184" s="490"/>
      <c r="AC184" s="453"/>
      <c r="AD184" s="453"/>
      <c r="AE184" s="453"/>
      <c r="AF184" s="453"/>
      <c r="AG184" s="453"/>
      <c r="AH184" s="453"/>
      <c r="AI184" s="453"/>
      <c r="AJ184" s="453"/>
      <c r="AK184" s="453"/>
      <c r="AL184" s="453"/>
      <c r="AM184" s="453"/>
      <c r="AN184" s="453"/>
      <c r="AO184" s="453"/>
      <c r="AP184" s="453"/>
      <c r="AQ184" s="453"/>
      <c r="AR184" s="453"/>
      <c r="AS184" s="453"/>
      <c r="AT184" s="453"/>
      <c r="AU184" s="453"/>
      <c r="AV184" s="453"/>
      <c r="AW184" s="453"/>
      <c r="AX184" s="453"/>
      <c r="AY184" s="453"/>
      <c r="AZ184" s="453"/>
      <c r="BA184" s="532"/>
      <c r="BB184" s="502"/>
      <c r="BC184" s="503">
        <v>30000</v>
      </c>
      <c r="BD184" s="453"/>
      <c r="BE184" s="453"/>
      <c r="BF184" s="470"/>
      <c r="BG184" s="453"/>
      <c r="BH184" s="453"/>
      <c r="BI184" s="453"/>
      <c r="BJ184" s="453"/>
      <c r="BK184" s="453"/>
      <c r="BL184" s="453"/>
      <c r="BM184" s="502"/>
      <c r="BN184" s="490"/>
      <c r="BO184" s="470"/>
      <c r="BP184" s="490"/>
      <c r="BQ184" s="453"/>
      <c r="BR184" s="502"/>
      <c r="BS184" s="524"/>
      <c r="BT184" s="530"/>
    </row>
    <row r="185" s="435" customFormat="1" ht="18" customHeight="1" spans="1:72">
      <c r="A185" s="451" t="s">
        <v>4033</v>
      </c>
      <c r="B185" s="456">
        <v>44083</v>
      </c>
      <c r="C185" s="526">
        <v>1000005877</v>
      </c>
      <c r="D185" s="451"/>
      <c r="E185" s="457"/>
      <c r="F185" s="453"/>
      <c r="G185" s="453"/>
      <c r="H185" s="453"/>
      <c r="I185" s="453"/>
      <c r="J185" s="453"/>
      <c r="K185" s="453"/>
      <c r="L185" s="453"/>
      <c r="M185" s="453"/>
      <c r="N185" s="453"/>
      <c r="O185" s="453"/>
      <c r="P185" s="453"/>
      <c r="Q185" s="453"/>
      <c r="R185" s="453"/>
      <c r="S185" s="453"/>
      <c r="T185" s="453"/>
      <c r="U185" s="453"/>
      <c r="V185" s="453"/>
      <c r="W185" s="453"/>
      <c r="X185" s="453"/>
      <c r="Y185" s="453"/>
      <c r="Z185" s="489"/>
      <c r="AA185" s="489"/>
      <c r="AB185" s="490"/>
      <c r="AC185" s="453"/>
      <c r="AD185" s="453"/>
      <c r="AE185" s="453"/>
      <c r="AF185" s="453"/>
      <c r="AG185" s="453"/>
      <c r="AH185" s="453"/>
      <c r="AI185" s="453"/>
      <c r="AJ185" s="453"/>
      <c r="AK185" s="453"/>
      <c r="AL185" s="453"/>
      <c r="AM185" s="453"/>
      <c r="AN185" s="453"/>
      <c r="AO185" s="453"/>
      <c r="AP185" s="453"/>
      <c r="AQ185" s="453"/>
      <c r="AR185" s="453"/>
      <c r="AS185" s="453"/>
      <c r="AT185" s="453"/>
      <c r="AU185" s="453"/>
      <c r="AV185" s="453"/>
      <c r="AW185" s="453"/>
      <c r="AX185" s="453"/>
      <c r="AY185" s="453"/>
      <c r="AZ185" s="453"/>
      <c r="BA185" s="532"/>
      <c r="BB185" s="502"/>
      <c r="BC185" s="503"/>
      <c r="BD185" s="453">
        <v>30000</v>
      </c>
      <c r="BE185" s="453"/>
      <c r="BF185" s="470"/>
      <c r="BG185" s="453"/>
      <c r="BH185" s="453"/>
      <c r="BI185" s="453"/>
      <c r="BJ185" s="453"/>
      <c r="BK185" s="453"/>
      <c r="BL185" s="453"/>
      <c r="BM185" s="502"/>
      <c r="BN185" s="490"/>
      <c r="BO185" s="470"/>
      <c r="BP185" s="490"/>
      <c r="BQ185" s="453"/>
      <c r="BR185" s="502"/>
      <c r="BS185" s="524"/>
      <c r="BT185" s="530"/>
    </row>
    <row r="186" s="435" customFormat="1" ht="18" customHeight="1" spans="1:72">
      <c r="A186" s="451" t="s">
        <v>4033</v>
      </c>
      <c r="B186" s="456">
        <v>44095</v>
      </c>
      <c r="C186" s="526">
        <v>1000005975</v>
      </c>
      <c r="D186" s="451"/>
      <c r="E186" s="457"/>
      <c r="F186" s="453"/>
      <c r="G186" s="453"/>
      <c r="H186" s="453"/>
      <c r="I186" s="453"/>
      <c r="J186" s="453"/>
      <c r="K186" s="453"/>
      <c r="L186" s="453"/>
      <c r="M186" s="453"/>
      <c r="N186" s="453"/>
      <c r="O186" s="453"/>
      <c r="P186" s="453"/>
      <c r="Q186" s="453"/>
      <c r="R186" s="453"/>
      <c r="S186" s="453"/>
      <c r="T186" s="453"/>
      <c r="U186" s="453"/>
      <c r="V186" s="453"/>
      <c r="W186" s="453"/>
      <c r="X186" s="453"/>
      <c r="Y186" s="453"/>
      <c r="Z186" s="489"/>
      <c r="AA186" s="489"/>
      <c r="AB186" s="490"/>
      <c r="AC186" s="453"/>
      <c r="AD186" s="453"/>
      <c r="AE186" s="453"/>
      <c r="AF186" s="453"/>
      <c r="AG186" s="453"/>
      <c r="AH186" s="453"/>
      <c r="AI186" s="453"/>
      <c r="AJ186" s="453"/>
      <c r="AK186" s="453"/>
      <c r="AL186" s="453"/>
      <c r="AM186" s="453"/>
      <c r="AN186" s="453"/>
      <c r="AO186" s="453"/>
      <c r="AP186" s="453"/>
      <c r="AQ186" s="453"/>
      <c r="AR186" s="453"/>
      <c r="AS186" s="453"/>
      <c r="AT186" s="453"/>
      <c r="AU186" s="453"/>
      <c r="AV186" s="453"/>
      <c r="AW186" s="453"/>
      <c r="AX186" s="453"/>
      <c r="AY186" s="453"/>
      <c r="AZ186" s="453"/>
      <c r="BA186" s="532">
        <v>6720</v>
      </c>
      <c r="BB186" s="502"/>
      <c r="BC186" s="503"/>
      <c r="BD186" s="453"/>
      <c r="BE186" s="453"/>
      <c r="BF186" s="470"/>
      <c r="BG186" s="453"/>
      <c r="BH186" s="453"/>
      <c r="BI186" s="453"/>
      <c r="BJ186" s="453"/>
      <c r="BK186" s="453"/>
      <c r="BL186" s="453"/>
      <c r="BM186" s="502"/>
      <c r="BN186" s="490"/>
      <c r="BO186" s="470"/>
      <c r="BP186" s="490"/>
      <c r="BQ186" s="453"/>
      <c r="BR186" s="502"/>
      <c r="BS186" s="524"/>
      <c r="BT186" s="530"/>
    </row>
    <row r="187" s="435" customFormat="1" ht="18" customHeight="1" spans="1:72">
      <c r="A187" s="451" t="s">
        <v>4033</v>
      </c>
      <c r="B187" s="456">
        <v>44095</v>
      </c>
      <c r="C187" s="526">
        <v>1000005976</v>
      </c>
      <c r="D187" s="451"/>
      <c r="E187" s="457"/>
      <c r="F187" s="453"/>
      <c r="G187" s="453"/>
      <c r="H187" s="453"/>
      <c r="I187" s="453"/>
      <c r="J187" s="453"/>
      <c r="K187" s="453"/>
      <c r="L187" s="453"/>
      <c r="M187" s="453"/>
      <c r="N187" s="453"/>
      <c r="O187" s="453"/>
      <c r="P187" s="453"/>
      <c r="Q187" s="453"/>
      <c r="R187" s="453"/>
      <c r="S187" s="453"/>
      <c r="T187" s="453"/>
      <c r="U187" s="453"/>
      <c r="V187" s="453"/>
      <c r="W187" s="453"/>
      <c r="X187" s="453"/>
      <c r="Y187" s="453"/>
      <c r="Z187" s="489"/>
      <c r="AA187" s="489"/>
      <c r="AB187" s="490"/>
      <c r="AC187" s="453"/>
      <c r="AD187" s="453"/>
      <c r="AE187" s="453"/>
      <c r="AF187" s="453"/>
      <c r="AG187" s="453"/>
      <c r="AH187" s="453"/>
      <c r="AI187" s="453"/>
      <c r="AJ187" s="453"/>
      <c r="AK187" s="453"/>
      <c r="AL187" s="453"/>
      <c r="AM187" s="453"/>
      <c r="AN187" s="453"/>
      <c r="AO187" s="453"/>
      <c r="AP187" s="453"/>
      <c r="AQ187" s="453"/>
      <c r="AR187" s="453"/>
      <c r="AS187" s="453"/>
      <c r="AT187" s="453"/>
      <c r="AU187" s="453"/>
      <c r="AV187" s="453"/>
      <c r="AW187" s="453"/>
      <c r="AX187" s="453"/>
      <c r="AY187" s="453"/>
      <c r="AZ187" s="453"/>
      <c r="BA187" s="532"/>
      <c r="BB187" s="502">
        <v>4800</v>
      </c>
      <c r="BC187" s="503"/>
      <c r="BD187" s="453"/>
      <c r="BE187" s="453"/>
      <c r="BF187" s="470"/>
      <c r="BG187" s="453"/>
      <c r="BH187" s="453"/>
      <c r="BI187" s="453"/>
      <c r="BJ187" s="453"/>
      <c r="BK187" s="453"/>
      <c r="BL187" s="453"/>
      <c r="BM187" s="502"/>
      <c r="BN187" s="490"/>
      <c r="BO187" s="470"/>
      <c r="BP187" s="490"/>
      <c r="BQ187" s="453"/>
      <c r="BR187" s="502"/>
      <c r="BS187" s="524"/>
      <c r="BT187" s="530"/>
    </row>
    <row r="188" s="435" customFormat="1" ht="18" customHeight="1" spans="1:72">
      <c r="A188" s="451" t="s">
        <v>4033</v>
      </c>
      <c r="B188" s="456">
        <v>44116</v>
      </c>
      <c r="C188" s="526">
        <v>1000006029</v>
      </c>
      <c r="D188" s="451"/>
      <c r="E188" s="457"/>
      <c r="F188" s="453"/>
      <c r="G188" s="453"/>
      <c r="H188" s="453"/>
      <c r="I188" s="453">
        <v>12000</v>
      </c>
      <c r="J188" s="453"/>
      <c r="K188" s="453"/>
      <c r="L188" s="453"/>
      <c r="M188" s="453"/>
      <c r="N188" s="453"/>
      <c r="O188" s="453"/>
      <c r="P188" s="453"/>
      <c r="Q188" s="453"/>
      <c r="R188" s="453"/>
      <c r="S188" s="453"/>
      <c r="T188" s="453"/>
      <c r="U188" s="453"/>
      <c r="V188" s="453"/>
      <c r="W188" s="453"/>
      <c r="X188" s="453"/>
      <c r="Y188" s="453"/>
      <c r="Z188" s="489"/>
      <c r="AA188" s="489"/>
      <c r="AB188" s="490"/>
      <c r="AC188" s="453"/>
      <c r="AD188" s="453"/>
      <c r="AE188" s="453"/>
      <c r="AF188" s="453"/>
      <c r="AG188" s="453"/>
      <c r="AH188" s="453"/>
      <c r="AI188" s="453"/>
      <c r="AJ188" s="453"/>
      <c r="AK188" s="453"/>
      <c r="AL188" s="453"/>
      <c r="AM188" s="453"/>
      <c r="AN188" s="453"/>
      <c r="AO188" s="453"/>
      <c r="AP188" s="453"/>
      <c r="AQ188" s="453"/>
      <c r="AR188" s="453"/>
      <c r="AS188" s="453"/>
      <c r="AT188" s="453"/>
      <c r="AU188" s="453"/>
      <c r="AV188" s="453"/>
      <c r="AW188" s="453"/>
      <c r="AX188" s="453"/>
      <c r="AY188" s="453"/>
      <c r="AZ188" s="453"/>
      <c r="BA188" s="532"/>
      <c r="BB188" s="502"/>
      <c r="BC188" s="503"/>
      <c r="BD188" s="453"/>
      <c r="BE188" s="453"/>
      <c r="BF188" s="470"/>
      <c r="BG188" s="453"/>
      <c r="BH188" s="453"/>
      <c r="BI188" s="453"/>
      <c r="BJ188" s="453"/>
      <c r="BK188" s="453"/>
      <c r="BL188" s="453"/>
      <c r="BM188" s="502"/>
      <c r="BN188" s="490"/>
      <c r="BO188" s="470"/>
      <c r="BP188" s="490"/>
      <c r="BQ188" s="453"/>
      <c r="BR188" s="502"/>
      <c r="BS188" s="524"/>
      <c r="BT188" s="530"/>
    </row>
    <row r="189" s="435" customFormat="1" ht="18" customHeight="1" spans="1:72">
      <c r="A189" s="451" t="s">
        <v>4033</v>
      </c>
      <c r="B189" s="456">
        <v>44116</v>
      </c>
      <c r="C189" s="526">
        <v>1000006031</v>
      </c>
      <c r="D189" s="451"/>
      <c r="E189" s="457"/>
      <c r="F189" s="453"/>
      <c r="G189" s="453"/>
      <c r="H189" s="453"/>
      <c r="I189" s="453"/>
      <c r="J189" s="453"/>
      <c r="K189" s="453"/>
      <c r="L189" s="453"/>
      <c r="M189" s="453"/>
      <c r="N189" s="453"/>
      <c r="O189" s="453"/>
      <c r="P189" s="453"/>
      <c r="Q189" s="453"/>
      <c r="R189" s="453"/>
      <c r="S189" s="453"/>
      <c r="T189" s="453"/>
      <c r="U189" s="453"/>
      <c r="V189" s="453"/>
      <c r="W189" s="453"/>
      <c r="X189" s="453"/>
      <c r="Y189" s="453"/>
      <c r="Z189" s="489"/>
      <c r="AA189" s="489"/>
      <c r="AB189" s="490"/>
      <c r="AC189" s="453">
        <v>150000</v>
      </c>
      <c r="AD189" s="453"/>
      <c r="AE189" s="453"/>
      <c r="AF189" s="453"/>
      <c r="AG189" s="453"/>
      <c r="AH189" s="453"/>
      <c r="AI189" s="453"/>
      <c r="AJ189" s="453"/>
      <c r="AK189" s="453"/>
      <c r="AL189" s="453"/>
      <c r="AM189" s="453"/>
      <c r="AN189" s="453"/>
      <c r="AO189" s="453"/>
      <c r="AP189" s="453"/>
      <c r="AQ189" s="453"/>
      <c r="AR189" s="453"/>
      <c r="AS189" s="453"/>
      <c r="AT189" s="453"/>
      <c r="AU189" s="453"/>
      <c r="AV189" s="453"/>
      <c r="AW189" s="453"/>
      <c r="AX189" s="453"/>
      <c r="AY189" s="453"/>
      <c r="AZ189" s="453"/>
      <c r="BA189" s="532"/>
      <c r="BB189" s="502"/>
      <c r="BC189" s="503"/>
      <c r="BD189" s="453"/>
      <c r="BE189" s="453"/>
      <c r="BF189" s="470"/>
      <c r="BG189" s="453"/>
      <c r="BH189" s="453"/>
      <c r="BI189" s="453"/>
      <c r="BJ189" s="453"/>
      <c r="BK189" s="453"/>
      <c r="BL189" s="453"/>
      <c r="BM189" s="502"/>
      <c r="BN189" s="490"/>
      <c r="BO189" s="470"/>
      <c r="BP189" s="490"/>
      <c r="BQ189" s="453"/>
      <c r="BR189" s="502"/>
      <c r="BS189" s="524"/>
      <c r="BT189" s="530"/>
    </row>
    <row r="190" s="435" customFormat="1" ht="18" customHeight="1" spans="1:72">
      <c r="A190" s="451" t="s">
        <v>4033</v>
      </c>
      <c r="B190" s="456">
        <v>44116</v>
      </c>
      <c r="C190" s="526">
        <v>1000006032</v>
      </c>
      <c r="D190" s="451"/>
      <c r="E190" s="457"/>
      <c r="F190" s="453"/>
      <c r="G190" s="453"/>
      <c r="H190" s="453"/>
      <c r="I190" s="453"/>
      <c r="J190" s="453"/>
      <c r="K190" s="453"/>
      <c r="L190" s="453"/>
      <c r="M190" s="453"/>
      <c r="N190" s="453"/>
      <c r="O190" s="453"/>
      <c r="P190" s="453"/>
      <c r="Q190" s="453"/>
      <c r="R190" s="453"/>
      <c r="S190" s="453"/>
      <c r="T190" s="453"/>
      <c r="U190" s="453"/>
      <c r="V190" s="453"/>
      <c r="W190" s="453"/>
      <c r="X190" s="453"/>
      <c r="Y190" s="453"/>
      <c r="Z190" s="489"/>
      <c r="AA190" s="489"/>
      <c r="AB190" s="490"/>
      <c r="AC190" s="453"/>
      <c r="AD190" s="453"/>
      <c r="AE190" s="453"/>
      <c r="AF190" s="453"/>
      <c r="AG190" s="453"/>
      <c r="AH190" s="453"/>
      <c r="AI190" s="453"/>
      <c r="AJ190" s="453"/>
      <c r="AK190" s="453"/>
      <c r="AL190" s="453"/>
      <c r="AM190" s="453">
        <v>170000</v>
      </c>
      <c r="AN190" s="453"/>
      <c r="AO190" s="453"/>
      <c r="AP190" s="453"/>
      <c r="AQ190" s="453"/>
      <c r="AR190" s="453"/>
      <c r="AS190" s="453"/>
      <c r="AT190" s="453"/>
      <c r="AU190" s="453"/>
      <c r="AV190" s="453"/>
      <c r="AW190" s="453"/>
      <c r="AX190" s="453"/>
      <c r="AY190" s="453"/>
      <c r="AZ190" s="453"/>
      <c r="BA190" s="532"/>
      <c r="BB190" s="502"/>
      <c r="BC190" s="503"/>
      <c r="BD190" s="453"/>
      <c r="BE190" s="453"/>
      <c r="BF190" s="470"/>
      <c r="BG190" s="453"/>
      <c r="BH190" s="453"/>
      <c r="BI190" s="453"/>
      <c r="BJ190" s="453"/>
      <c r="BK190" s="453"/>
      <c r="BL190" s="453"/>
      <c r="BM190" s="502"/>
      <c r="BN190" s="490"/>
      <c r="BO190" s="470"/>
      <c r="BP190" s="490"/>
      <c r="BQ190" s="453"/>
      <c r="BR190" s="502"/>
      <c r="BS190" s="524"/>
      <c r="BT190" s="530"/>
    </row>
    <row r="191" s="435" customFormat="1" ht="18" customHeight="1" spans="1:72">
      <c r="A191" s="451" t="s">
        <v>4033</v>
      </c>
      <c r="B191" s="456">
        <v>44118</v>
      </c>
      <c r="C191" s="526">
        <v>1000006052</v>
      </c>
      <c r="D191" s="451"/>
      <c r="E191" s="457"/>
      <c r="F191" s="453"/>
      <c r="G191" s="453"/>
      <c r="H191" s="453"/>
      <c r="I191" s="453"/>
      <c r="J191" s="453">
        <v>6000</v>
      </c>
      <c r="K191" s="453"/>
      <c r="L191" s="453"/>
      <c r="M191" s="453"/>
      <c r="N191" s="453"/>
      <c r="O191" s="453"/>
      <c r="P191" s="453"/>
      <c r="Q191" s="453"/>
      <c r="R191" s="453"/>
      <c r="S191" s="453"/>
      <c r="T191" s="453"/>
      <c r="U191" s="453"/>
      <c r="V191" s="453"/>
      <c r="W191" s="453"/>
      <c r="X191" s="453"/>
      <c r="Y191" s="453"/>
      <c r="Z191" s="489"/>
      <c r="AA191" s="489"/>
      <c r="AB191" s="490"/>
      <c r="AC191" s="453"/>
      <c r="AD191" s="453"/>
      <c r="AE191" s="453"/>
      <c r="AF191" s="453"/>
      <c r="AG191" s="453"/>
      <c r="AH191" s="453"/>
      <c r="AI191" s="453"/>
      <c r="AJ191" s="453"/>
      <c r="AK191" s="453"/>
      <c r="AL191" s="453"/>
      <c r="AM191" s="453"/>
      <c r="AN191" s="453"/>
      <c r="AO191" s="453"/>
      <c r="AP191" s="453"/>
      <c r="AQ191" s="453"/>
      <c r="AR191" s="453"/>
      <c r="AS191" s="453"/>
      <c r="AT191" s="453"/>
      <c r="AU191" s="453"/>
      <c r="AV191" s="453"/>
      <c r="AW191" s="453"/>
      <c r="AX191" s="453"/>
      <c r="AY191" s="453"/>
      <c r="AZ191" s="453"/>
      <c r="BA191" s="532"/>
      <c r="BB191" s="502"/>
      <c r="BC191" s="503"/>
      <c r="BD191" s="453"/>
      <c r="BE191" s="453"/>
      <c r="BF191" s="470"/>
      <c r="BG191" s="453"/>
      <c r="BH191" s="453"/>
      <c r="BI191" s="453"/>
      <c r="BJ191" s="453"/>
      <c r="BK191" s="453"/>
      <c r="BL191" s="453"/>
      <c r="BM191" s="502"/>
      <c r="BN191" s="490"/>
      <c r="BO191" s="470"/>
      <c r="BP191" s="490"/>
      <c r="BQ191" s="453"/>
      <c r="BR191" s="502"/>
      <c r="BS191" s="524"/>
      <c r="BT191" s="530"/>
    </row>
    <row r="192" s="435" customFormat="1" ht="18" customHeight="1" spans="1:72">
      <c r="A192" s="451" t="s">
        <v>4033</v>
      </c>
      <c r="B192" s="456">
        <v>44118</v>
      </c>
      <c r="C192" s="526">
        <v>1000006053</v>
      </c>
      <c r="D192" s="451"/>
      <c r="E192" s="457"/>
      <c r="F192" s="453"/>
      <c r="G192" s="453"/>
      <c r="H192" s="453"/>
      <c r="I192" s="453"/>
      <c r="J192" s="453"/>
      <c r="K192" s="453">
        <v>10000</v>
      </c>
      <c r="L192" s="453"/>
      <c r="M192" s="453"/>
      <c r="N192" s="453"/>
      <c r="O192" s="453"/>
      <c r="P192" s="453"/>
      <c r="Q192" s="453"/>
      <c r="R192" s="453"/>
      <c r="S192" s="453"/>
      <c r="T192" s="453"/>
      <c r="U192" s="453"/>
      <c r="V192" s="453"/>
      <c r="W192" s="453"/>
      <c r="X192" s="453"/>
      <c r="Y192" s="453"/>
      <c r="Z192" s="489"/>
      <c r="AA192" s="489"/>
      <c r="AB192" s="490"/>
      <c r="AC192" s="453"/>
      <c r="AD192" s="453"/>
      <c r="AE192" s="453"/>
      <c r="AF192" s="453"/>
      <c r="AG192" s="453"/>
      <c r="AH192" s="453"/>
      <c r="AI192" s="453"/>
      <c r="AJ192" s="453"/>
      <c r="AK192" s="453"/>
      <c r="AL192" s="453"/>
      <c r="AM192" s="453"/>
      <c r="AN192" s="453"/>
      <c r="AO192" s="453"/>
      <c r="AP192" s="453"/>
      <c r="AQ192" s="453"/>
      <c r="AR192" s="453"/>
      <c r="AS192" s="453"/>
      <c r="AT192" s="453"/>
      <c r="AU192" s="453"/>
      <c r="AV192" s="453"/>
      <c r="AW192" s="453"/>
      <c r="AX192" s="453"/>
      <c r="AY192" s="453"/>
      <c r="AZ192" s="453"/>
      <c r="BA192" s="532"/>
      <c r="BB192" s="502"/>
      <c r="BC192" s="503"/>
      <c r="BD192" s="453"/>
      <c r="BE192" s="453"/>
      <c r="BF192" s="470"/>
      <c r="BG192" s="453"/>
      <c r="BH192" s="453"/>
      <c r="BI192" s="453"/>
      <c r="BJ192" s="453"/>
      <c r="BK192" s="453"/>
      <c r="BL192" s="453"/>
      <c r="BM192" s="502"/>
      <c r="BN192" s="490"/>
      <c r="BO192" s="470"/>
      <c r="BP192" s="490"/>
      <c r="BQ192" s="453"/>
      <c r="BR192" s="502"/>
      <c r="BS192" s="524"/>
      <c r="BT192" s="530"/>
    </row>
    <row r="193" s="435" customFormat="1" ht="18" customHeight="1" spans="1:72">
      <c r="A193" s="451" t="s">
        <v>4033</v>
      </c>
      <c r="B193" s="456">
        <v>44118</v>
      </c>
      <c r="C193" s="526">
        <v>1000006054</v>
      </c>
      <c r="D193" s="451"/>
      <c r="E193" s="457"/>
      <c r="F193" s="453"/>
      <c r="G193" s="453"/>
      <c r="H193" s="453"/>
      <c r="I193" s="453"/>
      <c r="J193" s="453"/>
      <c r="K193" s="453"/>
      <c r="L193" s="453"/>
      <c r="M193" s="453"/>
      <c r="N193" s="453"/>
      <c r="O193" s="453"/>
      <c r="P193" s="453"/>
      <c r="Q193" s="453"/>
      <c r="R193" s="453">
        <v>23000</v>
      </c>
      <c r="S193" s="453"/>
      <c r="T193" s="453"/>
      <c r="U193" s="453"/>
      <c r="V193" s="453"/>
      <c r="W193" s="453"/>
      <c r="X193" s="453"/>
      <c r="Y193" s="453"/>
      <c r="Z193" s="489"/>
      <c r="AA193" s="489"/>
      <c r="AB193" s="490"/>
      <c r="AC193" s="453"/>
      <c r="AD193" s="453"/>
      <c r="AE193" s="453"/>
      <c r="AF193" s="453"/>
      <c r="AG193" s="453"/>
      <c r="AH193" s="453"/>
      <c r="AI193" s="453"/>
      <c r="AJ193" s="453"/>
      <c r="AK193" s="453"/>
      <c r="AL193" s="453"/>
      <c r="AM193" s="453"/>
      <c r="AN193" s="453"/>
      <c r="AO193" s="453"/>
      <c r="AP193" s="453"/>
      <c r="AQ193" s="453"/>
      <c r="AR193" s="453"/>
      <c r="AS193" s="453"/>
      <c r="AT193" s="453"/>
      <c r="AU193" s="453"/>
      <c r="AV193" s="453"/>
      <c r="AW193" s="453"/>
      <c r="AX193" s="453"/>
      <c r="AY193" s="453"/>
      <c r="AZ193" s="453"/>
      <c r="BA193" s="532"/>
      <c r="BB193" s="502"/>
      <c r="BC193" s="503"/>
      <c r="BD193" s="453"/>
      <c r="BE193" s="453"/>
      <c r="BF193" s="470"/>
      <c r="BG193" s="453"/>
      <c r="BH193" s="453"/>
      <c r="BI193" s="453"/>
      <c r="BJ193" s="453"/>
      <c r="BK193" s="453"/>
      <c r="BL193" s="453"/>
      <c r="BM193" s="502"/>
      <c r="BN193" s="490"/>
      <c r="BO193" s="470"/>
      <c r="BP193" s="490"/>
      <c r="BQ193" s="453"/>
      <c r="BR193" s="502"/>
      <c r="BS193" s="524"/>
      <c r="BT193" s="530"/>
    </row>
    <row r="194" s="435" customFormat="1" ht="18" customHeight="1" spans="1:72">
      <c r="A194" s="451" t="s">
        <v>4033</v>
      </c>
      <c r="B194" s="456">
        <v>44119</v>
      </c>
      <c r="C194" s="526">
        <v>1000006059</v>
      </c>
      <c r="D194" s="451"/>
      <c r="E194" s="457"/>
      <c r="F194" s="453"/>
      <c r="G194" s="453"/>
      <c r="H194" s="453"/>
      <c r="I194" s="453"/>
      <c r="J194" s="453"/>
      <c r="K194" s="453"/>
      <c r="L194" s="453"/>
      <c r="M194" s="453"/>
      <c r="N194" s="453"/>
      <c r="O194" s="453"/>
      <c r="P194" s="453"/>
      <c r="Q194" s="453"/>
      <c r="R194" s="453"/>
      <c r="S194" s="453"/>
      <c r="T194" s="453"/>
      <c r="U194" s="453"/>
      <c r="V194" s="453"/>
      <c r="W194" s="453"/>
      <c r="X194" s="453"/>
      <c r="Y194" s="453"/>
      <c r="Z194" s="489"/>
      <c r="AA194" s="489"/>
      <c r="AB194" s="490"/>
      <c r="AC194" s="453"/>
      <c r="AD194" s="453"/>
      <c r="AE194" s="453"/>
      <c r="AF194" s="453"/>
      <c r="AG194" s="453"/>
      <c r="AH194" s="453"/>
      <c r="AI194" s="453"/>
      <c r="AJ194" s="453"/>
      <c r="AK194" s="453"/>
      <c r="AL194" s="453"/>
      <c r="AM194" s="453"/>
      <c r="AN194" s="453"/>
      <c r="AO194" s="453"/>
      <c r="AP194" s="453"/>
      <c r="AQ194" s="453"/>
      <c r="AR194" s="453"/>
      <c r="AS194" s="453"/>
      <c r="AT194" s="453"/>
      <c r="AU194" s="453"/>
      <c r="AV194" s="453"/>
      <c r="AW194" s="453"/>
      <c r="AX194" s="453"/>
      <c r="AY194" s="453"/>
      <c r="AZ194" s="453"/>
      <c r="BA194" s="532">
        <v>35280</v>
      </c>
      <c r="BB194" s="502"/>
      <c r="BC194" s="503"/>
      <c r="BD194" s="453"/>
      <c r="BE194" s="453"/>
      <c r="BF194" s="470"/>
      <c r="BG194" s="453"/>
      <c r="BH194" s="453"/>
      <c r="BI194" s="453"/>
      <c r="BJ194" s="453"/>
      <c r="BK194" s="453"/>
      <c r="BL194" s="453"/>
      <c r="BM194" s="502"/>
      <c r="BN194" s="490"/>
      <c r="BO194" s="470"/>
      <c r="BP194" s="490"/>
      <c r="BQ194" s="453"/>
      <c r="BR194" s="502"/>
      <c r="BS194" s="524"/>
      <c r="BT194" s="530"/>
    </row>
    <row r="195" s="435" customFormat="1" ht="18" customHeight="1" spans="1:72">
      <c r="A195" s="451" t="s">
        <v>4033</v>
      </c>
      <c r="B195" s="456">
        <v>44119</v>
      </c>
      <c r="C195" s="526">
        <v>1000006060</v>
      </c>
      <c r="D195" s="451"/>
      <c r="E195" s="457"/>
      <c r="F195" s="453"/>
      <c r="G195" s="453"/>
      <c r="H195" s="453"/>
      <c r="I195" s="453"/>
      <c r="J195" s="453"/>
      <c r="K195" s="453"/>
      <c r="L195" s="453"/>
      <c r="M195" s="453"/>
      <c r="N195" s="453"/>
      <c r="O195" s="453"/>
      <c r="P195" s="453"/>
      <c r="Q195" s="453"/>
      <c r="R195" s="453"/>
      <c r="S195" s="453"/>
      <c r="T195" s="453"/>
      <c r="U195" s="453"/>
      <c r="V195" s="453"/>
      <c r="W195" s="453"/>
      <c r="X195" s="453"/>
      <c r="Y195" s="453"/>
      <c r="Z195" s="489"/>
      <c r="AA195" s="489"/>
      <c r="AB195" s="490"/>
      <c r="AC195" s="453"/>
      <c r="AD195" s="453"/>
      <c r="AE195" s="453"/>
      <c r="AF195" s="453"/>
      <c r="AG195" s="453"/>
      <c r="AH195" s="453"/>
      <c r="AI195" s="453"/>
      <c r="AJ195" s="453"/>
      <c r="AK195" s="453"/>
      <c r="AL195" s="453"/>
      <c r="AM195" s="453"/>
      <c r="AN195" s="453"/>
      <c r="AO195" s="453"/>
      <c r="AP195" s="453"/>
      <c r="AQ195" s="453"/>
      <c r="AR195" s="453"/>
      <c r="AS195" s="453"/>
      <c r="AT195" s="453"/>
      <c r="AU195" s="453"/>
      <c r="AV195" s="453"/>
      <c r="AW195" s="453"/>
      <c r="AX195" s="453"/>
      <c r="AY195" s="453"/>
      <c r="AZ195" s="453"/>
      <c r="BA195" s="532"/>
      <c r="BB195" s="502">
        <v>28880</v>
      </c>
      <c r="BC195" s="503"/>
      <c r="BD195" s="453"/>
      <c r="BE195" s="453"/>
      <c r="BF195" s="470"/>
      <c r="BG195" s="453"/>
      <c r="BH195" s="453"/>
      <c r="BI195" s="453"/>
      <c r="BJ195" s="453"/>
      <c r="BK195" s="453"/>
      <c r="BL195" s="453"/>
      <c r="BM195" s="502"/>
      <c r="BN195" s="490"/>
      <c r="BO195" s="470"/>
      <c r="BP195" s="490"/>
      <c r="BQ195" s="453"/>
      <c r="BR195" s="502"/>
      <c r="BS195" s="524"/>
      <c r="BT195" s="530"/>
    </row>
    <row r="196" s="435" customFormat="1" ht="18" customHeight="1" spans="1:72">
      <c r="A196" s="451" t="s">
        <v>4033</v>
      </c>
      <c r="B196" s="456">
        <v>44509</v>
      </c>
      <c r="C196" s="526">
        <v>1000006450</v>
      </c>
      <c r="D196" s="451"/>
      <c r="E196" s="457"/>
      <c r="F196" s="453"/>
      <c r="G196" s="453"/>
      <c r="H196" s="453"/>
      <c r="I196" s="453"/>
      <c r="J196" s="453"/>
      <c r="K196" s="453"/>
      <c r="L196" s="453"/>
      <c r="M196" s="453"/>
      <c r="N196" s="453"/>
      <c r="O196" s="453"/>
      <c r="P196" s="453"/>
      <c r="Q196" s="453"/>
      <c r="R196" s="453"/>
      <c r="S196" s="453"/>
      <c r="T196" s="453"/>
      <c r="U196" s="453"/>
      <c r="V196" s="453"/>
      <c r="W196" s="453"/>
      <c r="X196" s="453"/>
      <c r="Y196" s="453"/>
      <c r="Z196" s="489"/>
      <c r="AA196" s="489"/>
      <c r="AB196" s="490"/>
      <c r="AC196" s="453"/>
      <c r="AD196" s="453"/>
      <c r="AE196" s="453"/>
      <c r="AF196" s="453"/>
      <c r="AG196" s="453"/>
      <c r="AH196" s="453"/>
      <c r="AI196" s="453"/>
      <c r="AJ196" s="453"/>
      <c r="AK196" s="453"/>
      <c r="AL196" s="453"/>
      <c r="AM196" s="453"/>
      <c r="AN196" s="453"/>
      <c r="AO196" s="453"/>
      <c r="AP196" s="453"/>
      <c r="AQ196" s="453"/>
      <c r="AR196" s="453"/>
      <c r="AS196" s="453"/>
      <c r="AT196" s="453"/>
      <c r="AU196" s="453"/>
      <c r="AV196" s="453"/>
      <c r="AW196" s="453"/>
      <c r="AX196" s="453"/>
      <c r="AY196" s="453"/>
      <c r="AZ196" s="453"/>
      <c r="BA196" s="532">
        <v>8960</v>
      </c>
      <c r="BB196" s="502"/>
      <c r="BC196" s="503"/>
      <c r="BD196" s="453"/>
      <c r="BE196" s="453"/>
      <c r="BF196" s="470"/>
      <c r="BG196" s="453"/>
      <c r="BH196" s="453"/>
      <c r="BI196" s="453"/>
      <c r="BJ196" s="453"/>
      <c r="BK196" s="453"/>
      <c r="BL196" s="453"/>
      <c r="BM196" s="502"/>
      <c r="BN196" s="490"/>
      <c r="BO196" s="470"/>
      <c r="BP196" s="490"/>
      <c r="BQ196" s="453"/>
      <c r="BR196" s="502"/>
      <c r="BS196" s="524"/>
      <c r="BT196" s="530"/>
    </row>
    <row r="197" s="435" customFormat="1" ht="18" customHeight="1" spans="1:72">
      <c r="A197" s="451" t="s">
        <v>4033</v>
      </c>
      <c r="B197" s="456">
        <v>44509</v>
      </c>
      <c r="C197" s="526">
        <v>1000006451</v>
      </c>
      <c r="D197" s="451"/>
      <c r="E197" s="457"/>
      <c r="F197" s="453"/>
      <c r="G197" s="453"/>
      <c r="H197" s="453"/>
      <c r="I197" s="453"/>
      <c r="J197" s="453"/>
      <c r="K197" s="453"/>
      <c r="L197" s="453"/>
      <c r="M197" s="453"/>
      <c r="N197" s="453"/>
      <c r="O197" s="453"/>
      <c r="P197" s="453"/>
      <c r="Q197" s="453"/>
      <c r="R197" s="453"/>
      <c r="S197" s="453"/>
      <c r="T197" s="453"/>
      <c r="U197" s="453"/>
      <c r="V197" s="453"/>
      <c r="W197" s="453"/>
      <c r="X197" s="453"/>
      <c r="Y197" s="453"/>
      <c r="Z197" s="489"/>
      <c r="AA197" s="489"/>
      <c r="AB197" s="490"/>
      <c r="AC197" s="453"/>
      <c r="AD197" s="453"/>
      <c r="AE197" s="453"/>
      <c r="AF197" s="453"/>
      <c r="AG197" s="453"/>
      <c r="AH197" s="453"/>
      <c r="AI197" s="453"/>
      <c r="AJ197" s="453"/>
      <c r="AK197" s="453"/>
      <c r="AL197" s="453"/>
      <c r="AM197" s="453"/>
      <c r="AN197" s="453"/>
      <c r="AO197" s="453"/>
      <c r="AP197" s="453"/>
      <c r="AQ197" s="453"/>
      <c r="AR197" s="453"/>
      <c r="AS197" s="453"/>
      <c r="AT197" s="453"/>
      <c r="AU197" s="453"/>
      <c r="AV197" s="453"/>
      <c r="AW197" s="453"/>
      <c r="AX197" s="453"/>
      <c r="AY197" s="453"/>
      <c r="AZ197" s="453"/>
      <c r="BA197" s="532"/>
      <c r="BB197" s="502">
        <v>9280</v>
      </c>
      <c r="BC197" s="503"/>
      <c r="BD197" s="453"/>
      <c r="BE197" s="453"/>
      <c r="BF197" s="470"/>
      <c r="BG197" s="453"/>
      <c r="BH197" s="453"/>
      <c r="BI197" s="453"/>
      <c r="BJ197" s="453"/>
      <c r="BK197" s="453"/>
      <c r="BL197" s="453"/>
      <c r="BM197" s="502"/>
      <c r="BN197" s="490"/>
      <c r="BO197" s="470"/>
      <c r="BP197" s="490"/>
      <c r="BQ197" s="453"/>
      <c r="BR197" s="502"/>
      <c r="BS197" s="524"/>
      <c r="BT197" s="530"/>
    </row>
    <row r="198" s="435" customFormat="1" ht="18" customHeight="1" spans="1:72">
      <c r="A198" s="451" t="s">
        <v>4033</v>
      </c>
      <c r="B198" s="456">
        <v>44148</v>
      </c>
      <c r="C198" s="526">
        <v>1000006196</v>
      </c>
      <c r="D198" s="451"/>
      <c r="E198" s="457"/>
      <c r="F198" s="453"/>
      <c r="G198" s="453"/>
      <c r="H198" s="453"/>
      <c r="I198" s="453"/>
      <c r="J198" s="453"/>
      <c r="K198" s="453"/>
      <c r="L198" s="453"/>
      <c r="M198" s="453"/>
      <c r="N198" s="453"/>
      <c r="O198" s="453"/>
      <c r="P198" s="453"/>
      <c r="Q198" s="453"/>
      <c r="R198" s="453"/>
      <c r="S198" s="453"/>
      <c r="T198" s="453"/>
      <c r="U198" s="453"/>
      <c r="V198" s="453"/>
      <c r="W198" s="453"/>
      <c r="X198" s="453"/>
      <c r="Y198" s="453"/>
      <c r="Z198" s="489"/>
      <c r="AA198" s="489"/>
      <c r="AB198" s="490"/>
      <c r="AC198" s="453">
        <v>105000</v>
      </c>
      <c r="AD198" s="453"/>
      <c r="AE198" s="453"/>
      <c r="AF198" s="453"/>
      <c r="AG198" s="453"/>
      <c r="AH198" s="453"/>
      <c r="AI198" s="453"/>
      <c r="AJ198" s="453"/>
      <c r="AK198" s="453"/>
      <c r="AL198" s="453"/>
      <c r="AM198" s="453"/>
      <c r="AN198" s="453"/>
      <c r="AO198" s="453"/>
      <c r="AP198" s="453"/>
      <c r="AQ198" s="453"/>
      <c r="AR198" s="453"/>
      <c r="AS198" s="453"/>
      <c r="AT198" s="453"/>
      <c r="AU198" s="453"/>
      <c r="AV198" s="453"/>
      <c r="AW198" s="453"/>
      <c r="AX198" s="453"/>
      <c r="AY198" s="453"/>
      <c r="AZ198" s="453"/>
      <c r="BA198" s="532"/>
      <c r="BB198" s="502"/>
      <c r="BC198" s="503"/>
      <c r="BD198" s="453"/>
      <c r="BE198" s="453"/>
      <c r="BF198" s="470"/>
      <c r="BG198" s="453"/>
      <c r="BH198" s="453"/>
      <c r="BI198" s="453"/>
      <c r="BJ198" s="453"/>
      <c r="BK198" s="453"/>
      <c r="BL198" s="453"/>
      <c r="BM198" s="502"/>
      <c r="BN198" s="490"/>
      <c r="BO198" s="470"/>
      <c r="BP198" s="490"/>
      <c r="BQ198" s="453"/>
      <c r="BR198" s="502"/>
      <c r="BS198" s="524"/>
      <c r="BT198" s="530"/>
    </row>
    <row r="199" s="435" customFormat="1" ht="18" customHeight="1" spans="1:72">
      <c r="A199" s="451" t="s">
        <v>4033</v>
      </c>
      <c r="B199" s="456">
        <v>44148</v>
      </c>
      <c r="C199" s="526">
        <v>1000006197</v>
      </c>
      <c r="D199" s="451"/>
      <c r="E199" s="457"/>
      <c r="F199" s="453"/>
      <c r="G199" s="453"/>
      <c r="H199" s="453"/>
      <c r="I199" s="453"/>
      <c r="J199" s="453"/>
      <c r="K199" s="453"/>
      <c r="L199" s="453"/>
      <c r="M199" s="453"/>
      <c r="N199" s="453"/>
      <c r="O199" s="453"/>
      <c r="P199" s="453"/>
      <c r="Q199" s="453"/>
      <c r="R199" s="453"/>
      <c r="S199" s="453"/>
      <c r="T199" s="453"/>
      <c r="U199" s="453"/>
      <c r="V199" s="453"/>
      <c r="W199" s="453"/>
      <c r="X199" s="453"/>
      <c r="Y199" s="453"/>
      <c r="Z199" s="489"/>
      <c r="AA199" s="489"/>
      <c r="AB199" s="490"/>
      <c r="AC199" s="453"/>
      <c r="AD199" s="453"/>
      <c r="AE199" s="453"/>
      <c r="AF199" s="453"/>
      <c r="AG199" s="453"/>
      <c r="AH199" s="453"/>
      <c r="AI199" s="453"/>
      <c r="AJ199" s="453"/>
      <c r="AK199" s="453"/>
      <c r="AL199" s="453"/>
      <c r="AM199" s="453">
        <v>180000</v>
      </c>
      <c r="AN199" s="453"/>
      <c r="AO199" s="453"/>
      <c r="AP199" s="453"/>
      <c r="AQ199" s="453"/>
      <c r="AR199" s="453"/>
      <c r="AS199" s="453"/>
      <c r="AT199" s="453"/>
      <c r="AU199" s="453"/>
      <c r="AV199" s="453"/>
      <c r="AW199" s="453"/>
      <c r="AX199" s="453"/>
      <c r="AY199" s="453"/>
      <c r="AZ199" s="453"/>
      <c r="BA199" s="532"/>
      <c r="BB199" s="502"/>
      <c r="BC199" s="503"/>
      <c r="BD199" s="453"/>
      <c r="BE199" s="453"/>
      <c r="BF199" s="470"/>
      <c r="BG199" s="453"/>
      <c r="BH199" s="453"/>
      <c r="BI199" s="453"/>
      <c r="BJ199" s="453"/>
      <c r="BK199" s="453"/>
      <c r="BL199" s="453"/>
      <c r="BM199" s="502"/>
      <c r="BN199" s="490"/>
      <c r="BO199" s="470"/>
      <c r="BP199" s="490"/>
      <c r="BQ199" s="453"/>
      <c r="BR199" s="502"/>
      <c r="BS199" s="524"/>
      <c r="BT199" s="530"/>
    </row>
    <row r="200" s="435" customFormat="1" ht="18" customHeight="1" spans="1:72">
      <c r="A200" s="451" t="s">
        <v>4033</v>
      </c>
      <c r="B200" s="456">
        <v>44160</v>
      </c>
      <c r="C200" s="526">
        <v>1000006238</v>
      </c>
      <c r="D200" s="451"/>
      <c r="E200" s="457"/>
      <c r="F200" s="453"/>
      <c r="G200" s="453"/>
      <c r="H200" s="453"/>
      <c r="I200" s="453"/>
      <c r="J200" s="453"/>
      <c r="K200" s="453"/>
      <c r="L200" s="453"/>
      <c r="M200" s="453"/>
      <c r="N200" s="453"/>
      <c r="O200" s="453"/>
      <c r="P200" s="453"/>
      <c r="Q200" s="453"/>
      <c r="R200" s="453"/>
      <c r="S200" s="453"/>
      <c r="T200" s="453"/>
      <c r="U200" s="453"/>
      <c r="V200" s="453"/>
      <c r="W200" s="453"/>
      <c r="X200" s="453"/>
      <c r="Y200" s="453"/>
      <c r="Z200" s="489"/>
      <c r="AA200" s="489"/>
      <c r="AB200" s="490"/>
      <c r="AC200" s="453"/>
      <c r="AD200" s="453"/>
      <c r="AE200" s="453"/>
      <c r="AF200" s="453"/>
      <c r="AG200" s="453"/>
      <c r="AH200" s="453">
        <v>50000</v>
      </c>
      <c r="AI200" s="453"/>
      <c r="AJ200" s="453"/>
      <c r="AK200" s="453"/>
      <c r="AL200" s="453"/>
      <c r="AM200" s="453"/>
      <c r="AN200" s="453"/>
      <c r="AO200" s="453"/>
      <c r="AP200" s="453"/>
      <c r="AQ200" s="453"/>
      <c r="AR200" s="453"/>
      <c r="AS200" s="453"/>
      <c r="AT200" s="453"/>
      <c r="AU200" s="453"/>
      <c r="AV200" s="453"/>
      <c r="AW200" s="453"/>
      <c r="AX200" s="453"/>
      <c r="AY200" s="453"/>
      <c r="AZ200" s="453"/>
      <c r="BA200" s="532"/>
      <c r="BB200" s="502"/>
      <c r="BC200" s="503"/>
      <c r="BD200" s="453"/>
      <c r="BE200" s="453"/>
      <c r="BF200" s="470"/>
      <c r="BG200" s="453"/>
      <c r="BH200" s="453"/>
      <c r="BI200" s="453"/>
      <c r="BJ200" s="453"/>
      <c r="BK200" s="453"/>
      <c r="BL200" s="453"/>
      <c r="BM200" s="502"/>
      <c r="BN200" s="490"/>
      <c r="BO200" s="470"/>
      <c r="BP200" s="490"/>
      <c r="BQ200" s="453"/>
      <c r="BR200" s="502"/>
      <c r="BS200" s="524"/>
      <c r="BT200" s="530"/>
    </row>
    <row r="201" s="435" customFormat="1" ht="18" customHeight="1" spans="1:72">
      <c r="A201" s="451" t="s">
        <v>4033</v>
      </c>
      <c r="B201" s="456">
        <v>44160</v>
      </c>
      <c r="C201" s="526">
        <v>1000006239</v>
      </c>
      <c r="D201" s="451"/>
      <c r="E201" s="457"/>
      <c r="F201" s="453"/>
      <c r="G201" s="453"/>
      <c r="H201" s="453"/>
      <c r="I201" s="453"/>
      <c r="J201" s="453"/>
      <c r="K201" s="453"/>
      <c r="L201" s="453"/>
      <c r="M201" s="453"/>
      <c r="N201" s="453"/>
      <c r="O201" s="453"/>
      <c r="P201" s="453"/>
      <c r="Q201" s="453"/>
      <c r="R201" s="453"/>
      <c r="S201" s="453"/>
      <c r="T201" s="453"/>
      <c r="U201" s="453"/>
      <c r="V201" s="453"/>
      <c r="W201" s="453"/>
      <c r="X201" s="453"/>
      <c r="Y201" s="453"/>
      <c r="Z201" s="489"/>
      <c r="AA201" s="489"/>
      <c r="AB201" s="490"/>
      <c r="AC201" s="453"/>
      <c r="AD201" s="453"/>
      <c r="AE201" s="453"/>
      <c r="AF201" s="453"/>
      <c r="AG201" s="453"/>
      <c r="AH201" s="453"/>
      <c r="AI201" s="453"/>
      <c r="AJ201" s="453"/>
      <c r="AK201" s="453"/>
      <c r="AL201" s="453"/>
      <c r="AM201" s="453"/>
      <c r="AN201" s="453"/>
      <c r="AO201" s="453"/>
      <c r="AP201" s="453"/>
      <c r="AQ201" s="453">
        <v>30000</v>
      </c>
      <c r="AR201" s="453"/>
      <c r="AS201" s="453"/>
      <c r="AT201" s="453"/>
      <c r="AU201" s="453"/>
      <c r="AV201" s="453"/>
      <c r="AW201" s="453"/>
      <c r="AX201" s="453"/>
      <c r="AY201" s="453"/>
      <c r="AZ201" s="453"/>
      <c r="BA201" s="532"/>
      <c r="BB201" s="502"/>
      <c r="BC201" s="503"/>
      <c r="BD201" s="453"/>
      <c r="BE201" s="453"/>
      <c r="BF201" s="470"/>
      <c r="BG201" s="453"/>
      <c r="BH201" s="453"/>
      <c r="BI201" s="453"/>
      <c r="BJ201" s="453"/>
      <c r="BK201" s="453"/>
      <c r="BL201" s="453"/>
      <c r="BM201" s="502"/>
      <c r="BN201" s="490"/>
      <c r="BO201" s="470"/>
      <c r="BP201" s="490"/>
      <c r="BQ201" s="453"/>
      <c r="BR201" s="502"/>
      <c r="BS201" s="524"/>
      <c r="BT201" s="530"/>
    </row>
    <row r="202" s="435" customFormat="1" ht="18" customHeight="1" spans="1:72">
      <c r="A202" s="451" t="s">
        <v>4033</v>
      </c>
      <c r="B202" s="456">
        <v>44179</v>
      </c>
      <c r="C202" s="526">
        <v>1000006318</v>
      </c>
      <c r="D202" s="451"/>
      <c r="E202" s="457"/>
      <c r="F202" s="453"/>
      <c r="G202" s="453"/>
      <c r="H202" s="453"/>
      <c r="I202" s="453"/>
      <c r="J202" s="453"/>
      <c r="K202" s="453"/>
      <c r="L202" s="453"/>
      <c r="M202" s="453"/>
      <c r="N202" s="453"/>
      <c r="O202" s="453"/>
      <c r="P202" s="453"/>
      <c r="Q202" s="453"/>
      <c r="R202" s="453"/>
      <c r="S202" s="453"/>
      <c r="T202" s="453"/>
      <c r="U202" s="453"/>
      <c r="V202" s="453"/>
      <c r="W202" s="453"/>
      <c r="X202" s="453"/>
      <c r="Y202" s="453"/>
      <c r="Z202" s="489"/>
      <c r="AA202" s="489"/>
      <c r="AB202" s="490"/>
      <c r="AC202" s="453">
        <v>60000</v>
      </c>
      <c r="AD202" s="453"/>
      <c r="AE202" s="453"/>
      <c r="AF202" s="453"/>
      <c r="AG202" s="453"/>
      <c r="AH202" s="453"/>
      <c r="AI202" s="453"/>
      <c r="AJ202" s="453"/>
      <c r="AK202" s="453"/>
      <c r="AL202" s="453"/>
      <c r="AM202" s="453"/>
      <c r="AN202" s="453"/>
      <c r="AO202" s="453"/>
      <c r="AP202" s="453"/>
      <c r="AQ202" s="453"/>
      <c r="AR202" s="453"/>
      <c r="AS202" s="453"/>
      <c r="AT202" s="453"/>
      <c r="AU202" s="453"/>
      <c r="AV202" s="453"/>
      <c r="AW202" s="453"/>
      <c r="AX202" s="453"/>
      <c r="AY202" s="453"/>
      <c r="AZ202" s="453"/>
      <c r="BA202" s="532"/>
      <c r="BB202" s="502"/>
      <c r="BC202" s="503"/>
      <c r="BD202" s="453"/>
      <c r="BE202" s="453"/>
      <c r="BF202" s="470"/>
      <c r="BG202" s="453"/>
      <c r="BH202" s="453"/>
      <c r="BI202" s="453"/>
      <c r="BJ202" s="453"/>
      <c r="BK202" s="453"/>
      <c r="BL202" s="453"/>
      <c r="BM202" s="502"/>
      <c r="BN202" s="490"/>
      <c r="BO202" s="470"/>
      <c r="BP202" s="490"/>
      <c r="BQ202" s="453"/>
      <c r="BR202" s="502"/>
      <c r="BS202" s="524"/>
      <c r="BT202" s="530"/>
    </row>
    <row r="203" s="435" customFormat="1" ht="18" customHeight="1" spans="1:72">
      <c r="A203" s="451" t="s">
        <v>4033</v>
      </c>
      <c r="B203" s="456">
        <v>44179</v>
      </c>
      <c r="C203" s="526">
        <v>1000006319</v>
      </c>
      <c r="D203" s="451"/>
      <c r="E203" s="457"/>
      <c r="F203" s="453"/>
      <c r="G203" s="453"/>
      <c r="H203" s="453"/>
      <c r="I203" s="453"/>
      <c r="J203" s="453"/>
      <c r="K203" s="453"/>
      <c r="L203" s="453"/>
      <c r="M203" s="453"/>
      <c r="N203" s="453"/>
      <c r="O203" s="453"/>
      <c r="P203" s="453"/>
      <c r="Q203" s="453"/>
      <c r="R203" s="453"/>
      <c r="S203" s="453"/>
      <c r="T203" s="453"/>
      <c r="U203" s="453"/>
      <c r="V203" s="453"/>
      <c r="W203" s="453"/>
      <c r="X203" s="453"/>
      <c r="Y203" s="453"/>
      <c r="Z203" s="489"/>
      <c r="AA203" s="489"/>
      <c r="AB203" s="490"/>
      <c r="AC203" s="453"/>
      <c r="AD203" s="453"/>
      <c r="AE203" s="453"/>
      <c r="AF203" s="453"/>
      <c r="AG203" s="453"/>
      <c r="AH203" s="453"/>
      <c r="AI203" s="453"/>
      <c r="AJ203" s="453"/>
      <c r="AK203" s="453"/>
      <c r="AL203" s="453"/>
      <c r="AM203" s="453">
        <v>50000</v>
      </c>
      <c r="AN203" s="453"/>
      <c r="AO203" s="453"/>
      <c r="AP203" s="453"/>
      <c r="AQ203" s="453"/>
      <c r="AR203" s="453"/>
      <c r="AS203" s="453"/>
      <c r="AT203" s="453"/>
      <c r="AU203" s="453"/>
      <c r="AV203" s="453"/>
      <c r="AW203" s="453"/>
      <c r="AX203" s="453"/>
      <c r="AY203" s="453"/>
      <c r="AZ203" s="453"/>
      <c r="BA203" s="532"/>
      <c r="BB203" s="502"/>
      <c r="BC203" s="503"/>
      <c r="BD203" s="453"/>
      <c r="BE203" s="453"/>
      <c r="BF203" s="470"/>
      <c r="BG203" s="453"/>
      <c r="BH203" s="453"/>
      <c r="BI203" s="453"/>
      <c r="BJ203" s="453"/>
      <c r="BK203" s="453"/>
      <c r="BL203" s="453"/>
      <c r="BM203" s="502"/>
      <c r="BN203" s="490"/>
      <c r="BO203" s="470"/>
      <c r="BP203" s="490"/>
      <c r="BQ203" s="453"/>
      <c r="BR203" s="502"/>
      <c r="BS203" s="524"/>
      <c r="BT203" s="530"/>
    </row>
    <row r="204" s="435" customFormat="1" ht="18" customHeight="1" spans="1:72">
      <c r="A204" s="451" t="s">
        <v>4033</v>
      </c>
      <c r="B204" s="456">
        <v>44179</v>
      </c>
      <c r="C204" s="526">
        <v>1000006320</v>
      </c>
      <c r="D204" s="451"/>
      <c r="E204" s="457"/>
      <c r="F204" s="453"/>
      <c r="G204" s="453"/>
      <c r="H204" s="453"/>
      <c r="I204" s="453">
        <v>5001</v>
      </c>
      <c r="J204" s="453"/>
      <c r="K204" s="453"/>
      <c r="L204" s="453"/>
      <c r="M204" s="453"/>
      <c r="N204" s="453"/>
      <c r="O204" s="453"/>
      <c r="P204" s="453"/>
      <c r="Q204" s="453"/>
      <c r="R204" s="453"/>
      <c r="S204" s="453"/>
      <c r="T204" s="453"/>
      <c r="U204" s="453"/>
      <c r="V204" s="453"/>
      <c r="W204" s="453"/>
      <c r="X204" s="453"/>
      <c r="Y204" s="453"/>
      <c r="Z204" s="489"/>
      <c r="AA204" s="489"/>
      <c r="AB204" s="490"/>
      <c r="AC204" s="453"/>
      <c r="AD204" s="453"/>
      <c r="AE204" s="453"/>
      <c r="AF204" s="453"/>
      <c r="AG204" s="453"/>
      <c r="AH204" s="453"/>
      <c r="AI204" s="453"/>
      <c r="AJ204" s="453"/>
      <c r="AK204" s="453"/>
      <c r="AL204" s="453"/>
      <c r="AM204" s="453"/>
      <c r="AN204" s="453"/>
      <c r="AO204" s="453"/>
      <c r="AP204" s="453"/>
      <c r="AQ204" s="453"/>
      <c r="AR204" s="453"/>
      <c r="AS204" s="453"/>
      <c r="AT204" s="453"/>
      <c r="AU204" s="453"/>
      <c r="AV204" s="453"/>
      <c r="AW204" s="453"/>
      <c r="AX204" s="453"/>
      <c r="AY204" s="453"/>
      <c r="AZ204" s="453"/>
      <c r="BA204" s="532"/>
      <c r="BB204" s="502"/>
      <c r="BC204" s="503"/>
      <c r="BD204" s="453"/>
      <c r="BE204" s="453"/>
      <c r="BF204" s="470"/>
      <c r="BG204" s="453"/>
      <c r="BH204" s="453"/>
      <c r="BI204" s="453"/>
      <c r="BJ204" s="453"/>
      <c r="BK204" s="453"/>
      <c r="BL204" s="453"/>
      <c r="BM204" s="502"/>
      <c r="BN204" s="490"/>
      <c r="BO204" s="470"/>
      <c r="BP204" s="490"/>
      <c r="BQ204" s="453"/>
      <c r="BR204" s="502"/>
      <c r="BS204" s="524"/>
      <c r="BT204" s="530"/>
    </row>
    <row r="205" s="435" customFormat="1" ht="18" customHeight="1" spans="1:72">
      <c r="A205" s="451" t="s">
        <v>4033</v>
      </c>
      <c r="B205" s="456">
        <v>44179</v>
      </c>
      <c r="C205" s="526">
        <v>1000006321</v>
      </c>
      <c r="D205" s="451"/>
      <c r="E205" s="457"/>
      <c r="F205" s="453"/>
      <c r="G205" s="453"/>
      <c r="H205" s="453"/>
      <c r="I205" s="453"/>
      <c r="J205" s="453">
        <v>5001</v>
      </c>
      <c r="K205" s="453"/>
      <c r="L205" s="453"/>
      <c r="M205" s="453"/>
      <c r="N205" s="453"/>
      <c r="O205" s="453"/>
      <c r="P205" s="453"/>
      <c r="Q205" s="453"/>
      <c r="R205" s="453"/>
      <c r="S205" s="453"/>
      <c r="T205" s="453"/>
      <c r="U205" s="453"/>
      <c r="V205" s="453"/>
      <c r="W205" s="453"/>
      <c r="X205" s="453"/>
      <c r="Y205" s="453"/>
      <c r="Z205" s="489"/>
      <c r="AA205" s="489"/>
      <c r="AB205" s="490"/>
      <c r="AC205" s="453"/>
      <c r="AD205" s="453"/>
      <c r="AE205" s="453"/>
      <c r="AF205" s="453"/>
      <c r="AG205" s="453"/>
      <c r="AH205" s="453"/>
      <c r="AI205" s="453"/>
      <c r="AJ205" s="453"/>
      <c r="AK205" s="453"/>
      <c r="AL205" s="453"/>
      <c r="AM205" s="453"/>
      <c r="AN205" s="453"/>
      <c r="AO205" s="453"/>
      <c r="AP205" s="453"/>
      <c r="AQ205" s="453"/>
      <c r="AR205" s="453"/>
      <c r="AS205" s="453"/>
      <c r="AT205" s="453"/>
      <c r="AU205" s="453"/>
      <c r="AV205" s="453"/>
      <c r="AW205" s="453"/>
      <c r="AX205" s="453"/>
      <c r="AY205" s="453"/>
      <c r="AZ205" s="453"/>
      <c r="BA205" s="532"/>
      <c r="BB205" s="502"/>
      <c r="BC205" s="503"/>
      <c r="BD205" s="453"/>
      <c r="BE205" s="453"/>
      <c r="BF205" s="470"/>
      <c r="BG205" s="453"/>
      <c r="BH205" s="453"/>
      <c r="BI205" s="453"/>
      <c r="BJ205" s="453"/>
      <c r="BK205" s="453"/>
      <c r="BL205" s="453"/>
      <c r="BM205" s="502"/>
      <c r="BN205" s="490"/>
      <c r="BO205" s="470"/>
      <c r="BP205" s="490"/>
      <c r="BQ205" s="453"/>
      <c r="BR205" s="502"/>
      <c r="BS205" s="524"/>
      <c r="BT205" s="530"/>
    </row>
    <row r="206" s="435" customFormat="1" ht="18" customHeight="1" spans="1:72">
      <c r="A206" s="451" t="s">
        <v>4033</v>
      </c>
      <c r="B206" s="456">
        <v>44179</v>
      </c>
      <c r="C206" s="526">
        <v>1000006322</v>
      </c>
      <c r="D206" s="451"/>
      <c r="E206" s="457"/>
      <c r="F206" s="453"/>
      <c r="G206" s="453"/>
      <c r="H206" s="453"/>
      <c r="I206" s="453"/>
      <c r="J206" s="453"/>
      <c r="K206" s="453"/>
      <c r="L206" s="453"/>
      <c r="M206" s="453"/>
      <c r="N206" s="453"/>
      <c r="O206" s="453"/>
      <c r="P206" s="453"/>
      <c r="Q206" s="453"/>
      <c r="R206" s="453">
        <v>10001</v>
      </c>
      <c r="S206" s="453"/>
      <c r="T206" s="453"/>
      <c r="U206" s="453"/>
      <c r="V206" s="453"/>
      <c r="W206" s="453"/>
      <c r="X206" s="453"/>
      <c r="Y206" s="453"/>
      <c r="Z206" s="489"/>
      <c r="AA206" s="489"/>
      <c r="AB206" s="490"/>
      <c r="AC206" s="453"/>
      <c r="AD206" s="453"/>
      <c r="AE206" s="453"/>
      <c r="AF206" s="453"/>
      <c r="AG206" s="453"/>
      <c r="AH206" s="453"/>
      <c r="AI206" s="453"/>
      <c r="AJ206" s="453"/>
      <c r="AK206" s="453"/>
      <c r="AL206" s="453"/>
      <c r="AM206" s="453"/>
      <c r="AN206" s="453"/>
      <c r="AO206" s="453"/>
      <c r="AP206" s="453"/>
      <c r="AQ206" s="453"/>
      <c r="AR206" s="453"/>
      <c r="AS206" s="453"/>
      <c r="AT206" s="453"/>
      <c r="AU206" s="453"/>
      <c r="AV206" s="453"/>
      <c r="AW206" s="453"/>
      <c r="AX206" s="453"/>
      <c r="AY206" s="453"/>
      <c r="AZ206" s="453"/>
      <c r="BA206" s="532"/>
      <c r="BB206" s="502"/>
      <c r="BC206" s="503"/>
      <c r="BD206" s="453"/>
      <c r="BE206" s="453"/>
      <c r="BF206" s="470"/>
      <c r="BG206" s="453"/>
      <c r="BH206" s="453"/>
      <c r="BI206" s="453"/>
      <c r="BJ206" s="453"/>
      <c r="BK206" s="453"/>
      <c r="BL206" s="453"/>
      <c r="BM206" s="502"/>
      <c r="BN206" s="490"/>
      <c r="BO206" s="470"/>
      <c r="BP206" s="490"/>
      <c r="BQ206" s="453"/>
      <c r="BR206" s="502"/>
      <c r="BS206" s="524"/>
      <c r="BT206" s="530"/>
    </row>
    <row r="207" s="435" customFormat="1" ht="18" customHeight="1" spans="1:72">
      <c r="A207" s="451" t="s">
        <v>4033</v>
      </c>
      <c r="B207" s="456">
        <v>44179</v>
      </c>
      <c r="C207" s="526">
        <v>1000006323</v>
      </c>
      <c r="D207" s="451"/>
      <c r="E207" s="457"/>
      <c r="F207" s="453"/>
      <c r="G207" s="453"/>
      <c r="H207" s="453"/>
      <c r="I207" s="453"/>
      <c r="J207" s="453"/>
      <c r="K207" s="453"/>
      <c r="L207" s="453"/>
      <c r="M207" s="453"/>
      <c r="N207" s="453"/>
      <c r="O207" s="453"/>
      <c r="P207" s="453"/>
      <c r="Q207" s="453"/>
      <c r="R207" s="453"/>
      <c r="S207" s="453"/>
      <c r="T207" s="453"/>
      <c r="U207" s="453"/>
      <c r="V207" s="453"/>
      <c r="W207" s="453"/>
      <c r="X207" s="453"/>
      <c r="Y207" s="453"/>
      <c r="Z207" s="489"/>
      <c r="AA207" s="489"/>
      <c r="AB207" s="490"/>
      <c r="AC207" s="453"/>
      <c r="AD207" s="453"/>
      <c r="AE207" s="453"/>
      <c r="AF207" s="453"/>
      <c r="AG207" s="453"/>
      <c r="AH207" s="453"/>
      <c r="AI207" s="453"/>
      <c r="AJ207" s="453"/>
      <c r="AK207" s="453"/>
      <c r="AL207" s="453"/>
      <c r="AM207" s="453"/>
      <c r="AN207" s="453"/>
      <c r="AO207" s="453"/>
      <c r="AP207" s="453"/>
      <c r="AQ207" s="453"/>
      <c r="AR207" s="453"/>
      <c r="AS207" s="453"/>
      <c r="AT207" s="453"/>
      <c r="AU207" s="453"/>
      <c r="AV207" s="453"/>
      <c r="AW207" s="453"/>
      <c r="AX207" s="453"/>
      <c r="AY207" s="453"/>
      <c r="AZ207" s="453"/>
      <c r="BA207" s="532"/>
      <c r="BB207" s="502"/>
      <c r="BC207" s="503">
        <v>5000</v>
      </c>
      <c r="BD207" s="453"/>
      <c r="BE207" s="453"/>
      <c r="BF207" s="470"/>
      <c r="BG207" s="453"/>
      <c r="BH207" s="453"/>
      <c r="BI207" s="453"/>
      <c r="BJ207" s="453"/>
      <c r="BK207" s="453"/>
      <c r="BL207" s="453"/>
      <c r="BM207" s="502"/>
      <c r="BN207" s="490"/>
      <c r="BO207" s="470"/>
      <c r="BP207" s="490"/>
      <c r="BQ207" s="453"/>
      <c r="BR207" s="502"/>
      <c r="BS207" s="524"/>
      <c r="BT207" s="530"/>
    </row>
    <row r="208" s="435" customFormat="1" ht="18" customHeight="1" spans="1:72">
      <c r="A208" s="451" t="s">
        <v>4033</v>
      </c>
      <c r="B208" s="456">
        <v>44179</v>
      </c>
      <c r="C208" s="526">
        <v>1000006324</v>
      </c>
      <c r="D208" s="451"/>
      <c r="E208" s="457"/>
      <c r="F208" s="453"/>
      <c r="G208" s="453"/>
      <c r="H208" s="453"/>
      <c r="I208" s="453"/>
      <c r="J208" s="453"/>
      <c r="K208" s="453"/>
      <c r="L208" s="453"/>
      <c r="M208" s="453"/>
      <c r="N208" s="453"/>
      <c r="O208" s="453"/>
      <c r="P208" s="453"/>
      <c r="Q208" s="453"/>
      <c r="R208" s="453"/>
      <c r="S208" s="453"/>
      <c r="T208" s="453"/>
      <c r="U208" s="453"/>
      <c r="V208" s="453"/>
      <c r="W208" s="453"/>
      <c r="X208" s="453"/>
      <c r="Y208" s="453"/>
      <c r="Z208" s="489"/>
      <c r="AA208" s="489"/>
      <c r="AB208" s="490"/>
      <c r="AC208" s="453"/>
      <c r="AD208" s="453"/>
      <c r="AE208" s="453"/>
      <c r="AF208" s="453"/>
      <c r="AG208" s="453"/>
      <c r="AH208" s="453"/>
      <c r="AI208" s="453"/>
      <c r="AJ208" s="453"/>
      <c r="AK208" s="453"/>
      <c r="AL208" s="453"/>
      <c r="AM208" s="453"/>
      <c r="AN208" s="453"/>
      <c r="AO208" s="453"/>
      <c r="AP208" s="453"/>
      <c r="AQ208" s="453"/>
      <c r="AR208" s="453"/>
      <c r="AS208" s="453"/>
      <c r="AT208" s="453"/>
      <c r="AU208" s="453"/>
      <c r="AV208" s="453"/>
      <c r="AW208" s="453"/>
      <c r="AX208" s="453"/>
      <c r="AY208" s="453"/>
      <c r="AZ208" s="453"/>
      <c r="BA208" s="532"/>
      <c r="BB208" s="502"/>
      <c r="BC208" s="503"/>
      <c r="BD208" s="453">
        <v>3000</v>
      </c>
      <c r="BE208" s="453"/>
      <c r="BF208" s="470"/>
      <c r="BG208" s="453"/>
      <c r="BH208" s="453"/>
      <c r="BI208" s="453"/>
      <c r="BJ208" s="453"/>
      <c r="BK208" s="453"/>
      <c r="BL208" s="453"/>
      <c r="BM208" s="502"/>
      <c r="BN208" s="490"/>
      <c r="BO208" s="470"/>
      <c r="BP208" s="490"/>
      <c r="BQ208" s="453"/>
      <c r="BR208" s="502"/>
      <c r="BS208" s="524"/>
      <c r="BT208" s="530"/>
    </row>
    <row r="209" s="435" customFormat="1" ht="18" customHeight="1" spans="1:72">
      <c r="A209" s="451" t="s">
        <v>4033</v>
      </c>
      <c r="B209" s="456">
        <v>44179</v>
      </c>
      <c r="C209" s="526">
        <v>1000006325</v>
      </c>
      <c r="D209" s="451"/>
      <c r="E209" s="457"/>
      <c r="F209" s="453"/>
      <c r="G209" s="453"/>
      <c r="H209" s="453"/>
      <c r="I209" s="453"/>
      <c r="J209" s="453"/>
      <c r="K209" s="453"/>
      <c r="L209" s="453"/>
      <c r="M209" s="453"/>
      <c r="N209" s="453"/>
      <c r="O209" s="453"/>
      <c r="P209" s="453"/>
      <c r="Q209" s="453"/>
      <c r="R209" s="453"/>
      <c r="S209" s="453"/>
      <c r="T209" s="453"/>
      <c r="U209" s="453"/>
      <c r="V209" s="453"/>
      <c r="W209" s="453"/>
      <c r="X209" s="453"/>
      <c r="Y209" s="453"/>
      <c r="Z209" s="489"/>
      <c r="AA209" s="489"/>
      <c r="AB209" s="490"/>
      <c r="AC209" s="453"/>
      <c r="AD209" s="453"/>
      <c r="AE209" s="453"/>
      <c r="AF209" s="453"/>
      <c r="AG209" s="453"/>
      <c r="AH209" s="453"/>
      <c r="AI209" s="453"/>
      <c r="AJ209" s="453"/>
      <c r="AK209" s="453"/>
      <c r="AL209" s="453"/>
      <c r="AM209" s="453"/>
      <c r="AN209" s="453"/>
      <c r="AO209" s="453"/>
      <c r="AP209" s="453"/>
      <c r="AQ209" s="453"/>
      <c r="AR209" s="453"/>
      <c r="AS209" s="453"/>
      <c r="AT209" s="453"/>
      <c r="AU209" s="453"/>
      <c r="AV209" s="453"/>
      <c r="AW209" s="453"/>
      <c r="AX209" s="453"/>
      <c r="AY209" s="453"/>
      <c r="AZ209" s="453"/>
      <c r="BA209" s="532"/>
      <c r="BB209" s="502"/>
      <c r="BC209" s="503"/>
      <c r="BD209" s="453"/>
      <c r="BE209" s="453">
        <v>4000</v>
      </c>
      <c r="BF209" s="470"/>
      <c r="BG209" s="453"/>
      <c r="BH209" s="453"/>
      <c r="BI209" s="453"/>
      <c r="BJ209" s="453"/>
      <c r="BK209" s="453"/>
      <c r="BL209" s="453"/>
      <c r="BM209" s="502"/>
      <c r="BN209" s="490"/>
      <c r="BO209" s="470"/>
      <c r="BP209" s="490"/>
      <c r="BQ209" s="453"/>
      <c r="BR209" s="502"/>
      <c r="BS209" s="524"/>
      <c r="BT209" s="530"/>
    </row>
    <row r="210" s="435" customFormat="1" ht="18" customHeight="1" spans="1:72">
      <c r="A210" s="451" t="s">
        <v>4033</v>
      </c>
      <c r="B210" s="456">
        <v>44555</v>
      </c>
      <c r="C210" s="526">
        <v>1000006379</v>
      </c>
      <c r="D210" s="451"/>
      <c r="E210" s="457"/>
      <c r="F210" s="453"/>
      <c r="G210" s="453"/>
      <c r="H210" s="453"/>
      <c r="I210" s="453"/>
      <c r="J210" s="453"/>
      <c r="K210" s="453"/>
      <c r="L210" s="453"/>
      <c r="M210" s="453"/>
      <c r="N210" s="453"/>
      <c r="O210" s="453"/>
      <c r="P210" s="453"/>
      <c r="Q210" s="453"/>
      <c r="R210" s="453"/>
      <c r="S210" s="453"/>
      <c r="T210" s="453"/>
      <c r="U210" s="453"/>
      <c r="V210" s="453"/>
      <c r="W210" s="453"/>
      <c r="X210" s="453"/>
      <c r="Y210" s="453"/>
      <c r="Z210" s="489"/>
      <c r="AA210" s="489"/>
      <c r="AB210" s="490"/>
      <c r="AC210" s="453">
        <v>30000</v>
      </c>
      <c r="AD210" s="453"/>
      <c r="AE210" s="453"/>
      <c r="AF210" s="453"/>
      <c r="AG210" s="453"/>
      <c r="AH210" s="453"/>
      <c r="AI210" s="453"/>
      <c r="AJ210" s="453"/>
      <c r="AK210" s="453"/>
      <c r="AL210" s="453"/>
      <c r="AM210" s="453"/>
      <c r="AN210" s="453"/>
      <c r="AO210" s="453"/>
      <c r="AP210" s="453"/>
      <c r="AQ210" s="453"/>
      <c r="AR210" s="453"/>
      <c r="AS210" s="453"/>
      <c r="AT210" s="453"/>
      <c r="AU210" s="453"/>
      <c r="AV210" s="453"/>
      <c r="AW210" s="453"/>
      <c r="AX210" s="453"/>
      <c r="AY210" s="453"/>
      <c r="AZ210" s="453"/>
      <c r="BA210" s="532"/>
      <c r="BB210" s="502"/>
      <c r="BC210" s="503"/>
      <c r="BD210" s="453"/>
      <c r="BE210" s="453"/>
      <c r="BF210" s="470"/>
      <c r="BG210" s="453"/>
      <c r="BH210" s="453"/>
      <c r="BI210" s="453"/>
      <c r="BJ210" s="453"/>
      <c r="BK210" s="453"/>
      <c r="BL210" s="453"/>
      <c r="BM210" s="502"/>
      <c r="BN210" s="490"/>
      <c r="BO210" s="470"/>
      <c r="BP210" s="490"/>
      <c r="BQ210" s="453"/>
      <c r="BR210" s="502"/>
      <c r="BS210" s="524"/>
      <c r="BT210" s="530"/>
    </row>
    <row r="211" s="435" customFormat="1" ht="18" customHeight="1" spans="1:72">
      <c r="A211" s="451" t="s">
        <v>4033</v>
      </c>
      <c r="B211" s="456">
        <v>44555</v>
      </c>
      <c r="C211" s="526">
        <v>1000006380</v>
      </c>
      <c r="D211" s="451"/>
      <c r="E211" s="457"/>
      <c r="F211" s="453"/>
      <c r="G211" s="453"/>
      <c r="H211" s="453"/>
      <c r="I211" s="453"/>
      <c r="J211" s="453"/>
      <c r="K211" s="453"/>
      <c r="L211" s="453"/>
      <c r="M211" s="453"/>
      <c r="N211" s="453"/>
      <c r="O211" s="453"/>
      <c r="P211" s="453"/>
      <c r="Q211" s="453"/>
      <c r="R211" s="453"/>
      <c r="S211" s="453"/>
      <c r="T211" s="453"/>
      <c r="U211" s="453"/>
      <c r="V211" s="453"/>
      <c r="W211" s="453"/>
      <c r="X211" s="453"/>
      <c r="Y211" s="453"/>
      <c r="Z211" s="489"/>
      <c r="AA211" s="489"/>
      <c r="AB211" s="490"/>
      <c r="AC211" s="453"/>
      <c r="AD211" s="453"/>
      <c r="AE211" s="453"/>
      <c r="AF211" s="453"/>
      <c r="AG211" s="453"/>
      <c r="AH211" s="453"/>
      <c r="AI211" s="453"/>
      <c r="AJ211" s="453"/>
      <c r="AK211" s="453"/>
      <c r="AL211" s="453"/>
      <c r="AM211" s="453">
        <v>36000</v>
      </c>
      <c r="AN211" s="453"/>
      <c r="AO211" s="453"/>
      <c r="AP211" s="453"/>
      <c r="AQ211" s="453"/>
      <c r="AR211" s="453"/>
      <c r="AS211" s="453"/>
      <c r="AT211" s="453"/>
      <c r="AU211" s="453"/>
      <c r="AV211" s="453"/>
      <c r="AW211" s="453"/>
      <c r="AX211" s="453"/>
      <c r="AY211" s="453"/>
      <c r="AZ211" s="453"/>
      <c r="BA211" s="532"/>
      <c r="BB211" s="502"/>
      <c r="BC211" s="503"/>
      <c r="BD211" s="453"/>
      <c r="BE211" s="453"/>
      <c r="BF211" s="470"/>
      <c r="BG211" s="453"/>
      <c r="BH211" s="453"/>
      <c r="BI211" s="453"/>
      <c r="BJ211" s="453"/>
      <c r="BK211" s="453"/>
      <c r="BL211" s="453"/>
      <c r="BM211" s="502"/>
      <c r="BN211" s="490"/>
      <c r="BO211" s="470"/>
      <c r="BP211" s="490"/>
      <c r="BQ211" s="453"/>
      <c r="BR211" s="502"/>
      <c r="BS211" s="524"/>
      <c r="BT211" s="530"/>
    </row>
    <row r="212" s="435" customFormat="1" ht="18" customHeight="1" spans="1:72">
      <c r="A212" s="451" t="s">
        <v>4033</v>
      </c>
      <c r="B212" s="456">
        <v>44555</v>
      </c>
      <c r="C212" s="526">
        <v>1000006452</v>
      </c>
      <c r="D212" s="451"/>
      <c r="E212" s="457"/>
      <c r="F212" s="453"/>
      <c r="G212" s="453"/>
      <c r="H212" s="453"/>
      <c r="I212" s="453"/>
      <c r="J212" s="453"/>
      <c r="K212" s="453"/>
      <c r="L212" s="453"/>
      <c r="M212" s="453"/>
      <c r="N212" s="453"/>
      <c r="O212" s="453"/>
      <c r="P212" s="453"/>
      <c r="Q212" s="453"/>
      <c r="R212" s="453"/>
      <c r="S212" s="453"/>
      <c r="T212" s="453"/>
      <c r="U212" s="453"/>
      <c r="V212" s="453"/>
      <c r="W212" s="453"/>
      <c r="X212" s="453"/>
      <c r="Y212" s="453"/>
      <c r="Z212" s="489"/>
      <c r="AA212" s="489"/>
      <c r="AB212" s="490"/>
      <c r="AC212" s="453"/>
      <c r="AD212" s="453"/>
      <c r="AE212" s="453"/>
      <c r="AF212" s="453"/>
      <c r="AG212" s="453"/>
      <c r="AH212" s="453"/>
      <c r="AI212" s="453"/>
      <c r="AJ212" s="453"/>
      <c r="AK212" s="453"/>
      <c r="AL212" s="453"/>
      <c r="AM212" s="453"/>
      <c r="AN212" s="453"/>
      <c r="AO212" s="453"/>
      <c r="AP212" s="453"/>
      <c r="AQ212" s="453"/>
      <c r="AR212" s="453"/>
      <c r="AS212" s="453"/>
      <c r="AT212" s="453"/>
      <c r="AU212" s="453"/>
      <c r="AV212" s="453"/>
      <c r="AW212" s="453"/>
      <c r="AX212" s="453"/>
      <c r="AY212" s="453"/>
      <c r="AZ212" s="453"/>
      <c r="BA212" s="532">
        <v>11840</v>
      </c>
      <c r="BB212" s="502"/>
      <c r="BC212" s="503"/>
      <c r="BD212" s="453"/>
      <c r="BE212" s="453"/>
      <c r="BF212" s="470"/>
      <c r="BG212" s="453"/>
      <c r="BH212" s="453"/>
      <c r="BI212" s="453"/>
      <c r="BJ212" s="453"/>
      <c r="BK212" s="453"/>
      <c r="BL212" s="453"/>
      <c r="BM212" s="502"/>
      <c r="BN212" s="490"/>
      <c r="BO212" s="470"/>
      <c r="BP212" s="490"/>
      <c r="BQ212" s="453"/>
      <c r="BR212" s="502"/>
      <c r="BS212" s="524"/>
      <c r="BT212" s="530"/>
    </row>
    <row r="213" s="435" customFormat="1" ht="18" customHeight="1" spans="1:72">
      <c r="A213" s="451" t="s">
        <v>4033</v>
      </c>
      <c r="B213" s="456">
        <v>44555</v>
      </c>
      <c r="C213" s="526">
        <v>1000006453</v>
      </c>
      <c r="D213" s="451"/>
      <c r="E213" s="457"/>
      <c r="F213" s="453"/>
      <c r="G213" s="453"/>
      <c r="H213" s="453"/>
      <c r="I213" s="453"/>
      <c r="J213" s="453"/>
      <c r="K213" s="453"/>
      <c r="L213" s="453"/>
      <c r="M213" s="453"/>
      <c r="N213" s="453"/>
      <c r="O213" s="453"/>
      <c r="P213" s="453"/>
      <c r="Q213" s="453"/>
      <c r="R213" s="453"/>
      <c r="S213" s="453"/>
      <c r="T213" s="453"/>
      <c r="U213" s="453"/>
      <c r="V213" s="453"/>
      <c r="W213" s="453"/>
      <c r="X213" s="453"/>
      <c r="Y213" s="453"/>
      <c r="Z213" s="489"/>
      <c r="AA213" s="489"/>
      <c r="AB213" s="490"/>
      <c r="AC213" s="453"/>
      <c r="AD213" s="453"/>
      <c r="AE213" s="453"/>
      <c r="AF213" s="453"/>
      <c r="AG213" s="453"/>
      <c r="AH213" s="453"/>
      <c r="AI213" s="453"/>
      <c r="AJ213" s="453"/>
      <c r="AK213" s="453"/>
      <c r="AL213" s="453"/>
      <c r="AM213" s="453"/>
      <c r="AN213" s="453"/>
      <c r="AO213" s="453"/>
      <c r="AP213" s="453"/>
      <c r="AQ213" s="453"/>
      <c r="AR213" s="453"/>
      <c r="AS213" s="453"/>
      <c r="AT213" s="453"/>
      <c r="AU213" s="453"/>
      <c r="AV213" s="453"/>
      <c r="AW213" s="453"/>
      <c r="AX213" s="453"/>
      <c r="AY213" s="453"/>
      <c r="AZ213" s="453"/>
      <c r="BA213" s="532"/>
      <c r="BB213" s="502">
        <v>10880</v>
      </c>
      <c r="BC213" s="503"/>
      <c r="BD213" s="453"/>
      <c r="BE213" s="453"/>
      <c r="BF213" s="470"/>
      <c r="BG213" s="453"/>
      <c r="BH213" s="453"/>
      <c r="BI213" s="453"/>
      <c r="BJ213" s="453"/>
      <c r="BK213" s="453"/>
      <c r="BL213" s="453"/>
      <c r="BM213" s="502"/>
      <c r="BN213" s="490"/>
      <c r="BO213" s="470"/>
      <c r="BP213" s="490"/>
      <c r="BQ213" s="453"/>
      <c r="BR213" s="502"/>
      <c r="BS213" s="524"/>
      <c r="BT213" s="530"/>
    </row>
    <row r="214" s="435" customFormat="1" ht="18" customHeight="1" spans="1:72">
      <c r="A214" s="451" t="s">
        <v>4033</v>
      </c>
      <c r="B214" s="533">
        <v>44212</v>
      </c>
      <c r="C214" s="526">
        <v>1000006508</v>
      </c>
      <c r="D214" s="451"/>
      <c r="E214" s="457"/>
      <c r="F214" s="453"/>
      <c r="G214" s="453"/>
      <c r="H214" s="453"/>
      <c r="I214" s="453"/>
      <c r="J214" s="453"/>
      <c r="K214" s="453"/>
      <c r="L214" s="453"/>
      <c r="M214" s="453"/>
      <c r="N214" s="453"/>
      <c r="O214" s="453"/>
      <c r="P214" s="453"/>
      <c r="Q214" s="453"/>
      <c r="R214" s="453"/>
      <c r="S214" s="453"/>
      <c r="T214" s="453"/>
      <c r="U214" s="453"/>
      <c r="V214" s="453"/>
      <c r="W214" s="453"/>
      <c r="X214" s="453"/>
      <c r="Y214" s="453"/>
      <c r="Z214" s="489"/>
      <c r="AA214" s="489"/>
      <c r="AB214" s="490"/>
      <c r="AC214" s="453"/>
      <c r="AD214" s="453"/>
      <c r="AE214" s="453"/>
      <c r="AF214" s="453"/>
      <c r="AG214" s="453"/>
      <c r="AH214" s="453"/>
      <c r="AI214" s="453"/>
      <c r="AJ214" s="453"/>
      <c r="AK214" s="453"/>
      <c r="AL214" s="453"/>
      <c r="AM214" s="453">
        <v>52000</v>
      </c>
      <c r="AN214" s="453"/>
      <c r="AO214" s="453"/>
      <c r="AP214" s="453"/>
      <c r="AQ214" s="453"/>
      <c r="AR214" s="453"/>
      <c r="AS214" s="453"/>
      <c r="AT214" s="453"/>
      <c r="AU214" s="453"/>
      <c r="AV214" s="453"/>
      <c r="AW214" s="453"/>
      <c r="AX214" s="453"/>
      <c r="AY214" s="453"/>
      <c r="AZ214" s="453"/>
      <c r="BA214" s="532"/>
      <c r="BB214" s="502"/>
      <c r="BC214" s="503"/>
      <c r="BD214" s="453"/>
      <c r="BE214" s="453"/>
      <c r="BF214" s="470"/>
      <c r="BG214" s="453"/>
      <c r="BH214" s="453"/>
      <c r="BI214" s="453"/>
      <c r="BJ214" s="453"/>
      <c r="BK214" s="453"/>
      <c r="BL214" s="453"/>
      <c r="BM214" s="502"/>
      <c r="BN214" s="490"/>
      <c r="BO214" s="470"/>
      <c r="BP214" s="490"/>
      <c r="BQ214" s="453"/>
      <c r="BR214" s="502"/>
      <c r="BS214" s="524"/>
      <c r="BT214" s="530"/>
    </row>
    <row r="215" s="435" customFormat="1" ht="18" customHeight="1" spans="1:72">
      <c r="A215" s="451" t="s">
        <v>4033</v>
      </c>
      <c r="B215" s="533">
        <v>44212</v>
      </c>
      <c r="C215" s="526">
        <v>1000006504</v>
      </c>
      <c r="D215" s="451"/>
      <c r="E215" s="457"/>
      <c r="F215" s="453"/>
      <c r="G215" s="453"/>
      <c r="H215" s="453"/>
      <c r="I215" s="453">
        <v>6000</v>
      </c>
      <c r="J215" s="453"/>
      <c r="K215" s="453"/>
      <c r="L215" s="453"/>
      <c r="M215" s="453"/>
      <c r="N215" s="453"/>
      <c r="O215" s="453"/>
      <c r="P215" s="453"/>
      <c r="Q215" s="453"/>
      <c r="R215" s="453"/>
      <c r="S215" s="453"/>
      <c r="T215" s="453"/>
      <c r="U215" s="453"/>
      <c r="V215" s="453"/>
      <c r="W215" s="453"/>
      <c r="X215" s="453"/>
      <c r="Y215" s="453"/>
      <c r="Z215" s="489"/>
      <c r="AA215" s="489"/>
      <c r="AB215" s="490"/>
      <c r="AC215" s="453"/>
      <c r="AD215" s="453"/>
      <c r="AE215" s="453"/>
      <c r="AF215" s="453"/>
      <c r="AG215" s="453"/>
      <c r="AH215" s="453"/>
      <c r="AI215" s="453"/>
      <c r="AJ215" s="453"/>
      <c r="AK215" s="453"/>
      <c r="AL215" s="453"/>
      <c r="AM215" s="453"/>
      <c r="AN215" s="453"/>
      <c r="AO215" s="453"/>
      <c r="AP215" s="453"/>
      <c r="AQ215" s="453"/>
      <c r="AR215" s="453"/>
      <c r="AS215" s="453"/>
      <c r="AT215" s="453"/>
      <c r="AU215" s="453"/>
      <c r="AV215" s="453"/>
      <c r="AW215" s="453"/>
      <c r="AX215" s="453"/>
      <c r="AY215" s="453"/>
      <c r="AZ215" s="453"/>
      <c r="BA215" s="532"/>
      <c r="BB215" s="502"/>
      <c r="BC215" s="503"/>
      <c r="BD215" s="453"/>
      <c r="BE215" s="453"/>
      <c r="BF215" s="470"/>
      <c r="BG215" s="453"/>
      <c r="BH215" s="453"/>
      <c r="BI215" s="453"/>
      <c r="BJ215" s="453"/>
      <c r="BK215" s="453"/>
      <c r="BL215" s="453"/>
      <c r="BM215" s="502"/>
      <c r="BN215" s="490"/>
      <c r="BO215" s="470"/>
      <c r="BP215" s="490"/>
      <c r="BQ215" s="453"/>
      <c r="BR215" s="502"/>
      <c r="BS215" s="524"/>
      <c r="BT215" s="530"/>
    </row>
    <row r="216" s="435" customFormat="1" ht="18" customHeight="1" spans="1:72">
      <c r="A216" s="451" t="s">
        <v>4033</v>
      </c>
      <c r="B216" s="533">
        <v>44212</v>
      </c>
      <c r="C216" s="526">
        <v>1000006505</v>
      </c>
      <c r="D216" s="451"/>
      <c r="E216" s="457"/>
      <c r="F216" s="453"/>
      <c r="G216" s="453"/>
      <c r="H216" s="453"/>
      <c r="I216" s="453"/>
      <c r="J216" s="453">
        <v>3500</v>
      </c>
      <c r="K216" s="453"/>
      <c r="L216" s="453"/>
      <c r="M216" s="453"/>
      <c r="N216" s="453"/>
      <c r="O216" s="453"/>
      <c r="P216" s="453"/>
      <c r="Q216" s="453"/>
      <c r="R216" s="453"/>
      <c r="S216" s="453"/>
      <c r="T216" s="453"/>
      <c r="U216" s="453"/>
      <c r="V216" s="453"/>
      <c r="W216" s="453"/>
      <c r="X216" s="453"/>
      <c r="Y216" s="453"/>
      <c r="Z216" s="489"/>
      <c r="AA216" s="489"/>
      <c r="AB216" s="490"/>
      <c r="AC216" s="453"/>
      <c r="AD216" s="453"/>
      <c r="AE216" s="453"/>
      <c r="AF216" s="453"/>
      <c r="AG216" s="453"/>
      <c r="AH216" s="453"/>
      <c r="AI216" s="453"/>
      <c r="AJ216" s="453"/>
      <c r="AK216" s="453"/>
      <c r="AL216" s="453"/>
      <c r="AM216" s="453"/>
      <c r="AN216" s="453"/>
      <c r="AO216" s="453"/>
      <c r="AP216" s="453"/>
      <c r="AQ216" s="453"/>
      <c r="AR216" s="453"/>
      <c r="AS216" s="453"/>
      <c r="AT216" s="453"/>
      <c r="AU216" s="453"/>
      <c r="AV216" s="453"/>
      <c r="AW216" s="453"/>
      <c r="AX216" s="453"/>
      <c r="AY216" s="453"/>
      <c r="AZ216" s="453"/>
      <c r="BA216" s="532"/>
      <c r="BB216" s="502"/>
      <c r="BC216" s="503"/>
      <c r="BD216" s="453"/>
      <c r="BE216" s="453"/>
      <c r="BF216" s="470"/>
      <c r="BG216" s="453"/>
      <c r="BH216" s="453"/>
      <c r="BI216" s="453"/>
      <c r="BJ216" s="453"/>
      <c r="BK216" s="453"/>
      <c r="BL216" s="453"/>
      <c r="BM216" s="502"/>
      <c r="BN216" s="490"/>
      <c r="BO216" s="470"/>
      <c r="BP216" s="490"/>
      <c r="BQ216" s="453"/>
      <c r="BR216" s="502"/>
      <c r="BS216" s="524"/>
      <c r="BT216" s="530"/>
    </row>
    <row r="217" s="435" customFormat="1" ht="18" customHeight="1" spans="1:72">
      <c r="A217" s="451" t="s">
        <v>4033</v>
      </c>
      <c r="B217" s="533">
        <v>44212</v>
      </c>
      <c r="C217" s="526">
        <v>1000006506</v>
      </c>
      <c r="D217" s="451"/>
      <c r="E217" s="457"/>
      <c r="F217" s="453"/>
      <c r="G217" s="453"/>
      <c r="H217" s="453"/>
      <c r="I217" s="453"/>
      <c r="J217" s="453"/>
      <c r="K217" s="453">
        <v>8000</v>
      </c>
      <c r="L217" s="453"/>
      <c r="M217" s="453"/>
      <c r="N217" s="453"/>
      <c r="O217" s="453"/>
      <c r="P217" s="453"/>
      <c r="Q217" s="453"/>
      <c r="R217" s="453"/>
      <c r="S217" s="453"/>
      <c r="T217" s="453"/>
      <c r="U217" s="453"/>
      <c r="V217" s="453"/>
      <c r="W217" s="453"/>
      <c r="X217" s="453"/>
      <c r="Y217" s="453"/>
      <c r="Z217" s="489"/>
      <c r="AA217" s="489"/>
      <c r="AB217" s="490"/>
      <c r="AC217" s="453"/>
      <c r="AD217" s="453"/>
      <c r="AE217" s="453"/>
      <c r="AF217" s="453"/>
      <c r="AG217" s="453"/>
      <c r="AH217" s="453"/>
      <c r="AI217" s="453"/>
      <c r="AJ217" s="453"/>
      <c r="AK217" s="453"/>
      <c r="AL217" s="453"/>
      <c r="AM217" s="453"/>
      <c r="AN217" s="453"/>
      <c r="AO217" s="453"/>
      <c r="AP217" s="453"/>
      <c r="AQ217" s="453"/>
      <c r="AR217" s="453"/>
      <c r="AS217" s="453"/>
      <c r="AT217" s="453"/>
      <c r="AU217" s="453"/>
      <c r="AV217" s="453"/>
      <c r="AW217" s="453"/>
      <c r="AX217" s="453"/>
      <c r="AY217" s="453"/>
      <c r="AZ217" s="453"/>
      <c r="BA217" s="532"/>
      <c r="BB217" s="502"/>
      <c r="BC217" s="503"/>
      <c r="BD217" s="453"/>
      <c r="BE217" s="453"/>
      <c r="BF217" s="470"/>
      <c r="BG217" s="453"/>
      <c r="BH217" s="453"/>
      <c r="BI217" s="453"/>
      <c r="BJ217" s="453"/>
      <c r="BK217" s="453"/>
      <c r="BL217" s="453"/>
      <c r="BM217" s="502"/>
      <c r="BN217" s="490"/>
      <c r="BO217" s="470"/>
      <c r="BP217" s="490"/>
      <c r="BQ217" s="453"/>
      <c r="BR217" s="502"/>
      <c r="BS217" s="524"/>
      <c r="BT217" s="530"/>
    </row>
    <row r="218" s="435" customFormat="1" ht="18" customHeight="1" spans="1:72">
      <c r="A218" s="451" t="s">
        <v>4033</v>
      </c>
      <c r="B218" s="533">
        <v>44212</v>
      </c>
      <c r="C218" s="526">
        <v>1000006507</v>
      </c>
      <c r="D218" s="451"/>
      <c r="E218" s="457"/>
      <c r="F218" s="453"/>
      <c r="G218" s="453"/>
      <c r="H218" s="453"/>
      <c r="I218" s="453"/>
      <c r="J218" s="453"/>
      <c r="K218" s="453"/>
      <c r="L218" s="453"/>
      <c r="M218" s="453"/>
      <c r="N218" s="453"/>
      <c r="O218" s="453"/>
      <c r="P218" s="453"/>
      <c r="Q218" s="453"/>
      <c r="R218" s="453">
        <v>19000</v>
      </c>
      <c r="S218" s="453"/>
      <c r="T218" s="453"/>
      <c r="U218" s="453"/>
      <c r="V218" s="453"/>
      <c r="W218" s="453"/>
      <c r="X218" s="453"/>
      <c r="Y218" s="453"/>
      <c r="Z218" s="489"/>
      <c r="AA218" s="489"/>
      <c r="AB218" s="490"/>
      <c r="AC218" s="453"/>
      <c r="AD218" s="453"/>
      <c r="AE218" s="453"/>
      <c r="AF218" s="453"/>
      <c r="AG218" s="453"/>
      <c r="AH218" s="453"/>
      <c r="AI218" s="453"/>
      <c r="AJ218" s="453"/>
      <c r="AK218" s="453"/>
      <c r="AL218" s="453"/>
      <c r="AM218" s="453"/>
      <c r="AN218" s="453"/>
      <c r="AO218" s="453"/>
      <c r="AP218" s="453"/>
      <c r="AQ218" s="453"/>
      <c r="AR218" s="453"/>
      <c r="AS218" s="453"/>
      <c r="AT218" s="453"/>
      <c r="AU218" s="453"/>
      <c r="AV218" s="453"/>
      <c r="AW218" s="453"/>
      <c r="AX218" s="453"/>
      <c r="AY218" s="453"/>
      <c r="AZ218" s="453"/>
      <c r="BA218" s="532"/>
      <c r="BB218" s="502"/>
      <c r="BC218" s="503"/>
      <c r="BD218" s="453"/>
      <c r="BE218" s="453"/>
      <c r="BF218" s="470"/>
      <c r="BG218" s="453"/>
      <c r="BH218" s="453"/>
      <c r="BI218" s="453"/>
      <c r="BJ218" s="453"/>
      <c r="BK218" s="453"/>
      <c r="BL218" s="453"/>
      <c r="BM218" s="502"/>
      <c r="BN218" s="490"/>
      <c r="BO218" s="470"/>
      <c r="BP218" s="490"/>
      <c r="BQ218" s="453"/>
      <c r="BR218" s="502"/>
      <c r="BS218" s="524"/>
      <c r="BT218" s="530"/>
    </row>
    <row r="219" s="435" customFormat="1" ht="18" customHeight="1" spans="1:72">
      <c r="A219" s="451" t="s">
        <v>4033</v>
      </c>
      <c r="B219" s="456">
        <v>44215</v>
      </c>
      <c r="C219" s="526">
        <v>1000006527</v>
      </c>
      <c r="D219" s="451"/>
      <c r="E219" s="457"/>
      <c r="F219" s="453"/>
      <c r="G219" s="453"/>
      <c r="H219" s="453"/>
      <c r="I219" s="453"/>
      <c r="J219" s="453"/>
      <c r="K219" s="453"/>
      <c r="L219" s="453"/>
      <c r="M219" s="453"/>
      <c r="N219" s="453"/>
      <c r="O219" s="453"/>
      <c r="P219" s="453"/>
      <c r="Q219" s="453"/>
      <c r="R219" s="453"/>
      <c r="S219" s="453"/>
      <c r="T219" s="453"/>
      <c r="U219" s="453"/>
      <c r="V219" s="453"/>
      <c r="W219" s="453"/>
      <c r="X219" s="453"/>
      <c r="Y219" s="453"/>
      <c r="Z219" s="489"/>
      <c r="AA219" s="489"/>
      <c r="AB219" s="490"/>
      <c r="AC219" s="453"/>
      <c r="AD219" s="453"/>
      <c r="AE219" s="453"/>
      <c r="AF219" s="453"/>
      <c r="AG219" s="453"/>
      <c r="AH219" s="453"/>
      <c r="AI219" s="453"/>
      <c r="AJ219" s="453"/>
      <c r="AK219" s="453"/>
      <c r="AL219" s="453"/>
      <c r="AM219" s="453"/>
      <c r="AN219" s="453"/>
      <c r="AO219" s="453"/>
      <c r="AP219" s="453"/>
      <c r="AQ219" s="453"/>
      <c r="AR219" s="453"/>
      <c r="AS219" s="453"/>
      <c r="AT219" s="453"/>
      <c r="AU219" s="453"/>
      <c r="AV219" s="453"/>
      <c r="AW219" s="453"/>
      <c r="AX219" s="453"/>
      <c r="AY219" s="453"/>
      <c r="AZ219" s="453"/>
      <c r="BA219" s="532">
        <v>2240</v>
      </c>
      <c r="BB219" s="502"/>
      <c r="BC219" s="503"/>
      <c r="BD219" s="453"/>
      <c r="BE219" s="453"/>
      <c r="BF219" s="470"/>
      <c r="BG219" s="453"/>
      <c r="BH219" s="453"/>
      <c r="BI219" s="453"/>
      <c r="BJ219" s="453"/>
      <c r="BK219" s="453"/>
      <c r="BL219" s="453"/>
      <c r="BM219" s="502"/>
      <c r="BN219" s="490"/>
      <c r="BO219" s="470"/>
      <c r="BP219" s="490"/>
      <c r="BQ219" s="453"/>
      <c r="BR219" s="502"/>
      <c r="BS219" s="524"/>
      <c r="BT219" s="530"/>
    </row>
    <row r="220" s="435" customFormat="1" ht="18" customHeight="1" spans="1:72">
      <c r="A220" s="451" t="s">
        <v>4033</v>
      </c>
      <c r="B220" s="456">
        <v>44215</v>
      </c>
      <c r="C220" s="526">
        <v>1000006528</v>
      </c>
      <c r="D220" s="451"/>
      <c r="E220" s="457"/>
      <c r="F220" s="453"/>
      <c r="G220" s="453"/>
      <c r="H220" s="453"/>
      <c r="I220" s="453"/>
      <c r="J220" s="453"/>
      <c r="K220" s="453"/>
      <c r="L220" s="453"/>
      <c r="M220" s="453"/>
      <c r="N220" s="453"/>
      <c r="O220" s="453"/>
      <c r="P220" s="453"/>
      <c r="Q220" s="453"/>
      <c r="R220" s="453"/>
      <c r="S220" s="453"/>
      <c r="T220" s="453"/>
      <c r="U220" s="453"/>
      <c r="V220" s="453"/>
      <c r="W220" s="453"/>
      <c r="X220" s="453"/>
      <c r="Y220" s="453"/>
      <c r="Z220" s="489"/>
      <c r="AA220" s="489"/>
      <c r="AB220" s="490"/>
      <c r="AC220" s="453"/>
      <c r="AD220" s="453"/>
      <c r="AE220" s="453"/>
      <c r="AF220" s="453"/>
      <c r="AG220" s="453"/>
      <c r="AH220" s="453"/>
      <c r="AI220" s="453"/>
      <c r="AJ220" s="453"/>
      <c r="AK220" s="453"/>
      <c r="AL220" s="453"/>
      <c r="AM220" s="453"/>
      <c r="AN220" s="453"/>
      <c r="AO220" s="453"/>
      <c r="AP220" s="453"/>
      <c r="AQ220" s="453"/>
      <c r="AR220" s="453"/>
      <c r="AS220" s="453"/>
      <c r="AT220" s="453"/>
      <c r="AU220" s="453"/>
      <c r="AV220" s="453"/>
      <c r="AW220" s="453"/>
      <c r="AX220" s="453"/>
      <c r="AY220" s="453"/>
      <c r="AZ220" s="453"/>
      <c r="BA220" s="532"/>
      <c r="BB220" s="502">
        <v>7040</v>
      </c>
      <c r="BC220" s="503"/>
      <c r="BD220" s="453"/>
      <c r="BE220" s="453"/>
      <c r="BF220" s="470"/>
      <c r="BG220" s="453"/>
      <c r="BH220" s="453"/>
      <c r="BI220" s="453"/>
      <c r="BJ220" s="453"/>
      <c r="BK220" s="453"/>
      <c r="BL220" s="453"/>
      <c r="BM220" s="502"/>
      <c r="BN220" s="490"/>
      <c r="BO220" s="470"/>
      <c r="BP220" s="490"/>
      <c r="BQ220" s="453"/>
      <c r="BR220" s="502"/>
      <c r="BS220" s="524"/>
      <c r="BT220" s="530"/>
    </row>
    <row r="221" s="435" customFormat="1" ht="18" customHeight="1" spans="1:72">
      <c r="A221" s="451" t="s">
        <v>4033</v>
      </c>
      <c r="B221" s="456">
        <v>44216</v>
      </c>
      <c r="C221" s="526">
        <v>1000006530</v>
      </c>
      <c r="D221" s="451"/>
      <c r="E221" s="457"/>
      <c r="F221" s="453"/>
      <c r="G221" s="453"/>
      <c r="H221" s="453"/>
      <c r="I221" s="453"/>
      <c r="J221" s="453"/>
      <c r="K221" s="453"/>
      <c r="L221" s="453"/>
      <c r="M221" s="453"/>
      <c r="N221" s="453"/>
      <c r="O221" s="453"/>
      <c r="P221" s="453"/>
      <c r="Q221" s="453"/>
      <c r="R221" s="453"/>
      <c r="S221" s="453"/>
      <c r="T221" s="453"/>
      <c r="U221" s="453"/>
      <c r="V221" s="453"/>
      <c r="W221" s="453"/>
      <c r="X221" s="453"/>
      <c r="Y221" s="453"/>
      <c r="Z221" s="489"/>
      <c r="AA221" s="489"/>
      <c r="AB221" s="490"/>
      <c r="AC221" s="453">
        <v>50000</v>
      </c>
      <c r="AD221" s="453"/>
      <c r="AE221" s="453"/>
      <c r="AF221" s="453"/>
      <c r="AG221" s="453"/>
      <c r="AH221" s="453"/>
      <c r="AI221" s="453"/>
      <c r="AJ221" s="453"/>
      <c r="AK221" s="453"/>
      <c r="AL221" s="453"/>
      <c r="AM221" s="453"/>
      <c r="AN221" s="453"/>
      <c r="AO221" s="453"/>
      <c r="AP221" s="453"/>
      <c r="AQ221" s="453"/>
      <c r="AR221" s="453"/>
      <c r="AS221" s="453"/>
      <c r="AT221" s="453"/>
      <c r="AU221" s="453"/>
      <c r="AV221" s="453"/>
      <c r="AW221" s="453"/>
      <c r="AX221" s="453"/>
      <c r="AY221" s="453"/>
      <c r="AZ221" s="453"/>
      <c r="BA221" s="532"/>
      <c r="BB221" s="502"/>
      <c r="BC221" s="503"/>
      <c r="BD221" s="453"/>
      <c r="BE221" s="453"/>
      <c r="BF221" s="470"/>
      <c r="BG221" s="453"/>
      <c r="BH221" s="453"/>
      <c r="BI221" s="453"/>
      <c r="BJ221" s="453"/>
      <c r="BK221" s="453"/>
      <c r="BL221" s="453"/>
      <c r="BM221" s="502"/>
      <c r="BN221" s="490"/>
      <c r="BO221" s="470"/>
      <c r="BP221" s="490"/>
      <c r="BQ221" s="453"/>
      <c r="BR221" s="502"/>
      <c r="BS221" s="524"/>
      <c r="BT221" s="530"/>
    </row>
    <row r="222" s="435" customFormat="1" ht="18" customHeight="1" spans="1:72">
      <c r="A222" s="451" t="s">
        <v>4033</v>
      </c>
      <c r="B222" s="456">
        <v>44216</v>
      </c>
      <c r="C222" s="526">
        <v>1000006531</v>
      </c>
      <c r="D222" s="451"/>
      <c r="E222" s="457"/>
      <c r="F222" s="453"/>
      <c r="G222" s="453"/>
      <c r="H222" s="453"/>
      <c r="I222" s="453"/>
      <c r="J222" s="453"/>
      <c r="K222" s="453"/>
      <c r="L222" s="453"/>
      <c r="M222" s="453"/>
      <c r="N222" s="453"/>
      <c r="O222" s="453"/>
      <c r="P222" s="453"/>
      <c r="Q222" s="453"/>
      <c r="R222" s="453"/>
      <c r="S222" s="453"/>
      <c r="T222" s="453"/>
      <c r="U222" s="453"/>
      <c r="V222" s="453"/>
      <c r="W222" s="453"/>
      <c r="X222" s="453"/>
      <c r="Y222" s="453"/>
      <c r="Z222" s="489"/>
      <c r="AA222" s="489"/>
      <c r="AB222" s="490"/>
      <c r="AC222" s="453"/>
      <c r="AD222" s="453"/>
      <c r="AE222" s="453"/>
      <c r="AF222" s="453"/>
      <c r="AG222" s="453"/>
      <c r="AH222" s="453"/>
      <c r="AI222" s="453"/>
      <c r="AJ222" s="453"/>
      <c r="AK222" s="453"/>
      <c r="AL222" s="453"/>
      <c r="AM222" s="453">
        <v>57000</v>
      </c>
      <c r="AN222" s="453"/>
      <c r="AO222" s="453"/>
      <c r="AP222" s="453"/>
      <c r="AQ222" s="453"/>
      <c r="AR222" s="453"/>
      <c r="AS222" s="453"/>
      <c r="AT222" s="453"/>
      <c r="AU222" s="453"/>
      <c r="AV222" s="453"/>
      <c r="AW222" s="453"/>
      <c r="AX222" s="453"/>
      <c r="AY222" s="453"/>
      <c r="AZ222" s="453"/>
      <c r="BA222" s="532"/>
      <c r="BB222" s="502"/>
      <c r="BC222" s="503"/>
      <c r="BD222" s="453"/>
      <c r="BE222" s="453"/>
      <c r="BF222" s="470"/>
      <c r="BG222" s="453"/>
      <c r="BH222" s="453"/>
      <c r="BI222" s="453"/>
      <c r="BJ222" s="453"/>
      <c r="BK222" s="453"/>
      <c r="BL222" s="453"/>
      <c r="BM222" s="502"/>
      <c r="BN222" s="490"/>
      <c r="BO222" s="470"/>
      <c r="BP222" s="490"/>
      <c r="BQ222" s="453"/>
      <c r="BR222" s="502"/>
      <c r="BS222" s="524"/>
      <c r="BT222" s="530"/>
    </row>
    <row r="223" s="435" customFormat="1" ht="18" customHeight="1" spans="1:72">
      <c r="A223" s="451"/>
      <c r="B223" s="456">
        <v>44231</v>
      </c>
      <c r="C223" s="526">
        <v>1000006593</v>
      </c>
      <c r="D223" s="451"/>
      <c r="E223" s="457"/>
      <c r="F223" s="453"/>
      <c r="G223" s="453"/>
      <c r="H223" s="453"/>
      <c r="I223" s="453"/>
      <c r="J223" s="453"/>
      <c r="K223" s="453"/>
      <c r="L223" s="453"/>
      <c r="M223" s="453"/>
      <c r="N223" s="453"/>
      <c r="O223" s="453"/>
      <c r="P223" s="453"/>
      <c r="Q223" s="453"/>
      <c r="R223" s="453"/>
      <c r="S223" s="453"/>
      <c r="T223" s="453"/>
      <c r="U223" s="453"/>
      <c r="V223" s="453"/>
      <c r="W223" s="453"/>
      <c r="X223" s="453"/>
      <c r="Y223" s="453"/>
      <c r="Z223" s="489"/>
      <c r="AA223" s="489"/>
      <c r="AB223" s="490"/>
      <c r="AC223" s="453"/>
      <c r="AD223" s="453"/>
      <c r="AE223" s="453"/>
      <c r="AF223" s="453"/>
      <c r="AG223" s="453"/>
      <c r="AH223" s="453"/>
      <c r="AI223" s="453"/>
      <c r="AJ223" s="453"/>
      <c r="AK223" s="453"/>
      <c r="AL223" s="453"/>
      <c r="AM223" s="453"/>
      <c r="AN223" s="453"/>
      <c r="AO223" s="453"/>
      <c r="AP223" s="453"/>
      <c r="AQ223" s="453"/>
      <c r="AR223" s="453"/>
      <c r="AS223" s="453"/>
      <c r="AT223" s="453"/>
      <c r="AU223" s="453"/>
      <c r="AV223" s="453"/>
      <c r="AW223" s="453"/>
      <c r="AX223" s="453"/>
      <c r="AY223" s="453"/>
      <c r="AZ223" s="453"/>
      <c r="BA223" s="532">
        <v>5001</v>
      </c>
      <c r="BB223" s="502"/>
      <c r="BC223" s="503"/>
      <c r="BD223" s="453"/>
      <c r="BE223" s="453"/>
      <c r="BF223" s="470"/>
      <c r="BG223" s="453"/>
      <c r="BH223" s="453"/>
      <c r="BI223" s="453"/>
      <c r="BJ223" s="453"/>
      <c r="BK223" s="453"/>
      <c r="BL223" s="453"/>
      <c r="BM223" s="502"/>
      <c r="BN223" s="490"/>
      <c r="BO223" s="470"/>
      <c r="BP223" s="490"/>
      <c r="BQ223" s="453"/>
      <c r="BR223" s="502"/>
      <c r="BS223" s="524"/>
      <c r="BT223" s="530"/>
    </row>
    <row r="224" s="435" customFormat="1" ht="18" customHeight="1" spans="1:72">
      <c r="A224" s="451"/>
      <c r="B224" s="456">
        <v>44231</v>
      </c>
      <c r="C224" s="526">
        <v>1000006594</v>
      </c>
      <c r="D224" s="451"/>
      <c r="E224" s="457"/>
      <c r="F224" s="453"/>
      <c r="G224" s="453"/>
      <c r="H224" s="453"/>
      <c r="I224" s="453"/>
      <c r="J224" s="453"/>
      <c r="K224" s="453"/>
      <c r="L224" s="453"/>
      <c r="M224" s="453"/>
      <c r="N224" s="453"/>
      <c r="O224" s="453"/>
      <c r="P224" s="453"/>
      <c r="Q224" s="453"/>
      <c r="R224" s="453"/>
      <c r="S224" s="453"/>
      <c r="T224" s="453"/>
      <c r="U224" s="453"/>
      <c r="V224" s="453"/>
      <c r="W224" s="453"/>
      <c r="X224" s="453"/>
      <c r="Y224" s="453"/>
      <c r="Z224" s="489"/>
      <c r="AA224" s="489"/>
      <c r="AB224" s="490"/>
      <c r="AC224" s="453"/>
      <c r="AD224" s="453"/>
      <c r="AE224" s="453"/>
      <c r="AF224" s="453"/>
      <c r="AG224" s="453"/>
      <c r="AH224" s="453"/>
      <c r="AI224" s="453"/>
      <c r="AJ224" s="453"/>
      <c r="AK224" s="453"/>
      <c r="AL224" s="453"/>
      <c r="AM224" s="453"/>
      <c r="AN224" s="453"/>
      <c r="AO224" s="453"/>
      <c r="AP224" s="453"/>
      <c r="AQ224" s="453"/>
      <c r="AR224" s="453"/>
      <c r="AS224" s="453"/>
      <c r="AT224" s="453"/>
      <c r="AU224" s="453"/>
      <c r="AV224" s="453"/>
      <c r="AW224" s="453"/>
      <c r="AX224" s="453"/>
      <c r="AY224" s="453"/>
      <c r="AZ224" s="453"/>
      <c r="BA224" s="532"/>
      <c r="BB224" s="502">
        <v>5001</v>
      </c>
      <c r="BC224" s="503"/>
      <c r="BD224" s="453"/>
      <c r="BE224" s="453"/>
      <c r="BF224" s="470"/>
      <c r="BG224" s="453"/>
      <c r="BH224" s="453"/>
      <c r="BI224" s="453"/>
      <c r="BJ224" s="453"/>
      <c r="BK224" s="453"/>
      <c r="BL224" s="453"/>
      <c r="BM224" s="502"/>
      <c r="BN224" s="490"/>
      <c r="BO224" s="470"/>
      <c r="BP224" s="490"/>
      <c r="BQ224" s="453"/>
      <c r="BR224" s="502"/>
      <c r="BS224" s="524"/>
      <c r="BT224" s="530"/>
    </row>
    <row r="225" s="435" customFormat="1" ht="18" customHeight="1" spans="1:72">
      <c r="A225" s="451" t="s">
        <v>4033</v>
      </c>
      <c r="B225" s="456">
        <v>44233</v>
      </c>
      <c r="C225" s="526">
        <v>1000006594</v>
      </c>
      <c r="D225" s="451"/>
      <c r="E225" s="457"/>
      <c r="F225" s="453"/>
      <c r="G225" s="453"/>
      <c r="H225" s="453"/>
      <c r="I225" s="453"/>
      <c r="J225" s="453"/>
      <c r="K225" s="453"/>
      <c r="L225" s="453"/>
      <c r="M225" s="453"/>
      <c r="N225" s="453"/>
      <c r="O225" s="453"/>
      <c r="P225" s="453"/>
      <c r="Q225" s="453"/>
      <c r="R225" s="453"/>
      <c r="S225" s="453"/>
      <c r="T225" s="453"/>
      <c r="U225" s="453"/>
      <c r="V225" s="453"/>
      <c r="W225" s="453"/>
      <c r="X225" s="453"/>
      <c r="Y225" s="453"/>
      <c r="Z225" s="489"/>
      <c r="AA225" s="489"/>
      <c r="AB225" s="490"/>
      <c r="AC225" s="453">
        <v>20001</v>
      </c>
      <c r="AD225" s="453"/>
      <c r="AE225" s="453"/>
      <c r="AF225" s="453"/>
      <c r="AG225" s="453"/>
      <c r="AH225" s="453"/>
      <c r="AI225" s="453"/>
      <c r="AJ225" s="453"/>
      <c r="AK225" s="453"/>
      <c r="AL225" s="453"/>
      <c r="AM225" s="453"/>
      <c r="AN225" s="453"/>
      <c r="AO225" s="453"/>
      <c r="AP225" s="453"/>
      <c r="AQ225" s="453"/>
      <c r="AR225" s="453"/>
      <c r="AS225" s="453"/>
      <c r="AT225" s="453"/>
      <c r="AU225" s="453"/>
      <c r="AV225" s="453"/>
      <c r="AW225" s="453"/>
      <c r="AX225" s="453"/>
      <c r="AY225" s="453"/>
      <c r="AZ225" s="453"/>
      <c r="BA225" s="532"/>
      <c r="BB225" s="502"/>
      <c r="BC225" s="503"/>
      <c r="BD225" s="453"/>
      <c r="BE225" s="453"/>
      <c r="BF225" s="470"/>
      <c r="BG225" s="453"/>
      <c r="BH225" s="453"/>
      <c r="BI225" s="453"/>
      <c r="BJ225" s="453"/>
      <c r="BK225" s="453"/>
      <c r="BL225" s="453"/>
      <c r="BM225" s="502"/>
      <c r="BN225" s="490"/>
      <c r="BO225" s="470"/>
      <c r="BP225" s="490"/>
      <c r="BQ225" s="453"/>
      <c r="BR225" s="502"/>
      <c r="BS225" s="524"/>
      <c r="BT225" s="530"/>
    </row>
    <row r="226" s="435" customFormat="1" ht="18" customHeight="1" spans="1:72">
      <c r="A226" s="451" t="s">
        <v>4033</v>
      </c>
      <c r="B226" s="456">
        <v>44233</v>
      </c>
      <c r="C226" s="526">
        <v>1000006595</v>
      </c>
      <c r="D226" s="451"/>
      <c r="E226" s="457"/>
      <c r="F226" s="453"/>
      <c r="G226" s="453"/>
      <c r="H226" s="453"/>
      <c r="I226" s="453"/>
      <c r="J226" s="453"/>
      <c r="K226" s="453"/>
      <c r="L226" s="453"/>
      <c r="M226" s="453"/>
      <c r="N226" s="453"/>
      <c r="O226" s="453"/>
      <c r="P226" s="453"/>
      <c r="Q226" s="453"/>
      <c r="R226" s="453"/>
      <c r="S226" s="453"/>
      <c r="T226" s="453"/>
      <c r="U226" s="453"/>
      <c r="V226" s="453"/>
      <c r="W226" s="453"/>
      <c r="X226" s="453"/>
      <c r="Y226" s="453"/>
      <c r="Z226" s="489"/>
      <c r="AA226" s="489"/>
      <c r="AB226" s="490"/>
      <c r="AC226" s="453"/>
      <c r="AD226" s="453"/>
      <c r="AE226" s="453"/>
      <c r="AF226" s="453"/>
      <c r="AG226" s="453"/>
      <c r="AH226" s="453"/>
      <c r="AI226" s="453"/>
      <c r="AJ226" s="453"/>
      <c r="AK226" s="453"/>
      <c r="AL226" s="453"/>
      <c r="AM226" s="453">
        <v>20001</v>
      </c>
      <c r="AN226" s="453"/>
      <c r="AO226" s="453"/>
      <c r="AP226" s="453"/>
      <c r="AQ226" s="453"/>
      <c r="AR226" s="453"/>
      <c r="AS226" s="453"/>
      <c r="AT226" s="453"/>
      <c r="AU226" s="453"/>
      <c r="AV226" s="453"/>
      <c r="AW226" s="453"/>
      <c r="AX226" s="453"/>
      <c r="AY226" s="453"/>
      <c r="AZ226" s="453"/>
      <c r="BA226" s="532"/>
      <c r="BB226" s="502"/>
      <c r="BC226" s="503"/>
      <c r="BD226" s="453"/>
      <c r="BE226" s="453"/>
      <c r="BF226" s="470"/>
      <c r="BG226" s="453"/>
      <c r="BH226" s="453"/>
      <c r="BI226" s="453"/>
      <c r="BJ226" s="453"/>
      <c r="BK226" s="453"/>
      <c r="BL226" s="453"/>
      <c r="BM226" s="502"/>
      <c r="BN226" s="490"/>
      <c r="BO226" s="470"/>
      <c r="BP226" s="490"/>
      <c r="BQ226" s="453"/>
      <c r="BR226" s="502"/>
      <c r="BS226" s="524"/>
      <c r="BT226" s="530"/>
    </row>
    <row r="227" s="435" customFormat="1" ht="18" customHeight="1" spans="1:72">
      <c r="A227" s="451" t="s">
        <v>4033</v>
      </c>
      <c r="B227" s="456">
        <v>44233</v>
      </c>
      <c r="C227" s="526">
        <v>1000006596</v>
      </c>
      <c r="D227" s="451"/>
      <c r="E227" s="457"/>
      <c r="F227" s="453"/>
      <c r="G227" s="453"/>
      <c r="H227" s="453"/>
      <c r="I227" s="453">
        <v>10001</v>
      </c>
      <c r="J227" s="453"/>
      <c r="K227" s="453"/>
      <c r="L227" s="453"/>
      <c r="M227" s="453"/>
      <c r="N227" s="453"/>
      <c r="O227" s="453"/>
      <c r="P227" s="453"/>
      <c r="Q227" s="453"/>
      <c r="R227" s="453"/>
      <c r="S227" s="453"/>
      <c r="T227" s="453"/>
      <c r="U227" s="453"/>
      <c r="V227" s="453"/>
      <c r="W227" s="453"/>
      <c r="X227" s="453"/>
      <c r="Y227" s="453"/>
      <c r="Z227" s="489"/>
      <c r="AA227" s="489"/>
      <c r="AB227" s="490"/>
      <c r="AC227" s="453"/>
      <c r="AD227" s="453"/>
      <c r="AE227" s="453"/>
      <c r="AF227" s="453"/>
      <c r="AG227" s="453"/>
      <c r="AH227" s="453"/>
      <c r="AI227" s="453"/>
      <c r="AJ227" s="453"/>
      <c r="AK227" s="453"/>
      <c r="AL227" s="453"/>
      <c r="AM227" s="453"/>
      <c r="AN227" s="453"/>
      <c r="AO227" s="453"/>
      <c r="AP227" s="453"/>
      <c r="AQ227" s="453"/>
      <c r="AR227" s="453"/>
      <c r="AS227" s="453"/>
      <c r="AT227" s="453"/>
      <c r="AU227" s="453"/>
      <c r="AV227" s="453"/>
      <c r="AW227" s="453"/>
      <c r="AX227" s="453"/>
      <c r="AY227" s="453"/>
      <c r="AZ227" s="453"/>
      <c r="BA227" s="532"/>
      <c r="BB227" s="502"/>
      <c r="BC227" s="503"/>
      <c r="BD227" s="453"/>
      <c r="BE227" s="453"/>
      <c r="BF227" s="470"/>
      <c r="BG227" s="453"/>
      <c r="BH227" s="453"/>
      <c r="BI227" s="453"/>
      <c r="BJ227" s="453"/>
      <c r="BK227" s="453"/>
      <c r="BL227" s="453"/>
      <c r="BM227" s="502"/>
      <c r="BN227" s="490"/>
      <c r="BO227" s="470"/>
      <c r="BP227" s="490"/>
      <c r="BQ227" s="453"/>
      <c r="BR227" s="502"/>
      <c r="BS227" s="524"/>
      <c r="BT227" s="530"/>
    </row>
    <row r="228" s="435" customFormat="1" ht="18" customHeight="1" spans="1:72">
      <c r="A228" s="451" t="s">
        <v>4033</v>
      </c>
      <c r="B228" s="456">
        <v>44233</v>
      </c>
      <c r="C228" s="526">
        <v>1000006597</v>
      </c>
      <c r="D228" s="451"/>
      <c r="E228" s="457"/>
      <c r="F228" s="453"/>
      <c r="G228" s="453"/>
      <c r="H228" s="453"/>
      <c r="I228" s="453"/>
      <c r="J228" s="453">
        <v>2001</v>
      </c>
      <c r="K228" s="453"/>
      <c r="L228" s="453"/>
      <c r="M228" s="453"/>
      <c r="N228" s="453"/>
      <c r="O228" s="453"/>
      <c r="P228" s="453"/>
      <c r="Q228" s="453"/>
      <c r="R228" s="453"/>
      <c r="S228" s="453"/>
      <c r="T228" s="453"/>
      <c r="U228" s="453"/>
      <c r="V228" s="453"/>
      <c r="W228" s="453"/>
      <c r="X228" s="453"/>
      <c r="Y228" s="453"/>
      <c r="Z228" s="489"/>
      <c r="AA228" s="489"/>
      <c r="AB228" s="490"/>
      <c r="AC228" s="453"/>
      <c r="AD228" s="453"/>
      <c r="AE228" s="453"/>
      <c r="AF228" s="453"/>
      <c r="AG228" s="453"/>
      <c r="AH228" s="453"/>
      <c r="AI228" s="453"/>
      <c r="AJ228" s="453"/>
      <c r="AK228" s="453"/>
      <c r="AL228" s="453"/>
      <c r="AM228" s="453"/>
      <c r="AN228" s="453"/>
      <c r="AO228" s="453"/>
      <c r="AP228" s="453"/>
      <c r="AQ228" s="453"/>
      <c r="AR228" s="453"/>
      <c r="AS228" s="453"/>
      <c r="AT228" s="453"/>
      <c r="AU228" s="453"/>
      <c r="AV228" s="453"/>
      <c r="AW228" s="453"/>
      <c r="AX228" s="453"/>
      <c r="AY228" s="453"/>
      <c r="AZ228" s="453"/>
      <c r="BA228" s="532"/>
      <c r="BB228" s="502"/>
      <c r="BC228" s="503"/>
      <c r="BD228" s="453"/>
      <c r="BE228" s="453"/>
      <c r="BF228" s="470"/>
      <c r="BG228" s="453"/>
      <c r="BH228" s="453"/>
      <c r="BI228" s="453"/>
      <c r="BJ228" s="453"/>
      <c r="BK228" s="453"/>
      <c r="BL228" s="453"/>
      <c r="BM228" s="502"/>
      <c r="BN228" s="490"/>
      <c r="BO228" s="470"/>
      <c r="BP228" s="490"/>
      <c r="BQ228" s="453"/>
      <c r="BR228" s="502"/>
      <c r="BS228" s="524"/>
      <c r="BT228" s="530"/>
    </row>
    <row r="229" s="435" customFormat="1" ht="18" customHeight="1" spans="1:72">
      <c r="A229" s="451" t="s">
        <v>4033</v>
      </c>
      <c r="B229" s="456">
        <v>44233</v>
      </c>
      <c r="C229" s="526">
        <v>1000006598</v>
      </c>
      <c r="D229" s="451"/>
      <c r="E229" s="457"/>
      <c r="F229" s="453"/>
      <c r="G229" s="453"/>
      <c r="H229" s="453"/>
      <c r="I229" s="453"/>
      <c r="J229" s="453"/>
      <c r="K229" s="453">
        <v>3001</v>
      </c>
      <c r="L229" s="453"/>
      <c r="M229" s="453"/>
      <c r="N229" s="453"/>
      <c r="O229" s="453"/>
      <c r="P229" s="453"/>
      <c r="Q229" s="453"/>
      <c r="R229" s="453"/>
      <c r="S229" s="453"/>
      <c r="T229" s="453"/>
      <c r="U229" s="453"/>
      <c r="V229" s="453"/>
      <c r="W229" s="453"/>
      <c r="X229" s="453"/>
      <c r="Y229" s="453"/>
      <c r="Z229" s="489"/>
      <c r="AA229" s="489"/>
      <c r="AB229" s="490"/>
      <c r="AC229" s="453"/>
      <c r="AD229" s="453"/>
      <c r="AE229" s="453"/>
      <c r="AF229" s="453"/>
      <c r="AG229" s="453"/>
      <c r="AH229" s="453"/>
      <c r="AI229" s="453"/>
      <c r="AJ229" s="453"/>
      <c r="AK229" s="453"/>
      <c r="AL229" s="453"/>
      <c r="AM229" s="453"/>
      <c r="AN229" s="453"/>
      <c r="AO229" s="453"/>
      <c r="AP229" s="453"/>
      <c r="AQ229" s="453"/>
      <c r="AR229" s="453"/>
      <c r="AS229" s="453"/>
      <c r="AT229" s="453"/>
      <c r="AU229" s="453"/>
      <c r="AV229" s="453"/>
      <c r="AW229" s="453"/>
      <c r="AX229" s="453"/>
      <c r="AY229" s="453"/>
      <c r="AZ229" s="453"/>
      <c r="BA229" s="532"/>
      <c r="BB229" s="502"/>
      <c r="BC229" s="503"/>
      <c r="BD229" s="453"/>
      <c r="BE229" s="453"/>
      <c r="BF229" s="470"/>
      <c r="BG229" s="453"/>
      <c r="BH229" s="453"/>
      <c r="BI229" s="453"/>
      <c r="BJ229" s="453"/>
      <c r="BK229" s="453"/>
      <c r="BL229" s="453"/>
      <c r="BM229" s="502"/>
      <c r="BN229" s="490"/>
      <c r="BO229" s="470"/>
      <c r="BP229" s="490"/>
      <c r="BQ229" s="453"/>
      <c r="BR229" s="502"/>
      <c r="BS229" s="524"/>
      <c r="BT229" s="530"/>
    </row>
    <row r="230" s="435" customFormat="1" ht="18" customHeight="1" spans="1:72">
      <c r="A230" s="451" t="s">
        <v>4033</v>
      </c>
      <c r="B230" s="456">
        <v>44233</v>
      </c>
      <c r="C230" s="526">
        <v>1000006599</v>
      </c>
      <c r="D230" s="451"/>
      <c r="E230" s="457"/>
      <c r="F230" s="453"/>
      <c r="G230" s="453"/>
      <c r="H230" s="453"/>
      <c r="I230" s="453"/>
      <c r="J230" s="453"/>
      <c r="K230" s="453"/>
      <c r="L230" s="453"/>
      <c r="M230" s="453"/>
      <c r="N230" s="453"/>
      <c r="O230" s="453"/>
      <c r="P230" s="453"/>
      <c r="Q230" s="453"/>
      <c r="R230" s="453">
        <v>11000</v>
      </c>
      <c r="S230" s="453"/>
      <c r="T230" s="453"/>
      <c r="U230" s="453"/>
      <c r="V230" s="453"/>
      <c r="W230" s="453"/>
      <c r="X230" s="453"/>
      <c r="Y230" s="453"/>
      <c r="Z230" s="489"/>
      <c r="AA230" s="489"/>
      <c r="AB230" s="490"/>
      <c r="AC230" s="453"/>
      <c r="AD230" s="453"/>
      <c r="AE230" s="453"/>
      <c r="AF230" s="453"/>
      <c r="AG230" s="453"/>
      <c r="AH230" s="453"/>
      <c r="AI230" s="453"/>
      <c r="AJ230" s="453"/>
      <c r="AK230" s="453"/>
      <c r="AL230" s="453"/>
      <c r="AM230" s="453"/>
      <c r="AN230" s="453"/>
      <c r="AO230" s="453"/>
      <c r="AP230" s="453"/>
      <c r="AQ230" s="453"/>
      <c r="AR230" s="453"/>
      <c r="AS230" s="453"/>
      <c r="AT230" s="453"/>
      <c r="AU230" s="453"/>
      <c r="AV230" s="453"/>
      <c r="AW230" s="453"/>
      <c r="AX230" s="453"/>
      <c r="AY230" s="453"/>
      <c r="AZ230" s="453"/>
      <c r="BA230" s="532"/>
      <c r="BB230" s="502"/>
      <c r="BC230" s="503"/>
      <c r="BD230" s="453"/>
      <c r="BE230" s="453"/>
      <c r="BF230" s="470"/>
      <c r="BG230" s="453"/>
      <c r="BH230" s="453"/>
      <c r="BI230" s="453"/>
      <c r="BJ230" s="453"/>
      <c r="BK230" s="453"/>
      <c r="BL230" s="453"/>
      <c r="BM230" s="502"/>
      <c r="BN230" s="490"/>
      <c r="BO230" s="470"/>
      <c r="BP230" s="490"/>
      <c r="BQ230" s="453"/>
      <c r="BR230" s="502"/>
      <c r="BS230" s="524"/>
      <c r="BT230" s="530"/>
    </row>
    <row r="231" s="435" customFormat="1" ht="18" customHeight="1" spans="1:72">
      <c r="A231" s="451" t="s">
        <v>4033</v>
      </c>
      <c r="B231" s="456">
        <v>44265</v>
      </c>
      <c r="C231" s="526">
        <v>1000006824</v>
      </c>
      <c r="D231" s="451"/>
      <c r="E231" s="457"/>
      <c r="F231" s="453"/>
      <c r="G231" s="453"/>
      <c r="H231" s="453"/>
      <c r="I231" s="453">
        <v>5001</v>
      </c>
      <c r="J231" s="453"/>
      <c r="K231" s="453"/>
      <c r="L231" s="453"/>
      <c r="M231" s="453"/>
      <c r="N231" s="453"/>
      <c r="O231" s="453"/>
      <c r="P231" s="453"/>
      <c r="Q231" s="453"/>
      <c r="R231" s="453"/>
      <c r="S231" s="453"/>
      <c r="T231" s="453"/>
      <c r="U231" s="453"/>
      <c r="V231" s="453"/>
      <c r="W231" s="453"/>
      <c r="X231" s="453"/>
      <c r="Y231" s="453"/>
      <c r="Z231" s="489"/>
      <c r="AA231" s="489"/>
      <c r="AB231" s="490"/>
      <c r="AC231" s="453"/>
      <c r="AD231" s="453"/>
      <c r="AE231" s="453"/>
      <c r="AF231" s="453"/>
      <c r="AG231" s="453"/>
      <c r="AH231" s="453"/>
      <c r="AI231" s="453"/>
      <c r="AJ231" s="453"/>
      <c r="AK231" s="453"/>
      <c r="AL231" s="453"/>
      <c r="AM231" s="453"/>
      <c r="AN231" s="453"/>
      <c r="AO231" s="453"/>
      <c r="AP231" s="453"/>
      <c r="AQ231" s="453"/>
      <c r="AR231" s="453"/>
      <c r="AS231" s="453"/>
      <c r="AT231" s="453"/>
      <c r="AU231" s="453"/>
      <c r="AV231" s="453"/>
      <c r="AW231" s="453"/>
      <c r="AX231" s="453"/>
      <c r="AY231" s="453"/>
      <c r="AZ231" s="453"/>
      <c r="BA231" s="532"/>
      <c r="BB231" s="502"/>
      <c r="BC231" s="503"/>
      <c r="BD231" s="453"/>
      <c r="BE231" s="453"/>
      <c r="BF231" s="470"/>
      <c r="BG231" s="453"/>
      <c r="BH231" s="453"/>
      <c r="BI231" s="453"/>
      <c r="BJ231" s="453"/>
      <c r="BK231" s="453"/>
      <c r="BL231" s="453"/>
      <c r="BM231" s="502"/>
      <c r="BN231" s="490"/>
      <c r="BO231" s="470"/>
      <c r="BP231" s="490"/>
      <c r="BQ231" s="453"/>
      <c r="BR231" s="502"/>
      <c r="BS231" s="524"/>
      <c r="BT231" s="530"/>
    </row>
    <row r="232" s="435" customFormat="1" ht="18" customHeight="1" spans="1:72">
      <c r="A232" s="451" t="s">
        <v>4033</v>
      </c>
      <c r="B232" s="456">
        <v>44265</v>
      </c>
      <c r="C232" s="526">
        <v>1000006825</v>
      </c>
      <c r="D232" s="451"/>
      <c r="E232" s="457"/>
      <c r="F232" s="453"/>
      <c r="G232" s="453"/>
      <c r="H232" s="453"/>
      <c r="I232" s="453"/>
      <c r="J232" s="453">
        <v>5001</v>
      </c>
      <c r="K232" s="453"/>
      <c r="L232" s="453"/>
      <c r="M232" s="453"/>
      <c r="N232" s="453"/>
      <c r="O232" s="453"/>
      <c r="P232" s="453"/>
      <c r="Q232" s="453"/>
      <c r="R232" s="453"/>
      <c r="S232" s="453"/>
      <c r="T232" s="453"/>
      <c r="U232" s="453"/>
      <c r="V232" s="453"/>
      <c r="W232" s="453"/>
      <c r="X232" s="453"/>
      <c r="Y232" s="453"/>
      <c r="Z232" s="489"/>
      <c r="AA232" s="489"/>
      <c r="AB232" s="490"/>
      <c r="AC232" s="453"/>
      <c r="AD232" s="453"/>
      <c r="AE232" s="453"/>
      <c r="AF232" s="453"/>
      <c r="AG232" s="453"/>
      <c r="AH232" s="453"/>
      <c r="AI232" s="453"/>
      <c r="AJ232" s="453"/>
      <c r="AK232" s="453"/>
      <c r="AL232" s="453"/>
      <c r="AM232" s="453"/>
      <c r="AN232" s="453"/>
      <c r="AO232" s="453"/>
      <c r="AP232" s="453"/>
      <c r="AQ232" s="453"/>
      <c r="AR232" s="453"/>
      <c r="AS232" s="453"/>
      <c r="AT232" s="453"/>
      <c r="AU232" s="453"/>
      <c r="AV232" s="453"/>
      <c r="AW232" s="453"/>
      <c r="AX232" s="453"/>
      <c r="AY232" s="453"/>
      <c r="AZ232" s="453"/>
      <c r="BA232" s="532"/>
      <c r="BB232" s="502"/>
      <c r="BC232" s="503"/>
      <c r="BD232" s="453"/>
      <c r="BE232" s="453"/>
      <c r="BF232" s="470"/>
      <c r="BG232" s="453"/>
      <c r="BH232" s="453"/>
      <c r="BI232" s="453"/>
      <c r="BJ232" s="453"/>
      <c r="BK232" s="453"/>
      <c r="BL232" s="453"/>
      <c r="BM232" s="502"/>
      <c r="BN232" s="490"/>
      <c r="BO232" s="470"/>
      <c r="BP232" s="490"/>
      <c r="BQ232" s="453"/>
      <c r="BR232" s="502"/>
      <c r="BS232" s="524"/>
      <c r="BT232" s="530"/>
    </row>
    <row r="233" s="435" customFormat="1" ht="18" customHeight="1" spans="1:72">
      <c r="A233" s="451" t="s">
        <v>4033</v>
      </c>
      <c r="B233" s="456">
        <v>44265</v>
      </c>
      <c r="C233" s="526">
        <v>1000006826</v>
      </c>
      <c r="D233" s="451"/>
      <c r="E233" s="457"/>
      <c r="F233" s="453"/>
      <c r="G233" s="453"/>
      <c r="H233" s="453"/>
      <c r="I233" s="453"/>
      <c r="J233" s="453"/>
      <c r="K233" s="453">
        <v>5001</v>
      </c>
      <c r="L233" s="453"/>
      <c r="M233" s="453"/>
      <c r="N233" s="453"/>
      <c r="O233" s="453"/>
      <c r="P233" s="453"/>
      <c r="Q233" s="453"/>
      <c r="R233" s="453"/>
      <c r="S233" s="453"/>
      <c r="T233" s="453"/>
      <c r="U233" s="453"/>
      <c r="V233" s="453"/>
      <c r="W233" s="453"/>
      <c r="X233" s="453"/>
      <c r="Y233" s="453"/>
      <c r="Z233" s="489"/>
      <c r="AA233" s="489"/>
      <c r="AB233" s="490"/>
      <c r="AC233" s="453"/>
      <c r="AD233" s="453"/>
      <c r="AE233" s="453"/>
      <c r="AF233" s="453"/>
      <c r="AG233" s="453"/>
      <c r="AH233" s="453"/>
      <c r="AI233" s="453"/>
      <c r="AJ233" s="453"/>
      <c r="AK233" s="453"/>
      <c r="AL233" s="453"/>
      <c r="AM233" s="453"/>
      <c r="AN233" s="453"/>
      <c r="AO233" s="453"/>
      <c r="AP233" s="453"/>
      <c r="AQ233" s="453"/>
      <c r="AR233" s="453"/>
      <c r="AS233" s="453"/>
      <c r="AT233" s="453"/>
      <c r="AU233" s="453"/>
      <c r="AV233" s="453"/>
      <c r="AW233" s="453"/>
      <c r="AX233" s="453"/>
      <c r="AY233" s="453"/>
      <c r="AZ233" s="453"/>
      <c r="BA233" s="532"/>
      <c r="BB233" s="502"/>
      <c r="BC233" s="503"/>
      <c r="BD233" s="453"/>
      <c r="BE233" s="453"/>
      <c r="BF233" s="470"/>
      <c r="BG233" s="453"/>
      <c r="BH233" s="453"/>
      <c r="BI233" s="453"/>
      <c r="BJ233" s="453"/>
      <c r="BK233" s="453"/>
      <c r="BL233" s="453"/>
      <c r="BM233" s="502"/>
      <c r="BN233" s="490"/>
      <c r="BO233" s="470"/>
      <c r="BP233" s="490"/>
      <c r="BQ233" s="453"/>
      <c r="BR233" s="502"/>
      <c r="BS233" s="524"/>
      <c r="BT233" s="530"/>
    </row>
    <row r="234" s="435" customFormat="1" ht="18" customHeight="1" spans="1:72">
      <c r="A234" s="451" t="s">
        <v>4033</v>
      </c>
      <c r="B234" s="456">
        <v>44265</v>
      </c>
      <c r="C234" s="526">
        <v>1000006827</v>
      </c>
      <c r="D234" s="451"/>
      <c r="E234" s="457"/>
      <c r="F234" s="453"/>
      <c r="G234" s="453"/>
      <c r="H234" s="453"/>
      <c r="I234" s="453"/>
      <c r="J234" s="453"/>
      <c r="K234" s="453"/>
      <c r="L234" s="453"/>
      <c r="M234" s="453"/>
      <c r="N234" s="453"/>
      <c r="O234" s="453"/>
      <c r="P234" s="453"/>
      <c r="Q234" s="453"/>
      <c r="R234" s="453">
        <v>15001</v>
      </c>
      <c r="S234" s="453"/>
      <c r="T234" s="453"/>
      <c r="U234" s="453"/>
      <c r="V234" s="453"/>
      <c r="W234" s="453"/>
      <c r="X234" s="453"/>
      <c r="Y234" s="453"/>
      <c r="Z234" s="489"/>
      <c r="AA234" s="489"/>
      <c r="AB234" s="490"/>
      <c r="AC234" s="453"/>
      <c r="AD234" s="453"/>
      <c r="AE234" s="453"/>
      <c r="AF234" s="453"/>
      <c r="AG234" s="453"/>
      <c r="AH234" s="453"/>
      <c r="AI234" s="453"/>
      <c r="AJ234" s="453"/>
      <c r="AK234" s="453"/>
      <c r="AL234" s="453"/>
      <c r="AM234" s="453"/>
      <c r="AN234" s="453"/>
      <c r="AO234" s="453"/>
      <c r="AP234" s="453"/>
      <c r="AQ234" s="453"/>
      <c r="AR234" s="453"/>
      <c r="AS234" s="453"/>
      <c r="AT234" s="453"/>
      <c r="AU234" s="453"/>
      <c r="AV234" s="453"/>
      <c r="AW234" s="453"/>
      <c r="AX234" s="453"/>
      <c r="AY234" s="453"/>
      <c r="AZ234" s="453"/>
      <c r="BA234" s="532"/>
      <c r="BB234" s="502"/>
      <c r="BC234" s="503"/>
      <c r="BD234" s="453"/>
      <c r="BE234" s="453"/>
      <c r="BF234" s="470"/>
      <c r="BG234" s="453"/>
      <c r="BH234" s="453"/>
      <c r="BI234" s="453"/>
      <c r="BJ234" s="453"/>
      <c r="BK234" s="453"/>
      <c r="BL234" s="453"/>
      <c r="BM234" s="502"/>
      <c r="BN234" s="490"/>
      <c r="BO234" s="470"/>
      <c r="BP234" s="490"/>
      <c r="BQ234" s="453"/>
      <c r="BR234" s="502"/>
      <c r="BS234" s="524"/>
      <c r="BT234" s="530"/>
    </row>
    <row r="235" s="435" customFormat="1" ht="18" customHeight="1" spans="1:72">
      <c r="A235" s="451" t="s">
        <v>4033</v>
      </c>
      <c r="B235" s="456">
        <v>44265</v>
      </c>
      <c r="C235" s="526">
        <v>1000006822</v>
      </c>
      <c r="D235" s="451"/>
      <c r="E235" s="457"/>
      <c r="F235" s="453"/>
      <c r="G235" s="453"/>
      <c r="H235" s="453"/>
      <c r="I235" s="453"/>
      <c r="J235" s="453"/>
      <c r="K235" s="453"/>
      <c r="L235" s="453"/>
      <c r="M235" s="453"/>
      <c r="N235" s="453"/>
      <c r="O235" s="453"/>
      <c r="P235" s="453"/>
      <c r="Q235" s="453"/>
      <c r="R235" s="453"/>
      <c r="S235" s="453"/>
      <c r="T235" s="453"/>
      <c r="U235" s="453"/>
      <c r="V235" s="453"/>
      <c r="W235" s="453"/>
      <c r="X235" s="453"/>
      <c r="Y235" s="453"/>
      <c r="Z235" s="489"/>
      <c r="AA235" s="489"/>
      <c r="AB235" s="490"/>
      <c r="AC235" s="453">
        <v>50000</v>
      </c>
      <c r="AD235" s="453"/>
      <c r="AE235" s="453"/>
      <c r="AF235" s="453"/>
      <c r="AG235" s="453"/>
      <c r="AH235" s="453"/>
      <c r="AI235" s="453"/>
      <c r="AJ235" s="453"/>
      <c r="AK235" s="453"/>
      <c r="AL235" s="453"/>
      <c r="AM235" s="453"/>
      <c r="AN235" s="453"/>
      <c r="AO235" s="453"/>
      <c r="AP235" s="453"/>
      <c r="AQ235" s="453"/>
      <c r="AR235" s="453"/>
      <c r="AS235" s="453"/>
      <c r="AT235" s="453"/>
      <c r="AU235" s="453"/>
      <c r="AV235" s="453"/>
      <c r="AW235" s="453"/>
      <c r="AX235" s="453"/>
      <c r="AY235" s="453"/>
      <c r="AZ235" s="453"/>
      <c r="BA235" s="532"/>
      <c r="BB235" s="502"/>
      <c r="BC235" s="503"/>
      <c r="BD235" s="453"/>
      <c r="BE235" s="453"/>
      <c r="BF235" s="470"/>
      <c r="BG235" s="453"/>
      <c r="BH235" s="453"/>
      <c r="BI235" s="453"/>
      <c r="BJ235" s="453"/>
      <c r="BK235" s="453"/>
      <c r="BL235" s="453"/>
      <c r="BM235" s="502"/>
      <c r="BN235" s="490"/>
      <c r="BO235" s="470"/>
      <c r="BP235" s="490"/>
      <c r="BQ235" s="453"/>
      <c r="BR235" s="502"/>
      <c r="BS235" s="524"/>
      <c r="BT235" s="530"/>
    </row>
    <row r="236" s="435" customFormat="1" ht="18" customHeight="1" spans="1:72">
      <c r="A236" s="451" t="s">
        <v>4033</v>
      </c>
      <c r="B236" s="456">
        <v>44265</v>
      </c>
      <c r="C236" s="526">
        <v>1000006823</v>
      </c>
      <c r="D236" s="451"/>
      <c r="E236" s="457"/>
      <c r="F236" s="453"/>
      <c r="G236" s="453"/>
      <c r="H236" s="453"/>
      <c r="I236" s="453"/>
      <c r="J236" s="453"/>
      <c r="K236" s="453"/>
      <c r="L236" s="453"/>
      <c r="M236" s="453"/>
      <c r="N236" s="453"/>
      <c r="O236" s="453"/>
      <c r="P236" s="453"/>
      <c r="Q236" s="453"/>
      <c r="R236" s="453"/>
      <c r="S236" s="453"/>
      <c r="T236" s="453"/>
      <c r="U236" s="453"/>
      <c r="V236" s="453"/>
      <c r="W236" s="453"/>
      <c r="X236" s="453"/>
      <c r="Y236" s="453"/>
      <c r="Z236" s="489"/>
      <c r="AA236" s="489"/>
      <c r="AB236" s="490"/>
      <c r="AC236" s="453"/>
      <c r="AD236" s="453"/>
      <c r="AE236" s="453"/>
      <c r="AF236" s="453"/>
      <c r="AG236" s="453"/>
      <c r="AH236" s="453"/>
      <c r="AI236" s="453"/>
      <c r="AJ236" s="453"/>
      <c r="AK236" s="453"/>
      <c r="AL236" s="453"/>
      <c r="AM236" s="453">
        <v>166093</v>
      </c>
      <c r="AN236" s="453"/>
      <c r="AO236" s="453"/>
      <c r="AP236" s="453"/>
      <c r="AQ236" s="453"/>
      <c r="AR236" s="453"/>
      <c r="AS236" s="453"/>
      <c r="AT236" s="453"/>
      <c r="AU236" s="453"/>
      <c r="AV236" s="453"/>
      <c r="AW236" s="453"/>
      <c r="AX236" s="453"/>
      <c r="AY236" s="453"/>
      <c r="AZ236" s="453"/>
      <c r="BA236" s="532"/>
      <c r="BB236" s="502"/>
      <c r="BC236" s="503"/>
      <c r="BD236" s="453"/>
      <c r="BE236" s="453"/>
      <c r="BF236" s="470"/>
      <c r="BG236" s="453"/>
      <c r="BH236" s="453"/>
      <c r="BI236" s="453"/>
      <c r="BJ236" s="453"/>
      <c r="BK236" s="453"/>
      <c r="BL236" s="453"/>
      <c r="BM236" s="502"/>
      <c r="BN236" s="490"/>
      <c r="BO236" s="470"/>
      <c r="BP236" s="490"/>
      <c r="BQ236" s="453"/>
      <c r="BR236" s="502"/>
      <c r="BS236" s="524"/>
      <c r="BT236" s="530"/>
    </row>
    <row r="237" s="435" customFormat="1" ht="18" customHeight="1" spans="1:72">
      <c r="A237" s="451" t="s">
        <v>4033</v>
      </c>
      <c r="B237" s="456">
        <v>44265</v>
      </c>
      <c r="C237" s="526">
        <v>1000006820</v>
      </c>
      <c r="D237" s="451"/>
      <c r="E237" s="457"/>
      <c r="F237" s="453"/>
      <c r="G237" s="453"/>
      <c r="H237" s="453"/>
      <c r="I237" s="453"/>
      <c r="J237" s="453"/>
      <c r="K237" s="453"/>
      <c r="L237" s="453"/>
      <c r="M237" s="453"/>
      <c r="N237" s="453"/>
      <c r="O237" s="453"/>
      <c r="P237" s="453"/>
      <c r="Q237" s="453"/>
      <c r="R237" s="453"/>
      <c r="S237" s="453"/>
      <c r="T237" s="453"/>
      <c r="U237" s="453"/>
      <c r="V237" s="453"/>
      <c r="W237" s="453"/>
      <c r="X237" s="453"/>
      <c r="Y237" s="453"/>
      <c r="Z237" s="489"/>
      <c r="AA237" s="489"/>
      <c r="AB237" s="490"/>
      <c r="AC237" s="453"/>
      <c r="AD237" s="453"/>
      <c r="AE237" s="453"/>
      <c r="AF237" s="453"/>
      <c r="AG237" s="453"/>
      <c r="AH237" s="453"/>
      <c r="AI237" s="453"/>
      <c r="AJ237" s="453"/>
      <c r="AK237" s="453"/>
      <c r="AL237" s="453"/>
      <c r="AM237" s="453"/>
      <c r="AN237" s="453"/>
      <c r="AO237" s="453"/>
      <c r="AP237" s="453"/>
      <c r="AQ237" s="453"/>
      <c r="AR237" s="453"/>
      <c r="AS237" s="453"/>
      <c r="AT237" s="453"/>
      <c r="AU237" s="453"/>
      <c r="AV237" s="453"/>
      <c r="AW237" s="453"/>
      <c r="AX237" s="453"/>
      <c r="AY237" s="453"/>
      <c r="AZ237" s="453"/>
      <c r="BA237" s="532"/>
      <c r="BB237" s="502"/>
      <c r="BC237" s="503">
        <v>5001</v>
      </c>
      <c r="BD237" s="453"/>
      <c r="BE237" s="453"/>
      <c r="BF237" s="470"/>
      <c r="BG237" s="453"/>
      <c r="BH237" s="453"/>
      <c r="BI237" s="453"/>
      <c r="BJ237" s="453"/>
      <c r="BK237" s="453"/>
      <c r="BL237" s="453"/>
      <c r="BM237" s="502"/>
      <c r="BN237" s="490"/>
      <c r="BO237" s="470"/>
      <c r="BP237" s="490"/>
      <c r="BQ237" s="453"/>
      <c r="BR237" s="502"/>
      <c r="BS237" s="524"/>
      <c r="BT237" s="530"/>
    </row>
    <row r="238" s="435" customFormat="1" ht="18" customHeight="1" spans="1:72">
      <c r="A238" s="451" t="s">
        <v>4033</v>
      </c>
      <c r="B238" s="456">
        <v>44265</v>
      </c>
      <c r="C238" s="526">
        <v>1000006821</v>
      </c>
      <c r="D238" s="451"/>
      <c r="E238" s="457"/>
      <c r="F238" s="453"/>
      <c r="G238" s="453"/>
      <c r="H238" s="453"/>
      <c r="I238" s="453"/>
      <c r="J238" s="453"/>
      <c r="K238" s="453"/>
      <c r="L238" s="453"/>
      <c r="M238" s="453"/>
      <c r="N238" s="453"/>
      <c r="O238" s="453"/>
      <c r="P238" s="453"/>
      <c r="Q238" s="453"/>
      <c r="R238" s="453"/>
      <c r="S238" s="453"/>
      <c r="T238" s="453"/>
      <c r="U238" s="453"/>
      <c r="V238" s="453"/>
      <c r="W238" s="453"/>
      <c r="X238" s="453"/>
      <c r="Y238" s="453"/>
      <c r="Z238" s="489"/>
      <c r="AA238" s="489"/>
      <c r="AB238" s="490"/>
      <c r="AC238" s="453"/>
      <c r="AD238" s="453"/>
      <c r="AE238" s="453"/>
      <c r="AF238" s="453"/>
      <c r="AG238" s="453"/>
      <c r="AH238" s="453"/>
      <c r="AI238" s="453"/>
      <c r="AJ238" s="453"/>
      <c r="AK238" s="453"/>
      <c r="AL238" s="453"/>
      <c r="AM238" s="453"/>
      <c r="AN238" s="453"/>
      <c r="AO238" s="453"/>
      <c r="AP238" s="453"/>
      <c r="AQ238" s="453"/>
      <c r="AR238" s="453"/>
      <c r="AS238" s="453"/>
      <c r="AT238" s="453"/>
      <c r="AU238" s="453"/>
      <c r="AV238" s="453"/>
      <c r="AW238" s="453"/>
      <c r="AX238" s="453"/>
      <c r="AY238" s="453"/>
      <c r="AZ238" s="453"/>
      <c r="BA238" s="532"/>
      <c r="BB238" s="502"/>
      <c r="BC238" s="503"/>
      <c r="BD238" s="453">
        <v>5001</v>
      </c>
      <c r="BE238" s="453"/>
      <c r="BF238" s="470"/>
      <c r="BG238" s="453"/>
      <c r="BH238" s="453"/>
      <c r="BI238" s="453"/>
      <c r="BJ238" s="453"/>
      <c r="BK238" s="453"/>
      <c r="BL238" s="453"/>
      <c r="BM238" s="502"/>
      <c r="BN238" s="490"/>
      <c r="BO238" s="470"/>
      <c r="BP238" s="490"/>
      <c r="BQ238" s="453"/>
      <c r="BR238" s="502"/>
      <c r="BS238" s="524"/>
      <c r="BT238" s="530"/>
    </row>
    <row r="239" s="435" customFormat="1" ht="18" customHeight="1" spans="1:72">
      <c r="A239" s="451"/>
      <c r="B239" s="456">
        <v>44267</v>
      </c>
      <c r="C239" s="526">
        <v>1000006856</v>
      </c>
      <c r="D239" s="451"/>
      <c r="E239" s="457"/>
      <c r="F239" s="453"/>
      <c r="G239" s="453"/>
      <c r="H239" s="453"/>
      <c r="I239" s="453"/>
      <c r="J239" s="453"/>
      <c r="K239" s="453"/>
      <c r="L239" s="453"/>
      <c r="M239" s="453"/>
      <c r="N239" s="453"/>
      <c r="O239" s="453"/>
      <c r="P239" s="453"/>
      <c r="Q239" s="453"/>
      <c r="R239" s="453"/>
      <c r="S239" s="453"/>
      <c r="T239" s="453"/>
      <c r="U239" s="453"/>
      <c r="V239" s="453"/>
      <c r="W239" s="453"/>
      <c r="X239" s="453"/>
      <c r="Y239" s="453"/>
      <c r="Z239" s="489"/>
      <c r="AA239" s="489"/>
      <c r="AB239" s="490"/>
      <c r="AC239" s="453"/>
      <c r="AD239" s="453"/>
      <c r="AE239" s="453"/>
      <c r="AF239" s="453"/>
      <c r="AG239" s="453"/>
      <c r="AH239" s="453"/>
      <c r="AI239" s="453"/>
      <c r="AJ239" s="453"/>
      <c r="AK239" s="453"/>
      <c r="AL239" s="453"/>
      <c r="AM239" s="453"/>
      <c r="AN239" s="453"/>
      <c r="AO239" s="453"/>
      <c r="AP239" s="453"/>
      <c r="AQ239" s="453"/>
      <c r="AR239" s="453"/>
      <c r="AS239" s="453"/>
      <c r="AT239" s="453"/>
      <c r="AU239" s="453"/>
      <c r="AV239" s="453"/>
      <c r="AW239" s="453"/>
      <c r="AX239" s="453"/>
      <c r="AY239" s="453"/>
      <c r="AZ239" s="453"/>
      <c r="BA239" s="532">
        <v>15159</v>
      </c>
      <c r="BB239" s="502"/>
      <c r="BC239" s="503"/>
      <c r="BD239" s="453"/>
      <c r="BE239" s="453"/>
      <c r="BF239" s="470"/>
      <c r="BG239" s="453"/>
      <c r="BH239" s="453"/>
      <c r="BI239" s="453"/>
      <c r="BJ239" s="453"/>
      <c r="BK239" s="453"/>
      <c r="BL239" s="453"/>
      <c r="BM239" s="502"/>
      <c r="BN239" s="490"/>
      <c r="BO239" s="470"/>
      <c r="BP239" s="490"/>
      <c r="BQ239" s="453"/>
      <c r="BR239" s="502"/>
      <c r="BS239" s="524"/>
      <c r="BT239" s="530"/>
    </row>
    <row r="240" s="435" customFormat="1" ht="18" customHeight="1" spans="1:72">
      <c r="A240" s="451"/>
      <c r="B240" s="456">
        <v>44267</v>
      </c>
      <c r="C240" s="526">
        <v>1000006857</v>
      </c>
      <c r="D240" s="451"/>
      <c r="E240" s="457"/>
      <c r="F240" s="453"/>
      <c r="G240" s="453"/>
      <c r="H240" s="453"/>
      <c r="I240" s="453"/>
      <c r="J240" s="453"/>
      <c r="K240" s="453"/>
      <c r="L240" s="453"/>
      <c r="M240" s="453"/>
      <c r="N240" s="453"/>
      <c r="O240" s="453"/>
      <c r="P240" s="453"/>
      <c r="Q240" s="453"/>
      <c r="R240" s="453"/>
      <c r="S240" s="453"/>
      <c r="T240" s="453"/>
      <c r="U240" s="453"/>
      <c r="V240" s="453"/>
      <c r="W240" s="453"/>
      <c r="X240" s="453"/>
      <c r="Y240" s="453"/>
      <c r="Z240" s="489"/>
      <c r="AA240" s="489"/>
      <c r="AB240" s="490"/>
      <c r="AC240" s="453"/>
      <c r="AD240" s="453"/>
      <c r="AE240" s="453"/>
      <c r="AF240" s="453"/>
      <c r="AG240" s="453"/>
      <c r="AH240" s="453"/>
      <c r="AI240" s="453"/>
      <c r="AJ240" s="453"/>
      <c r="AK240" s="453"/>
      <c r="AL240" s="453"/>
      <c r="AM240" s="453"/>
      <c r="AN240" s="453"/>
      <c r="AO240" s="453"/>
      <c r="AP240" s="453"/>
      <c r="AQ240" s="453"/>
      <c r="AR240" s="453"/>
      <c r="AS240" s="453"/>
      <c r="AT240" s="453"/>
      <c r="AU240" s="453"/>
      <c r="AV240" s="453"/>
      <c r="AW240" s="453"/>
      <c r="AX240" s="453"/>
      <c r="AY240" s="453"/>
      <c r="AZ240" s="453"/>
      <c r="BA240" s="532"/>
      <c r="BB240" s="502">
        <v>10679</v>
      </c>
      <c r="BC240" s="503"/>
      <c r="BD240" s="453"/>
      <c r="BE240" s="453"/>
      <c r="BF240" s="470"/>
      <c r="BG240" s="453"/>
      <c r="BH240" s="453"/>
      <c r="BI240" s="453"/>
      <c r="BJ240" s="453"/>
      <c r="BK240" s="453"/>
      <c r="BL240" s="453"/>
      <c r="BM240" s="502"/>
      <c r="BN240" s="490"/>
      <c r="BO240" s="470"/>
      <c r="BP240" s="490"/>
      <c r="BQ240" s="453"/>
      <c r="BR240" s="502"/>
      <c r="BS240" s="524"/>
      <c r="BT240" s="530"/>
    </row>
    <row r="241" s="435" customFormat="1" ht="18" customHeight="1" spans="1:72">
      <c r="A241" s="451" t="s">
        <v>4033</v>
      </c>
      <c r="B241" s="456">
        <v>44274</v>
      </c>
      <c r="C241" s="526">
        <v>1000006923</v>
      </c>
      <c r="D241" s="451"/>
      <c r="E241" s="457"/>
      <c r="F241" s="453"/>
      <c r="G241" s="453"/>
      <c r="H241" s="453"/>
      <c r="I241" s="453"/>
      <c r="J241" s="453"/>
      <c r="K241" s="453"/>
      <c r="L241" s="453"/>
      <c r="M241" s="453"/>
      <c r="N241" s="453"/>
      <c r="O241" s="453"/>
      <c r="P241" s="453"/>
      <c r="Q241" s="453"/>
      <c r="R241" s="453"/>
      <c r="S241" s="453"/>
      <c r="T241" s="453"/>
      <c r="U241" s="453"/>
      <c r="V241" s="453"/>
      <c r="W241" s="453"/>
      <c r="X241" s="453"/>
      <c r="Y241" s="453"/>
      <c r="Z241" s="489"/>
      <c r="AA241" s="489"/>
      <c r="AB241" s="490"/>
      <c r="AC241" s="453">
        <v>50000</v>
      </c>
      <c r="AD241" s="453"/>
      <c r="AE241" s="453"/>
      <c r="AF241" s="453"/>
      <c r="AG241" s="453"/>
      <c r="AH241" s="453"/>
      <c r="AI241" s="453"/>
      <c r="AJ241" s="453"/>
      <c r="AK241" s="453"/>
      <c r="AL241" s="453"/>
      <c r="AM241" s="453"/>
      <c r="AN241" s="453"/>
      <c r="AO241" s="453"/>
      <c r="AP241" s="453"/>
      <c r="AQ241" s="453"/>
      <c r="AR241" s="453"/>
      <c r="AS241" s="453"/>
      <c r="AT241" s="453"/>
      <c r="AU241" s="453"/>
      <c r="AV241" s="453"/>
      <c r="AW241" s="453"/>
      <c r="AX241" s="453"/>
      <c r="AY241" s="453"/>
      <c r="AZ241" s="453"/>
      <c r="BA241" s="532"/>
      <c r="BB241" s="502"/>
      <c r="BC241" s="503"/>
      <c r="BD241" s="453"/>
      <c r="BE241" s="453"/>
      <c r="BF241" s="470"/>
      <c r="BG241" s="453"/>
      <c r="BH241" s="453"/>
      <c r="BI241" s="453"/>
      <c r="BJ241" s="453"/>
      <c r="BK241" s="453"/>
      <c r="BL241" s="453"/>
      <c r="BM241" s="502"/>
      <c r="BN241" s="490"/>
      <c r="BO241" s="470"/>
      <c r="BP241" s="490"/>
      <c r="BQ241" s="453"/>
      <c r="BR241" s="502"/>
      <c r="BS241" s="524"/>
      <c r="BT241" s="530"/>
    </row>
    <row r="242" s="435" customFormat="1" ht="18" customHeight="1" spans="1:72">
      <c r="A242" s="451" t="s">
        <v>4033</v>
      </c>
      <c r="B242" s="456">
        <v>44274</v>
      </c>
      <c r="C242" s="526">
        <v>1000006924</v>
      </c>
      <c r="D242" s="451"/>
      <c r="E242" s="457"/>
      <c r="F242" s="453"/>
      <c r="G242" s="453"/>
      <c r="H242" s="453"/>
      <c r="I242" s="453"/>
      <c r="J242" s="453"/>
      <c r="K242" s="453"/>
      <c r="L242" s="453"/>
      <c r="M242" s="453"/>
      <c r="N242" s="453"/>
      <c r="O242" s="453"/>
      <c r="P242" s="453"/>
      <c r="Q242" s="453"/>
      <c r="R242" s="453"/>
      <c r="S242" s="453"/>
      <c r="T242" s="453"/>
      <c r="U242" s="453"/>
      <c r="V242" s="453"/>
      <c r="W242" s="453"/>
      <c r="X242" s="453"/>
      <c r="Y242" s="453"/>
      <c r="Z242" s="489"/>
      <c r="AA242" s="489"/>
      <c r="AB242" s="490"/>
      <c r="AC242" s="453"/>
      <c r="AD242" s="453"/>
      <c r="AE242" s="453"/>
      <c r="AF242" s="453"/>
      <c r="AG242" s="453"/>
      <c r="AH242" s="453"/>
      <c r="AI242" s="453"/>
      <c r="AJ242" s="453"/>
      <c r="AK242" s="453"/>
      <c r="AL242" s="453"/>
      <c r="AM242" s="453">
        <v>100000</v>
      </c>
      <c r="AN242" s="453"/>
      <c r="AO242" s="453"/>
      <c r="AP242" s="453"/>
      <c r="AQ242" s="453"/>
      <c r="AR242" s="453"/>
      <c r="AS242" s="453"/>
      <c r="AT242" s="453"/>
      <c r="AU242" s="453"/>
      <c r="AV242" s="453"/>
      <c r="AW242" s="453"/>
      <c r="AX242" s="453"/>
      <c r="AY242" s="453"/>
      <c r="AZ242" s="453"/>
      <c r="BA242" s="532"/>
      <c r="BB242" s="502"/>
      <c r="BC242" s="503"/>
      <c r="BD242" s="453"/>
      <c r="BE242" s="453"/>
      <c r="BF242" s="470"/>
      <c r="BG242" s="453"/>
      <c r="BH242" s="453"/>
      <c r="BI242" s="453"/>
      <c r="BJ242" s="453"/>
      <c r="BK242" s="453"/>
      <c r="BL242" s="453"/>
      <c r="BM242" s="502"/>
      <c r="BN242" s="490"/>
      <c r="BO242" s="470"/>
      <c r="BP242" s="490"/>
      <c r="BQ242" s="453"/>
      <c r="BR242" s="502"/>
      <c r="BS242" s="524"/>
      <c r="BT242" s="530"/>
    </row>
    <row r="243" s="435" customFormat="1" ht="18" customHeight="1" spans="1:72">
      <c r="A243" s="451" t="s">
        <v>4033</v>
      </c>
      <c r="B243" s="456">
        <v>44274</v>
      </c>
      <c r="C243" s="526">
        <v>1000006929</v>
      </c>
      <c r="D243" s="451"/>
      <c r="E243" s="457"/>
      <c r="F243" s="453"/>
      <c r="G243" s="453"/>
      <c r="H243" s="453"/>
      <c r="I243" s="453"/>
      <c r="J243" s="453"/>
      <c r="K243" s="453"/>
      <c r="L243" s="453"/>
      <c r="M243" s="453"/>
      <c r="N243" s="453"/>
      <c r="O243" s="453"/>
      <c r="P243" s="453"/>
      <c r="Q243" s="453"/>
      <c r="R243" s="453"/>
      <c r="S243" s="453"/>
      <c r="T243" s="453"/>
      <c r="U243" s="453"/>
      <c r="V243" s="453"/>
      <c r="W243" s="453"/>
      <c r="X243" s="453"/>
      <c r="Y243" s="453"/>
      <c r="Z243" s="489"/>
      <c r="AA243" s="489"/>
      <c r="AB243" s="490"/>
      <c r="AC243" s="453"/>
      <c r="AD243" s="453"/>
      <c r="AE243" s="453"/>
      <c r="AF243" s="453"/>
      <c r="AG243" s="453"/>
      <c r="AH243" s="453"/>
      <c r="AI243" s="453"/>
      <c r="AJ243" s="453"/>
      <c r="AK243" s="453"/>
      <c r="AL243" s="453"/>
      <c r="AM243" s="453"/>
      <c r="AN243" s="453"/>
      <c r="AO243" s="453"/>
      <c r="AP243" s="453"/>
      <c r="AQ243" s="453">
        <v>10000</v>
      </c>
      <c r="AR243" s="453"/>
      <c r="AS243" s="453"/>
      <c r="AT243" s="453"/>
      <c r="AU243" s="453"/>
      <c r="AV243" s="453"/>
      <c r="AW243" s="453"/>
      <c r="AX243" s="453"/>
      <c r="AY243" s="453"/>
      <c r="AZ243" s="453"/>
      <c r="BA243" s="532"/>
      <c r="BB243" s="502"/>
      <c r="BC243" s="503"/>
      <c r="BD243" s="453"/>
      <c r="BE243" s="453"/>
      <c r="BF243" s="470"/>
      <c r="BG243" s="453"/>
      <c r="BH243" s="453"/>
      <c r="BI243" s="453"/>
      <c r="BJ243" s="453"/>
      <c r="BK243" s="453"/>
      <c r="BL243" s="453"/>
      <c r="BM243" s="502"/>
      <c r="BN243" s="490"/>
      <c r="BO243" s="470"/>
      <c r="BP243" s="490"/>
      <c r="BQ243" s="453"/>
      <c r="BR243" s="502"/>
      <c r="BS243" s="524"/>
      <c r="BT243" s="530"/>
    </row>
    <row r="244" s="435" customFormat="1" ht="18" customHeight="1" spans="1:72">
      <c r="A244" s="451" t="s">
        <v>4033</v>
      </c>
      <c r="B244" s="456">
        <v>44274</v>
      </c>
      <c r="C244" s="526">
        <v>1000006925</v>
      </c>
      <c r="D244" s="451"/>
      <c r="E244" s="457"/>
      <c r="F244" s="453"/>
      <c r="G244" s="453"/>
      <c r="H244" s="453"/>
      <c r="I244" s="453">
        <v>10001</v>
      </c>
      <c r="J244" s="453"/>
      <c r="K244" s="453"/>
      <c r="L244" s="453"/>
      <c r="M244" s="453"/>
      <c r="N244" s="453"/>
      <c r="O244" s="453"/>
      <c r="P244" s="453"/>
      <c r="Q244" s="453"/>
      <c r="R244" s="453"/>
      <c r="S244" s="453"/>
      <c r="T244" s="453"/>
      <c r="U244" s="453"/>
      <c r="V244" s="453"/>
      <c r="W244" s="453"/>
      <c r="X244" s="453"/>
      <c r="Y244" s="453"/>
      <c r="Z244" s="489"/>
      <c r="AA244" s="489"/>
      <c r="AB244" s="490"/>
      <c r="AC244" s="453"/>
      <c r="AD244" s="453"/>
      <c r="AE244" s="453"/>
      <c r="AF244" s="453"/>
      <c r="AG244" s="453"/>
      <c r="AH244" s="453"/>
      <c r="AI244" s="453"/>
      <c r="AJ244" s="453"/>
      <c r="AK244" s="453"/>
      <c r="AL244" s="453"/>
      <c r="AM244" s="453"/>
      <c r="AN244" s="453"/>
      <c r="AO244" s="453"/>
      <c r="AP244" s="453"/>
      <c r="AQ244" s="453"/>
      <c r="AR244" s="453"/>
      <c r="AS244" s="453"/>
      <c r="AT244" s="453"/>
      <c r="AU244" s="453"/>
      <c r="AV244" s="453"/>
      <c r="AW244" s="453"/>
      <c r="AX244" s="453"/>
      <c r="AY244" s="453"/>
      <c r="AZ244" s="453"/>
      <c r="BA244" s="532"/>
      <c r="BB244" s="502"/>
      <c r="BC244" s="503"/>
      <c r="BD244" s="453"/>
      <c r="BE244" s="453"/>
      <c r="BF244" s="470"/>
      <c r="BG244" s="453"/>
      <c r="BH244" s="453"/>
      <c r="BI244" s="453"/>
      <c r="BJ244" s="453"/>
      <c r="BK244" s="453"/>
      <c r="BL244" s="453"/>
      <c r="BM244" s="502"/>
      <c r="BN244" s="490"/>
      <c r="BO244" s="470"/>
      <c r="BP244" s="490"/>
      <c r="BQ244" s="453"/>
      <c r="BR244" s="502"/>
      <c r="BS244" s="524"/>
      <c r="BT244" s="530"/>
    </row>
    <row r="245" s="435" customFormat="1" ht="18" customHeight="1" spans="1:72">
      <c r="A245" s="451" t="s">
        <v>4033</v>
      </c>
      <c r="B245" s="456">
        <v>44274</v>
      </c>
      <c r="C245" s="526">
        <v>1000006926</v>
      </c>
      <c r="D245" s="451"/>
      <c r="E245" s="457"/>
      <c r="F245" s="453"/>
      <c r="G245" s="453"/>
      <c r="H245" s="453"/>
      <c r="I245" s="453"/>
      <c r="J245" s="453">
        <v>10001</v>
      </c>
      <c r="K245" s="453"/>
      <c r="L245" s="453"/>
      <c r="M245" s="453"/>
      <c r="N245" s="453"/>
      <c r="O245" s="453"/>
      <c r="P245" s="453"/>
      <c r="Q245" s="453"/>
      <c r="R245" s="453"/>
      <c r="S245" s="453"/>
      <c r="T245" s="453"/>
      <c r="U245" s="453"/>
      <c r="V245" s="453"/>
      <c r="W245" s="453"/>
      <c r="X245" s="453"/>
      <c r="Y245" s="453"/>
      <c r="Z245" s="489"/>
      <c r="AA245" s="489"/>
      <c r="AB245" s="490"/>
      <c r="AC245" s="453"/>
      <c r="AD245" s="453"/>
      <c r="AE245" s="453"/>
      <c r="AF245" s="453"/>
      <c r="AG245" s="453"/>
      <c r="AH245" s="453"/>
      <c r="AI245" s="453"/>
      <c r="AJ245" s="453"/>
      <c r="AK245" s="453"/>
      <c r="AL245" s="453"/>
      <c r="AM245" s="453"/>
      <c r="AN245" s="453"/>
      <c r="AO245" s="453"/>
      <c r="AP245" s="453"/>
      <c r="AQ245" s="453"/>
      <c r="AR245" s="453"/>
      <c r="AS245" s="453"/>
      <c r="AT245" s="453"/>
      <c r="AU245" s="453"/>
      <c r="AV245" s="453"/>
      <c r="AW245" s="453"/>
      <c r="AX245" s="453"/>
      <c r="AY245" s="453"/>
      <c r="AZ245" s="453"/>
      <c r="BA245" s="532"/>
      <c r="BB245" s="502"/>
      <c r="BC245" s="503"/>
      <c r="BD245" s="453"/>
      <c r="BE245" s="453"/>
      <c r="BF245" s="470"/>
      <c r="BG245" s="453"/>
      <c r="BH245" s="453"/>
      <c r="BI245" s="453"/>
      <c r="BJ245" s="453"/>
      <c r="BK245" s="453"/>
      <c r="BL245" s="453"/>
      <c r="BM245" s="502"/>
      <c r="BN245" s="490"/>
      <c r="BO245" s="470"/>
      <c r="BP245" s="490"/>
      <c r="BQ245" s="453"/>
      <c r="BR245" s="502"/>
      <c r="BS245" s="524"/>
      <c r="BT245" s="530"/>
    </row>
    <row r="246" s="435" customFormat="1" ht="18" customHeight="1" spans="1:72">
      <c r="A246" s="451" t="s">
        <v>4033</v>
      </c>
      <c r="B246" s="456">
        <v>44274</v>
      </c>
      <c r="C246" s="526">
        <v>1000006927</v>
      </c>
      <c r="D246" s="451"/>
      <c r="E246" s="457"/>
      <c r="F246" s="453"/>
      <c r="G246" s="453"/>
      <c r="H246" s="453"/>
      <c r="I246" s="453"/>
      <c r="J246" s="453"/>
      <c r="K246" s="453">
        <v>10001</v>
      </c>
      <c r="L246" s="453"/>
      <c r="M246" s="453"/>
      <c r="N246" s="453"/>
      <c r="O246" s="453"/>
      <c r="P246" s="453"/>
      <c r="Q246" s="453"/>
      <c r="R246" s="453"/>
      <c r="S246" s="453"/>
      <c r="T246" s="453"/>
      <c r="U246" s="453"/>
      <c r="V246" s="453"/>
      <c r="W246" s="453"/>
      <c r="X246" s="453"/>
      <c r="Y246" s="453"/>
      <c r="Z246" s="489"/>
      <c r="AA246" s="489"/>
      <c r="AB246" s="490"/>
      <c r="AC246" s="453"/>
      <c r="AD246" s="453"/>
      <c r="AE246" s="453"/>
      <c r="AF246" s="453"/>
      <c r="AG246" s="453"/>
      <c r="AH246" s="453"/>
      <c r="AI246" s="453"/>
      <c r="AJ246" s="453"/>
      <c r="AK246" s="453"/>
      <c r="AL246" s="453"/>
      <c r="AM246" s="453"/>
      <c r="AN246" s="453"/>
      <c r="AO246" s="453"/>
      <c r="AP246" s="453"/>
      <c r="AQ246" s="453"/>
      <c r="AR246" s="453"/>
      <c r="AS246" s="453"/>
      <c r="AT246" s="453"/>
      <c r="AU246" s="453"/>
      <c r="AV246" s="453"/>
      <c r="AW246" s="453"/>
      <c r="AX246" s="453"/>
      <c r="AY246" s="453"/>
      <c r="AZ246" s="453"/>
      <c r="BA246" s="532"/>
      <c r="BB246" s="502"/>
      <c r="BC246" s="503"/>
      <c r="BD246" s="453"/>
      <c r="BE246" s="453"/>
      <c r="BF246" s="470"/>
      <c r="BG246" s="453"/>
      <c r="BH246" s="453"/>
      <c r="BI246" s="453"/>
      <c r="BJ246" s="453"/>
      <c r="BK246" s="453"/>
      <c r="BL246" s="453"/>
      <c r="BM246" s="502"/>
      <c r="BN246" s="490"/>
      <c r="BO246" s="470"/>
      <c r="BP246" s="490"/>
      <c r="BQ246" s="453"/>
      <c r="BR246" s="502"/>
      <c r="BS246" s="524"/>
      <c r="BT246" s="530"/>
    </row>
    <row r="247" s="435" customFormat="1" ht="18" customHeight="1" spans="1:72">
      <c r="A247" s="451" t="s">
        <v>4033</v>
      </c>
      <c r="B247" s="456">
        <v>44274</v>
      </c>
      <c r="C247" s="526">
        <v>1000006928</v>
      </c>
      <c r="D247" s="451"/>
      <c r="E247" s="457"/>
      <c r="F247" s="453"/>
      <c r="G247" s="453"/>
      <c r="H247" s="453"/>
      <c r="I247" s="453"/>
      <c r="J247" s="453"/>
      <c r="K247" s="453"/>
      <c r="L247" s="453"/>
      <c r="M247" s="453"/>
      <c r="N247" s="453"/>
      <c r="O247" s="453"/>
      <c r="P247" s="453"/>
      <c r="Q247" s="453"/>
      <c r="R247" s="453">
        <v>21000</v>
      </c>
      <c r="S247" s="453"/>
      <c r="T247" s="453"/>
      <c r="U247" s="453"/>
      <c r="V247" s="453"/>
      <c r="W247" s="453"/>
      <c r="X247" s="453"/>
      <c r="Y247" s="453"/>
      <c r="Z247" s="489"/>
      <c r="AA247" s="489"/>
      <c r="AB247" s="490"/>
      <c r="AC247" s="453"/>
      <c r="AD247" s="453"/>
      <c r="AE247" s="453"/>
      <c r="AF247" s="453"/>
      <c r="AG247" s="453"/>
      <c r="AH247" s="453"/>
      <c r="AI247" s="453"/>
      <c r="AJ247" s="453"/>
      <c r="AK247" s="453"/>
      <c r="AL247" s="453"/>
      <c r="AM247" s="453"/>
      <c r="AN247" s="453"/>
      <c r="AO247" s="453"/>
      <c r="AP247" s="453"/>
      <c r="AQ247" s="453"/>
      <c r="AR247" s="453"/>
      <c r="AS247" s="453"/>
      <c r="AT247" s="453"/>
      <c r="AU247" s="453"/>
      <c r="AV247" s="453"/>
      <c r="AW247" s="453"/>
      <c r="AX247" s="453"/>
      <c r="AY247" s="453"/>
      <c r="AZ247" s="453"/>
      <c r="BA247" s="532"/>
      <c r="BB247" s="502"/>
      <c r="BC247" s="503"/>
      <c r="BD247" s="453"/>
      <c r="BE247" s="453"/>
      <c r="BF247" s="470"/>
      <c r="BG247" s="453"/>
      <c r="BH247" s="453"/>
      <c r="BI247" s="453"/>
      <c r="BJ247" s="453"/>
      <c r="BK247" s="453"/>
      <c r="BL247" s="453"/>
      <c r="BM247" s="502"/>
      <c r="BN247" s="490"/>
      <c r="BO247" s="470"/>
      <c r="BP247" s="490"/>
      <c r="BQ247" s="453"/>
      <c r="BR247" s="502"/>
      <c r="BS247" s="524"/>
      <c r="BT247" s="530"/>
    </row>
    <row r="248" s="435" customFormat="1" ht="18" customHeight="1" spans="1:72">
      <c r="A248" s="451" t="s">
        <v>4033</v>
      </c>
      <c r="B248" s="456">
        <v>44281</v>
      </c>
      <c r="C248" s="526">
        <v>1000006980</v>
      </c>
      <c r="D248" s="451"/>
      <c r="E248" s="457"/>
      <c r="F248" s="453"/>
      <c r="G248" s="453"/>
      <c r="H248" s="453"/>
      <c r="I248" s="453"/>
      <c r="J248" s="453"/>
      <c r="K248" s="453"/>
      <c r="L248" s="453"/>
      <c r="M248" s="453"/>
      <c r="N248" s="453"/>
      <c r="O248" s="453"/>
      <c r="P248" s="453"/>
      <c r="Q248" s="453"/>
      <c r="R248" s="453"/>
      <c r="S248" s="453"/>
      <c r="T248" s="453"/>
      <c r="U248" s="453"/>
      <c r="V248" s="453"/>
      <c r="W248" s="453"/>
      <c r="X248" s="453"/>
      <c r="Y248" s="453"/>
      <c r="Z248" s="489"/>
      <c r="AA248" s="489"/>
      <c r="AB248" s="490"/>
      <c r="AC248" s="453"/>
      <c r="AD248" s="453"/>
      <c r="AE248" s="453"/>
      <c r="AF248" s="453"/>
      <c r="AG248" s="453"/>
      <c r="AH248" s="453"/>
      <c r="AI248" s="453"/>
      <c r="AJ248" s="453"/>
      <c r="AK248" s="453"/>
      <c r="AL248" s="453"/>
      <c r="AM248" s="453"/>
      <c r="AN248" s="453"/>
      <c r="AO248" s="453"/>
      <c r="AP248" s="453"/>
      <c r="AQ248" s="453"/>
      <c r="AR248" s="453"/>
      <c r="AS248" s="453"/>
      <c r="AT248" s="453"/>
      <c r="AU248" s="453"/>
      <c r="AV248" s="453"/>
      <c r="AW248" s="453"/>
      <c r="AX248" s="453"/>
      <c r="AY248" s="453"/>
      <c r="AZ248" s="453"/>
      <c r="BA248" s="532">
        <v>18320</v>
      </c>
      <c r="BB248" s="502"/>
      <c r="BC248" s="503"/>
      <c r="BD248" s="453"/>
      <c r="BE248" s="453"/>
      <c r="BF248" s="470"/>
      <c r="BG248" s="453"/>
      <c r="BH248" s="453"/>
      <c r="BI248" s="453"/>
      <c r="BJ248" s="453"/>
      <c r="BK248" s="453"/>
      <c r="BL248" s="453"/>
      <c r="BM248" s="502"/>
      <c r="BN248" s="490"/>
      <c r="BO248" s="470"/>
      <c r="BP248" s="490"/>
      <c r="BQ248" s="453"/>
      <c r="BR248" s="502"/>
      <c r="BS248" s="524"/>
      <c r="BT248" s="530"/>
    </row>
    <row r="249" s="435" customFormat="1" ht="18" customHeight="1" spans="1:72">
      <c r="A249" s="451" t="s">
        <v>4033</v>
      </c>
      <c r="B249" s="456">
        <v>44281</v>
      </c>
      <c r="C249" s="526">
        <v>1000006981</v>
      </c>
      <c r="D249" s="451"/>
      <c r="E249" s="457"/>
      <c r="F249" s="453"/>
      <c r="G249" s="453"/>
      <c r="H249" s="453"/>
      <c r="I249" s="453"/>
      <c r="J249" s="453"/>
      <c r="K249" s="453"/>
      <c r="L249" s="453"/>
      <c r="M249" s="453"/>
      <c r="N249" s="453"/>
      <c r="O249" s="453"/>
      <c r="P249" s="453"/>
      <c r="Q249" s="453"/>
      <c r="R249" s="453"/>
      <c r="S249" s="453"/>
      <c r="T249" s="453"/>
      <c r="U249" s="453"/>
      <c r="V249" s="453"/>
      <c r="W249" s="453"/>
      <c r="X249" s="453"/>
      <c r="Y249" s="453"/>
      <c r="Z249" s="489"/>
      <c r="AA249" s="489"/>
      <c r="AB249" s="490"/>
      <c r="AC249" s="453"/>
      <c r="AD249" s="453"/>
      <c r="AE249" s="453"/>
      <c r="AF249" s="453"/>
      <c r="AG249" s="453"/>
      <c r="AH249" s="453"/>
      <c r="AI249" s="453"/>
      <c r="AJ249" s="453"/>
      <c r="AK249" s="453"/>
      <c r="AL249" s="453"/>
      <c r="AM249" s="453"/>
      <c r="AN249" s="453"/>
      <c r="AO249" s="453"/>
      <c r="AP249" s="453"/>
      <c r="AQ249" s="453"/>
      <c r="AR249" s="453"/>
      <c r="AS249" s="453"/>
      <c r="AT249" s="453"/>
      <c r="AU249" s="453"/>
      <c r="AV249" s="453"/>
      <c r="AW249" s="453"/>
      <c r="AX249" s="453"/>
      <c r="AY249" s="453"/>
      <c r="AZ249" s="453"/>
      <c r="BA249" s="532"/>
      <c r="BB249" s="502">
        <v>21200</v>
      </c>
      <c r="BC249" s="503"/>
      <c r="BD249" s="453"/>
      <c r="BE249" s="453"/>
      <c r="BF249" s="470"/>
      <c r="BG249" s="453"/>
      <c r="BH249" s="453"/>
      <c r="BI249" s="453"/>
      <c r="BJ249" s="453"/>
      <c r="BK249" s="453"/>
      <c r="BL249" s="453"/>
      <c r="BM249" s="502"/>
      <c r="BN249" s="490"/>
      <c r="BO249" s="470"/>
      <c r="BP249" s="490"/>
      <c r="BQ249" s="453"/>
      <c r="BR249" s="502"/>
      <c r="BS249" s="524"/>
      <c r="BT249" s="530"/>
    </row>
    <row r="250" s="435" customFormat="1" ht="18" customHeight="1" spans="1:72">
      <c r="A250" s="451" t="s">
        <v>4033</v>
      </c>
      <c r="B250" s="456">
        <v>44288</v>
      </c>
      <c r="C250" s="526">
        <v>1000007020</v>
      </c>
      <c r="D250" s="451"/>
      <c r="E250" s="457"/>
      <c r="F250" s="453"/>
      <c r="G250" s="453"/>
      <c r="H250" s="453"/>
      <c r="I250" s="453"/>
      <c r="J250" s="453"/>
      <c r="K250" s="453"/>
      <c r="L250" s="453"/>
      <c r="M250" s="453"/>
      <c r="N250" s="453"/>
      <c r="O250" s="453"/>
      <c r="P250" s="453"/>
      <c r="Q250" s="453"/>
      <c r="R250" s="453"/>
      <c r="S250" s="453"/>
      <c r="T250" s="453"/>
      <c r="U250" s="453"/>
      <c r="V250" s="453"/>
      <c r="W250" s="453"/>
      <c r="X250" s="453"/>
      <c r="Y250" s="453"/>
      <c r="Z250" s="489"/>
      <c r="AA250" s="489"/>
      <c r="AB250" s="490"/>
      <c r="AC250" s="453">
        <v>140000</v>
      </c>
      <c r="AD250" s="453"/>
      <c r="AE250" s="453"/>
      <c r="AF250" s="453"/>
      <c r="AG250" s="453"/>
      <c r="AH250" s="453"/>
      <c r="AI250" s="453"/>
      <c r="AJ250" s="453"/>
      <c r="AK250" s="453"/>
      <c r="AL250" s="453"/>
      <c r="AM250" s="453"/>
      <c r="AN250" s="453"/>
      <c r="AO250" s="453"/>
      <c r="AP250" s="453"/>
      <c r="AQ250" s="453"/>
      <c r="AR250" s="453"/>
      <c r="AS250" s="453"/>
      <c r="AT250" s="453"/>
      <c r="AU250" s="453"/>
      <c r="AV250" s="453"/>
      <c r="AW250" s="453"/>
      <c r="AX250" s="453"/>
      <c r="AY250" s="453"/>
      <c r="AZ250" s="453"/>
      <c r="BA250" s="532"/>
      <c r="BB250" s="502"/>
      <c r="BC250" s="503"/>
      <c r="BD250" s="453"/>
      <c r="BE250" s="453"/>
      <c r="BF250" s="470"/>
      <c r="BG250" s="453"/>
      <c r="BH250" s="453"/>
      <c r="BI250" s="453"/>
      <c r="BJ250" s="453"/>
      <c r="BK250" s="453"/>
      <c r="BL250" s="453"/>
      <c r="BM250" s="502"/>
      <c r="BN250" s="490"/>
      <c r="BO250" s="470"/>
      <c r="BP250" s="490"/>
      <c r="BQ250" s="453"/>
      <c r="BR250" s="502"/>
      <c r="BS250" s="524"/>
      <c r="BT250" s="530"/>
    </row>
    <row r="251" s="435" customFormat="1" ht="18" customHeight="1" spans="1:72">
      <c r="A251" s="451" t="s">
        <v>4033</v>
      </c>
      <c r="B251" s="456">
        <v>44288</v>
      </c>
      <c r="C251" s="526">
        <v>1000007021</v>
      </c>
      <c r="D251" s="451"/>
      <c r="E251" s="457"/>
      <c r="F251" s="453"/>
      <c r="G251" s="453"/>
      <c r="H251" s="453"/>
      <c r="I251" s="453"/>
      <c r="J251" s="453"/>
      <c r="K251" s="453"/>
      <c r="L251" s="453"/>
      <c r="M251" s="453"/>
      <c r="N251" s="453"/>
      <c r="O251" s="453"/>
      <c r="P251" s="453"/>
      <c r="Q251" s="453"/>
      <c r="R251" s="453"/>
      <c r="S251" s="453"/>
      <c r="T251" s="453"/>
      <c r="U251" s="453"/>
      <c r="V251" s="453"/>
      <c r="W251" s="453"/>
      <c r="X251" s="453"/>
      <c r="Y251" s="453"/>
      <c r="Z251" s="489"/>
      <c r="AA251" s="489"/>
      <c r="AB251" s="490"/>
      <c r="AC251" s="453"/>
      <c r="AD251" s="453"/>
      <c r="AE251" s="453"/>
      <c r="AF251" s="453"/>
      <c r="AG251" s="453"/>
      <c r="AH251" s="453"/>
      <c r="AI251" s="453"/>
      <c r="AJ251" s="453"/>
      <c r="AK251" s="453"/>
      <c r="AL251" s="453"/>
      <c r="AM251" s="453">
        <v>140000</v>
      </c>
      <c r="AN251" s="453"/>
      <c r="AO251" s="453"/>
      <c r="AP251" s="453"/>
      <c r="AQ251" s="453"/>
      <c r="AR251" s="453"/>
      <c r="AS251" s="453"/>
      <c r="AT251" s="453"/>
      <c r="AU251" s="453"/>
      <c r="AV251" s="453"/>
      <c r="AW251" s="453"/>
      <c r="AX251" s="453"/>
      <c r="AY251" s="453"/>
      <c r="AZ251" s="453"/>
      <c r="BA251" s="532"/>
      <c r="BB251" s="502"/>
      <c r="BC251" s="503"/>
      <c r="BD251" s="453"/>
      <c r="BE251" s="453"/>
      <c r="BF251" s="470"/>
      <c r="BG251" s="453"/>
      <c r="BH251" s="453"/>
      <c r="BI251" s="453"/>
      <c r="BJ251" s="453"/>
      <c r="BK251" s="453"/>
      <c r="BL251" s="453"/>
      <c r="BM251" s="502"/>
      <c r="BN251" s="490"/>
      <c r="BO251" s="470"/>
      <c r="BP251" s="490"/>
      <c r="BQ251" s="453"/>
      <c r="BR251" s="502"/>
      <c r="BS251" s="524"/>
      <c r="BT251" s="530"/>
    </row>
    <row r="252" s="435" customFormat="1" ht="18" customHeight="1" spans="1:72">
      <c r="A252" s="451" t="s">
        <v>4033</v>
      </c>
      <c r="B252" s="456">
        <v>44302</v>
      </c>
      <c r="C252" s="526">
        <v>1000007146</v>
      </c>
      <c r="D252" s="451"/>
      <c r="E252" s="457"/>
      <c r="F252" s="453"/>
      <c r="G252" s="453"/>
      <c r="H252" s="453"/>
      <c r="I252" s="453">
        <v>12000</v>
      </c>
      <c r="J252" s="453"/>
      <c r="K252" s="453"/>
      <c r="L252" s="453"/>
      <c r="M252" s="453"/>
      <c r="N252" s="453"/>
      <c r="O252" s="453"/>
      <c r="P252" s="453"/>
      <c r="Q252" s="453"/>
      <c r="R252" s="453"/>
      <c r="S252" s="453"/>
      <c r="T252" s="453"/>
      <c r="U252" s="453"/>
      <c r="V252" s="453"/>
      <c r="W252" s="453"/>
      <c r="X252" s="453"/>
      <c r="Y252" s="453"/>
      <c r="Z252" s="489"/>
      <c r="AA252" s="489"/>
      <c r="AB252" s="490"/>
      <c r="AC252" s="453"/>
      <c r="AD252" s="453"/>
      <c r="AE252" s="453"/>
      <c r="AF252" s="453"/>
      <c r="AG252" s="453"/>
      <c r="AH252" s="453"/>
      <c r="AI252" s="453"/>
      <c r="AJ252" s="453"/>
      <c r="AK252" s="453"/>
      <c r="AL252" s="453"/>
      <c r="AM252" s="453"/>
      <c r="AN252" s="453"/>
      <c r="AO252" s="453"/>
      <c r="AP252" s="453"/>
      <c r="AQ252" s="453"/>
      <c r="AR252" s="453"/>
      <c r="AS252" s="453"/>
      <c r="AT252" s="453"/>
      <c r="AU252" s="453"/>
      <c r="AV252" s="453"/>
      <c r="AW252" s="453"/>
      <c r="AX252" s="453"/>
      <c r="AY252" s="453"/>
      <c r="AZ252" s="453"/>
      <c r="BA252" s="532"/>
      <c r="BB252" s="502"/>
      <c r="BC252" s="503"/>
      <c r="BD252" s="453"/>
      <c r="BE252" s="453"/>
      <c r="BF252" s="470"/>
      <c r="BG252" s="453"/>
      <c r="BH252" s="453"/>
      <c r="BI252" s="453"/>
      <c r="BJ252" s="453"/>
      <c r="BK252" s="453"/>
      <c r="BL252" s="453"/>
      <c r="BM252" s="502"/>
      <c r="BN252" s="490"/>
      <c r="BO252" s="470"/>
      <c r="BP252" s="490"/>
      <c r="BQ252" s="453"/>
      <c r="BR252" s="502"/>
      <c r="BS252" s="524"/>
      <c r="BT252" s="530"/>
    </row>
    <row r="253" s="435" customFormat="1" ht="18" customHeight="1" spans="1:72">
      <c r="A253" s="451" t="s">
        <v>4033</v>
      </c>
      <c r="B253" s="456">
        <v>44302</v>
      </c>
      <c r="C253" s="526">
        <v>1000007147</v>
      </c>
      <c r="D253" s="451"/>
      <c r="E253" s="457"/>
      <c r="F253" s="453"/>
      <c r="G253" s="453"/>
      <c r="H253" s="453"/>
      <c r="I253" s="453"/>
      <c r="J253" s="453">
        <v>2001</v>
      </c>
      <c r="K253" s="453"/>
      <c r="L253" s="453"/>
      <c r="M253" s="453"/>
      <c r="N253" s="453"/>
      <c r="O253" s="453"/>
      <c r="P253" s="453"/>
      <c r="Q253" s="453"/>
      <c r="R253" s="453"/>
      <c r="S253" s="453"/>
      <c r="T253" s="453"/>
      <c r="U253" s="453"/>
      <c r="V253" s="453"/>
      <c r="W253" s="453"/>
      <c r="X253" s="453"/>
      <c r="Y253" s="453"/>
      <c r="Z253" s="489"/>
      <c r="AA253" s="489"/>
      <c r="AB253" s="490"/>
      <c r="AC253" s="453"/>
      <c r="AD253" s="453"/>
      <c r="AE253" s="453"/>
      <c r="AF253" s="453"/>
      <c r="AG253" s="453"/>
      <c r="AH253" s="453"/>
      <c r="AI253" s="453"/>
      <c r="AJ253" s="453"/>
      <c r="AK253" s="453"/>
      <c r="AL253" s="453"/>
      <c r="AM253" s="453"/>
      <c r="AN253" s="453"/>
      <c r="AO253" s="453"/>
      <c r="AP253" s="453"/>
      <c r="AQ253" s="453"/>
      <c r="AR253" s="453"/>
      <c r="AS253" s="453"/>
      <c r="AT253" s="453"/>
      <c r="AU253" s="453"/>
      <c r="AV253" s="453"/>
      <c r="AW253" s="453"/>
      <c r="AX253" s="453"/>
      <c r="AY253" s="453"/>
      <c r="AZ253" s="453"/>
      <c r="BA253" s="532"/>
      <c r="BB253" s="502"/>
      <c r="BC253" s="503"/>
      <c r="BD253" s="453"/>
      <c r="BE253" s="453"/>
      <c r="BF253" s="470"/>
      <c r="BG253" s="453"/>
      <c r="BH253" s="453"/>
      <c r="BI253" s="453"/>
      <c r="BJ253" s="453"/>
      <c r="BK253" s="453"/>
      <c r="BL253" s="453"/>
      <c r="BM253" s="502"/>
      <c r="BN253" s="490"/>
      <c r="BO253" s="470"/>
      <c r="BP253" s="490"/>
      <c r="BQ253" s="453"/>
      <c r="BR253" s="502"/>
      <c r="BS253" s="524"/>
      <c r="BT253" s="530"/>
    </row>
    <row r="254" s="435" customFormat="1" ht="18" customHeight="1" spans="1:72">
      <c r="A254" s="451" t="s">
        <v>4033</v>
      </c>
      <c r="B254" s="456">
        <v>44302</v>
      </c>
      <c r="C254" s="526">
        <v>1000007148</v>
      </c>
      <c r="D254" s="451"/>
      <c r="E254" s="457"/>
      <c r="F254" s="453"/>
      <c r="G254" s="453"/>
      <c r="H254" s="453"/>
      <c r="I254" s="453"/>
      <c r="J254" s="453"/>
      <c r="K254" s="453">
        <v>10001</v>
      </c>
      <c r="L254" s="453"/>
      <c r="M254" s="453"/>
      <c r="N254" s="453"/>
      <c r="O254" s="453"/>
      <c r="P254" s="453"/>
      <c r="Q254" s="453"/>
      <c r="R254" s="453"/>
      <c r="S254" s="453"/>
      <c r="T254" s="453"/>
      <c r="U254" s="453"/>
      <c r="V254" s="453"/>
      <c r="W254" s="453"/>
      <c r="X254" s="453"/>
      <c r="Y254" s="453"/>
      <c r="Z254" s="489"/>
      <c r="AA254" s="489"/>
      <c r="AB254" s="490"/>
      <c r="AC254" s="453"/>
      <c r="AD254" s="453"/>
      <c r="AE254" s="453"/>
      <c r="AF254" s="453"/>
      <c r="AG254" s="453"/>
      <c r="AH254" s="453"/>
      <c r="AI254" s="453"/>
      <c r="AJ254" s="453"/>
      <c r="AK254" s="453"/>
      <c r="AL254" s="453"/>
      <c r="AM254" s="453"/>
      <c r="AN254" s="453"/>
      <c r="AO254" s="453"/>
      <c r="AP254" s="453"/>
      <c r="AQ254" s="453"/>
      <c r="AR254" s="453"/>
      <c r="AS254" s="453"/>
      <c r="AT254" s="453"/>
      <c r="AU254" s="453"/>
      <c r="AV254" s="453"/>
      <c r="AW254" s="453"/>
      <c r="AX254" s="453"/>
      <c r="AY254" s="453"/>
      <c r="AZ254" s="453"/>
      <c r="BA254" s="532"/>
      <c r="BB254" s="502"/>
      <c r="BC254" s="503"/>
      <c r="BD254" s="453"/>
      <c r="BE254" s="453"/>
      <c r="BF254" s="470"/>
      <c r="BG254" s="453"/>
      <c r="BH254" s="453"/>
      <c r="BI254" s="453"/>
      <c r="BJ254" s="453"/>
      <c r="BK254" s="453"/>
      <c r="BL254" s="453"/>
      <c r="BM254" s="502"/>
      <c r="BN254" s="490"/>
      <c r="BO254" s="470"/>
      <c r="BP254" s="490"/>
      <c r="BQ254" s="453"/>
      <c r="BR254" s="502"/>
      <c r="BS254" s="524"/>
      <c r="BT254" s="530"/>
    </row>
    <row r="255" s="435" customFormat="1" ht="18" customHeight="1" spans="1:72">
      <c r="A255" s="451" t="s">
        <v>4033</v>
      </c>
      <c r="B255" s="456">
        <v>44302</v>
      </c>
      <c r="C255" s="526">
        <v>1000007149</v>
      </c>
      <c r="D255" s="451"/>
      <c r="E255" s="457"/>
      <c r="F255" s="453"/>
      <c r="G255" s="453"/>
      <c r="H255" s="453"/>
      <c r="I255" s="453"/>
      <c r="J255" s="453"/>
      <c r="K255" s="453"/>
      <c r="L255" s="453"/>
      <c r="M255" s="453"/>
      <c r="N255" s="453"/>
      <c r="O255" s="453"/>
      <c r="P255" s="453"/>
      <c r="Q255" s="453"/>
      <c r="R255" s="453">
        <v>35000</v>
      </c>
      <c r="S255" s="453"/>
      <c r="T255" s="453"/>
      <c r="U255" s="453"/>
      <c r="V255" s="453"/>
      <c r="W255" s="453"/>
      <c r="X255" s="453"/>
      <c r="Y255" s="453"/>
      <c r="Z255" s="489"/>
      <c r="AA255" s="489"/>
      <c r="AB255" s="490"/>
      <c r="AC255" s="453"/>
      <c r="AD255" s="453"/>
      <c r="AE255" s="453"/>
      <c r="AF255" s="453"/>
      <c r="AG255" s="453"/>
      <c r="AH255" s="453"/>
      <c r="AI255" s="453"/>
      <c r="AJ255" s="453"/>
      <c r="AK255" s="453"/>
      <c r="AL255" s="453"/>
      <c r="AM255" s="453"/>
      <c r="AN255" s="453"/>
      <c r="AO255" s="453"/>
      <c r="AP255" s="453"/>
      <c r="AQ255" s="453"/>
      <c r="AR255" s="453"/>
      <c r="AS255" s="453"/>
      <c r="AT255" s="453"/>
      <c r="AU255" s="453"/>
      <c r="AV255" s="453"/>
      <c r="AW255" s="453"/>
      <c r="AX255" s="453"/>
      <c r="AY255" s="453"/>
      <c r="AZ255" s="453"/>
      <c r="BA255" s="532"/>
      <c r="BB255" s="502"/>
      <c r="BC255" s="503"/>
      <c r="BD255" s="453"/>
      <c r="BE255" s="453"/>
      <c r="BF255" s="470"/>
      <c r="BG255" s="453"/>
      <c r="BH255" s="453"/>
      <c r="BI255" s="453"/>
      <c r="BJ255" s="453"/>
      <c r="BK255" s="453"/>
      <c r="BL255" s="453"/>
      <c r="BM255" s="502"/>
      <c r="BN255" s="490"/>
      <c r="BO255" s="470"/>
      <c r="BP255" s="490"/>
      <c r="BQ255" s="453"/>
      <c r="BR255" s="502"/>
      <c r="BS255" s="524"/>
      <c r="BT255" s="530"/>
    </row>
    <row r="256" s="435" customFormat="1" ht="18" customHeight="1" spans="1:72">
      <c r="A256" s="451" t="s">
        <v>4033</v>
      </c>
      <c r="B256" s="456">
        <v>44302</v>
      </c>
      <c r="C256" s="526">
        <v>1000007150</v>
      </c>
      <c r="D256" s="451"/>
      <c r="E256" s="457"/>
      <c r="F256" s="453"/>
      <c r="G256" s="453"/>
      <c r="H256" s="453"/>
      <c r="I256" s="453"/>
      <c r="J256" s="453"/>
      <c r="K256" s="453"/>
      <c r="L256" s="453"/>
      <c r="M256" s="453"/>
      <c r="N256" s="453"/>
      <c r="O256" s="453"/>
      <c r="P256" s="453"/>
      <c r="Q256" s="453"/>
      <c r="R256" s="453"/>
      <c r="S256" s="453"/>
      <c r="T256" s="453"/>
      <c r="U256" s="453"/>
      <c r="V256" s="453"/>
      <c r="W256" s="453"/>
      <c r="X256" s="453"/>
      <c r="Y256" s="453"/>
      <c r="Z256" s="489"/>
      <c r="AA256" s="489"/>
      <c r="AB256" s="490"/>
      <c r="AC256" s="453">
        <v>90000</v>
      </c>
      <c r="AD256" s="453"/>
      <c r="AE256" s="453"/>
      <c r="AF256" s="453"/>
      <c r="AG256" s="453"/>
      <c r="AH256" s="453"/>
      <c r="AI256" s="453"/>
      <c r="AJ256" s="453"/>
      <c r="AK256" s="453"/>
      <c r="AL256" s="453"/>
      <c r="AM256" s="453"/>
      <c r="AN256" s="453"/>
      <c r="AO256" s="453"/>
      <c r="AP256" s="453"/>
      <c r="AQ256" s="453"/>
      <c r="AR256" s="453"/>
      <c r="AS256" s="453"/>
      <c r="AT256" s="453"/>
      <c r="AU256" s="453"/>
      <c r="AV256" s="453"/>
      <c r="AW256" s="453"/>
      <c r="AX256" s="453"/>
      <c r="AY256" s="453"/>
      <c r="AZ256" s="453"/>
      <c r="BA256" s="532"/>
      <c r="BB256" s="502"/>
      <c r="BC256" s="503"/>
      <c r="BD256" s="453"/>
      <c r="BE256" s="453"/>
      <c r="BF256" s="470"/>
      <c r="BG256" s="453"/>
      <c r="BH256" s="453"/>
      <c r="BI256" s="453"/>
      <c r="BJ256" s="453"/>
      <c r="BK256" s="453"/>
      <c r="BL256" s="453"/>
      <c r="BM256" s="502"/>
      <c r="BN256" s="490"/>
      <c r="BO256" s="470"/>
      <c r="BP256" s="490"/>
      <c r="BQ256" s="453"/>
      <c r="BR256" s="502"/>
      <c r="BS256" s="524"/>
      <c r="BT256" s="530"/>
    </row>
    <row r="257" s="435" customFormat="1" ht="18" customHeight="1" spans="1:72">
      <c r="A257" s="451" t="s">
        <v>4033</v>
      </c>
      <c r="B257" s="456">
        <v>44302</v>
      </c>
      <c r="C257" s="526" t="s">
        <v>4037</v>
      </c>
      <c r="D257" s="451"/>
      <c r="E257" s="457"/>
      <c r="F257" s="453"/>
      <c r="G257" s="453"/>
      <c r="H257" s="453"/>
      <c r="I257" s="453"/>
      <c r="J257" s="453"/>
      <c r="K257" s="453"/>
      <c r="L257" s="453"/>
      <c r="M257" s="453"/>
      <c r="N257" s="453"/>
      <c r="O257" s="453"/>
      <c r="P257" s="453"/>
      <c r="Q257" s="453"/>
      <c r="R257" s="453"/>
      <c r="S257" s="453"/>
      <c r="T257" s="453"/>
      <c r="U257" s="453"/>
      <c r="V257" s="453"/>
      <c r="W257" s="453"/>
      <c r="X257" s="453"/>
      <c r="Y257" s="453"/>
      <c r="Z257" s="489"/>
      <c r="AA257" s="489"/>
      <c r="AB257" s="490"/>
      <c r="AC257" s="453"/>
      <c r="AD257" s="453"/>
      <c r="AE257" s="453"/>
      <c r="AF257" s="453"/>
      <c r="AG257" s="453"/>
      <c r="AH257" s="453"/>
      <c r="AI257" s="453"/>
      <c r="AJ257" s="453"/>
      <c r="AK257" s="453"/>
      <c r="AL257" s="453"/>
      <c r="AM257" s="453"/>
      <c r="AN257" s="453">
        <v>110000</v>
      </c>
      <c r="AO257" s="453"/>
      <c r="AP257" s="453"/>
      <c r="AQ257" s="453"/>
      <c r="AR257" s="453"/>
      <c r="AS257" s="453"/>
      <c r="AT257" s="453"/>
      <c r="AU257" s="453"/>
      <c r="AV257" s="453"/>
      <c r="AW257" s="453"/>
      <c r="AX257" s="453"/>
      <c r="AY257" s="453"/>
      <c r="AZ257" s="453"/>
      <c r="BA257" s="532"/>
      <c r="BB257" s="502"/>
      <c r="BC257" s="503"/>
      <c r="BD257" s="453"/>
      <c r="BE257" s="453"/>
      <c r="BF257" s="470"/>
      <c r="BG257" s="453"/>
      <c r="BH257" s="453"/>
      <c r="BI257" s="453"/>
      <c r="BJ257" s="453"/>
      <c r="BK257" s="453"/>
      <c r="BL257" s="453"/>
      <c r="BM257" s="502"/>
      <c r="BN257" s="490"/>
      <c r="BO257" s="470"/>
      <c r="BP257" s="490"/>
      <c r="BQ257" s="453"/>
      <c r="BR257" s="502"/>
      <c r="BS257" s="524"/>
      <c r="BT257" s="530"/>
    </row>
    <row r="258" s="435" customFormat="1" ht="18" customHeight="1" spans="1:72">
      <c r="A258" s="451" t="s">
        <v>4033</v>
      </c>
      <c r="B258" s="456">
        <v>44302</v>
      </c>
      <c r="C258" s="526">
        <v>1000007152</v>
      </c>
      <c r="D258" s="451"/>
      <c r="E258" s="457"/>
      <c r="F258" s="453"/>
      <c r="G258" s="453"/>
      <c r="H258" s="453"/>
      <c r="I258" s="453"/>
      <c r="J258" s="453"/>
      <c r="K258" s="453"/>
      <c r="L258" s="453"/>
      <c r="M258" s="453"/>
      <c r="N258" s="453"/>
      <c r="O258" s="453"/>
      <c r="P258" s="453"/>
      <c r="Q258" s="453"/>
      <c r="R258" s="453"/>
      <c r="S258" s="453"/>
      <c r="T258" s="453"/>
      <c r="U258" s="453"/>
      <c r="V258" s="453"/>
      <c r="W258" s="453"/>
      <c r="X258" s="453"/>
      <c r="Y258" s="453"/>
      <c r="Z258" s="489"/>
      <c r="AA258" s="489"/>
      <c r="AB258" s="490"/>
      <c r="AC258" s="453"/>
      <c r="AD258" s="453"/>
      <c r="AE258" s="453"/>
      <c r="AF258" s="453"/>
      <c r="AG258" s="453"/>
      <c r="AH258" s="453">
        <v>30000</v>
      </c>
      <c r="AI258" s="453"/>
      <c r="AJ258" s="453"/>
      <c r="AK258" s="453"/>
      <c r="AL258" s="453"/>
      <c r="AM258" s="453"/>
      <c r="AN258" s="453"/>
      <c r="AO258" s="453"/>
      <c r="AP258" s="453"/>
      <c r="AQ258" s="453"/>
      <c r="AR258" s="453">
        <v>30000</v>
      </c>
      <c r="AS258" s="453"/>
      <c r="AT258" s="453"/>
      <c r="AU258" s="453"/>
      <c r="AV258" s="453"/>
      <c r="AW258" s="453"/>
      <c r="AX258" s="453"/>
      <c r="AY258" s="453"/>
      <c r="AZ258" s="453"/>
      <c r="BA258" s="532"/>
      <c r="BB258" s="502"/>
      <c r="BC258" s="503"/>
      <c r="BD258" s="453"/>
      <c r="BE258" s="453"/>
      <c r="BF258" s="470"/>
      <c r="BG258" s="453"/>
      <c r="BH258" s="453"/>
      <c r="BI258" s="453"/>
      <c r="BJ258" s="453"/>
      <c r="BK258" s="453"/>
      <c r="BL258" s="453"/>
      <c r="BM258" s="502"/>
      <c r="BN258" s="490"/>
      <c r="BO258" s="470"/>
      <c r="BP258" s="490"/>
      <c r="BQ258" s="453"/>
      <c r="BR258" s="502"/>
      <c r="BS258" s="524"/>
      <c r="BT258" s="530"/>
    </row>
    <row r="259" s="435" customFormat="1" ht="18" customHeight="1" spans="1:72">
      <c r="A259" s="451"/>
      <c r="B259" s="456">
        <v>44315</v>
      </c>
      <c r="C259" s="526">
        <v>1000007277</v>
      </c>
      <c r="D259" s="451"/>
      <c r="E259" s="457"/>
      <c r="F259" s="453"/>
      <c r="G259" s="453"/>
      <c r="H259" s="453"/>
      <c r="I259" s="453"/>
      <c r="J259" s="453"/>
      <c r="K259" s="453"/>
      <c r="L259" s="453"/>
      <c r="M259" s="453"/>
      <c r="N259" s="453"/>
      <c r="O259" s="453"/>
      <c r="P259" s="453"/>
      <c r="Q259" s="453"/>
      <c r="R259" s="453"/>
      <c r="S259" s="453"/>
      <c r="T259" s="453"/>
      <c r="U259" s="453"/>
      <c r="V259" s="453"/>
      <c r="W259" s="453"/>
      <c r="X259" s="453"/>
      <c r="Y259" s="453"/>
      <c r="Z259" s="489"/>
      <c r="AA259" s="489"/>
      <c r="AB259" s="490"/>
      <c r="AC259" s="453"/>
      <c r="AD259" s="453"/>
      <c r="AE259" s="453"/>
      <c r="AF259" s="453"/>
      <c r="AG259" s="453"/>
      <c r="AH259" s="453"/>
      <c r="AI259" s="453"/>
      <c r="AJ259" s="453"/>
      <c r="AK259" s="453"/>
      <c r="AL259" s="453"/>
      <c r="AM259" s="453"/>
      <c r="AN259" s="453"/>
      <c r="AO259" s="453"/>
      <c r="AP259" s="453"/>
      <c r="AQ259" s="453"/>
      <c r="AR259" s="453"/>
      <c r="AS259" s="453"/>
      <c r="AT259" s="453"/>
      <c r="AU259" s="453"/>
      <c r="AV259" s="453"/>
      <c r="AW259" s="453"/>
      <c r="AX259" s="453"/>
      <c r="AY259" s="453"/>
      <c r="AZ259" s="453"/>
      <c r="BA259" s="532">
        <v>31280</v>
      </c>
      <c r="BB259" s="502"/>
      <c r="BC259" s="503"/>
      <c r="BD259" s="453"/>
      <c r="BE259" s="453"/>
      <c r="BF259" s="470"/>
      <c r="BG259" s="453"/>
      <c r="BH259" s="453"/>
      <c r="BI259" s="453"/>
      <c r="BJ259" s="453"/>
      <c r="BK259" s="453"/>
      <c r="BL259" s="453"/>
      <c r="BM259" s="502"/>
      <c r="BN259" s="490"/>
      <c r="BO259" s="470"/>
      <c r="BP259" s="490"/>
      <c r="BQ259" s="453"/>
      <c r="BR259" s="502"/>
      <c r="BS259" s="524"/>
      <c r="BT259" s="530"/>
    </row>
    <row r="260" s="435" customFormat="1" ht="18" customHeight="1" spans="1:72">
      <c r="A260" s="451"/>
      <c r="B260" s="456">
        <v>44315</v>
      </c>
      <c r="C260" s="526">
        <v>1000007278</v>
      </c>
      <c r="D260" s="451"/>
      <c r="E260" s="457"/>
      <c r="F260" s="453"/>
      <c r="G260" s="453"/>
      <c r="H260" s="453"/>
      <c r="I260" s="453"/>
      <c r="J260" s="453"/>
      <c r="K260" s="453"/>
      <c r="L260" s="453"/>
      <c r="M260" s="453"/>
      <c r="N260" s="453"/>
      <c r="O260" s="453"/>
      <c r="P260" s="453"/>
      <c r="Q260" s="453"/>
      <c r="R260" s="453"/>
      <c r="S260" s="453"/>
      <c r="T260" s="453"/>
      <c r="U260" s="453"/>
      <c r="V260" s="453"/>
      <c r="W260" s="453"/>
      <c r="X260" s="453"/>
      <c r="Y260" s="453"/>
      <c r="Z260" s="489"/>
      <c r="AA260" s="489"/>
      <c r="AB260" s="490"/>
      <c r="AC260" s="453"/>
      <c r="AD260" s="453"/>
      <c r="AE260" s="453"/>
      <c r="AF260" s="453"/>
      <c r="AG260" s="453"/>
      <c r="AH260" s="453"/>
      <c r="AI260" s="453"/>
      <c r="AJ260" s="453"/>
      <c r="AK260" s="453"/>
      <c r="AL260" s="453"/>
      <c r="AM260" s="453"/>
      <c r="AN260" s="453"/>
      <c r="AO260" s="453"/>
      <c r="AP260" s="453"/>
      <c r="AQ260" s="453"/>
      <c r="AR260" s="453"/>
      <c r="AS260" s="453"/>
      <c r="AT260" s="453"/>
      <c r="AU260" s="453"/>
      <c r="AV260" s="453"/>
      <c r="AW260" s="453"/>
      <c r="AX260" s="453"/>
      <c r="AY260" s="453"/>
      <c r="AZ260" s="453"/>
      <c r="BA260" s="532"/>
      <c r="BB260" s="502">
        <v>28400</v>
      </c>
      <c r="BC260" s="503"/>
      <c r="BD260" s="453"/>
      <c r="BE260" s="453"/>
      <c r="BF260" s="470"/>
      <c r="BG260" s="453"/>
      <c r="BH260" s="453"/>
      <c r="BI260" s="453"/>
      <c r="BJ260" s="453"/>
      <c r="BK260" s="453"/>
      <c r="BL260" s="453"/>
      <c r="BM260" s="502"/>
      <c r="BN260" s="490"/>
      <c r="BO260" s="470"/>
      <c r="BP260" s="490"/>
      <c r="BQ260" s="453"/>
      <c r="BR260" s="502"/>
      <c r="BS260" s="524"/>
      <c r="BT260" s="530"/>
    </row>
    <row r="261" s="435" customFormat="1" ht="18" customHeight="1" spans="1:72">
      <c r="A261" s="451" t="s">
        <v>4033</v>
      </c>
      <c r="B261" s="456">
        <v>44315</v>
      </c>
      <c r="C261" s="526">
        <v>1000007314</v>
      </c>
      <c r="D261" s="451"/>
      <c r="E261" s="457"/>
      <c r="F261" s="453"/>
      <c r="G261" s="453"/>
      <c r="H261" s="453"/>
      <c r="I261" s="453"/>
      <c r="J261" s="453"/>
      <c r="K261" s="453"/>
      <c r="L261" s="453"/>
      <c r="M261" s="453"/>
      <c r="N261" s="453"/>
      <c r="O261" s="453"/>
      <c r="P261" s="453"/>
      <c r="Q261" s="453"/>
      <c r="R261" s="453"/>
      <c r="S261" s="453"/>
      <c r="T261" s="453"/>
      <c r="U261" s="453"/>
      <c r="V261" s="453"/>
      <c r="W261" s="453"/>
      <c r="X261" s="453"/>
      <c r="Y261" s="453"/>
      <c r="Z261" s="489"/>
      <c r="AA261" s="489"/>
      <c r="AB261" s="490"/>
      <c r="AC261" s="453">
        <v>50000</v>
      </c>
      <c r="AD261" s="453"/>
      <c r="AE261" s="453"/>
      <c r="AF261" s="453"/>
      <c r="AG261" s="453"/>
      <c r="AH261" s="453"/>
      <c r="AI261" s="453"/>
      <c r="AJ261" s="453"/>
      <c r="AK261" s="453"/>
      <c r="AL261" s="453"/>
      <c r="AM261" s="453"/>
      <c r="AN261" s="453"/>
      <c r="AO261" s="453"/>
      <c r="AP261" s="453"/>
      <c r="AQ261" s="453"/>
      <c r="AR261" s="453"/>
      <c r="AS261" s="453"/>
      <c r="AT261" s="453"/>
      <c r="AU261" s="453"/>
      <c r="AV261" s="453"/>
      <c r="AW261" s="453"/>
      <c r="AX261" s="453"/>
      <c r="AY261" s="453"/>
      <c r="AZ261" s="453"/>
      <c r="BA261" s="532"/>
      <c r="BB261" s="502"/>
      <c r="BC261" s="503"/>
      <c r="BD261" s="453"/>
      <c r="BE261" s="453"/>
      <c r="BF261" s="470"/>
      <c r="BG261" s="453"/>
      <c r="BH261" s="453"/>
      <c r="BI261" s="453"/>
      <c r="BJ261" s="453"/>
      <c r="BK261" s="453"/>
      <c r="BL261" s="453"/>
      <c r="BM261" s="502"/>
      <c r="BN261" s="490"/>
      <c r="BO261" s="470"/>
      <c r="BP261" s="490"/>
      <c r="BQ261" s="453"/>
      <c r="BR261" s="502"/>
      <c r="BS261" s="524"/>
      <c r="BT261" s="530"/>
    </row>
    <row r="262" s="435" customFormat="1" ht="18" customHeight="1" spans="1:72">
      <c r="A262" s="451" t="s">
        <v>4033</v>
      </c>
      <c r="B262" s="456">
        <v>44315</v>
      </c>
      <c r="C262" s="526">
        <v>1000007315</v>
      </c>
      <c r="D262" s="451"/>
      <c r="E262" s="457"/>
      <c r="F262" s="453"/>
      <c r="G262" s="453"/>
      <c r="H262" s="453"/>
      <c r="I262" s="453"/>
      <c r="J262" s="453"/>
      <c r="K262" s="453"/>
      <c r="L262" s="453"/>
      <c r="M262" s="453"/>
      <c r="N262" s="453"/>
      <c r="O262" s="453"/>
      <c r="P262" s="453"/>
      <c r="Q262" s="453"/>
      <c r="R262" s="453"/>
      <c r="S262" s="453"/>
      <c r="T262" s="453"/>
      <c r="U262" s="453"/>
      <c r="V262" s="453"/>
      <c r="W262" s="453"/>
      <c r="X262" s="453"/>
      <c r="Y262" s="453"/>
      <c r="Z262" s="489"/>
      <c r="AA262" s="489"/>
      <c r="AB262" s="490"/>
      <c r="AC262" s="453"/>
      <c r="AD262" s="453"/>
      <c r="AE262" s="453"/>
      <c r="AF262" s="453"/>
      <c r="AG262" s="453"/>
      <c r="AH262" s="453"/>
      <c r="AI262" s="453"/>
      <c r="AJ262" s="453"/>
      <c r="AK262" s="453"/>
      <c r="AL262" s="453"/>
      <c r="AM262" s="453"/>
      <c r="AN262" s="453">
        <v>65000</v>
      </c>
      <c r="AO262" s="453"/>
      <c r="AP262" s="453"/>
      <c r="AQ262" s="453"/>
      <c r="AR262" s="453"/>
      <c r="AS262" s="453"/>
      <c r="AT262" s="453"/>
      <c r="AU262" s="453"/>
      <c r="AV262" s="453"/>
      <c r="AW262" s="453"/>
      <c r="AX262" s="453"/>
      <c r="AY262" s="453"/>
      <c r="AZ262" s="453"/>
      <c r="BA262" s="532"/>
      <c r="BB262" s="502"/>
      <c r="BC262" s="503"/>
      <c r="BD262" s="453"/>
      <c r="BE262" s="453"/>
      <c r="BF262" s="470"/>
      <c r="BG262" s="453"/>
      <c r="BH262" s="453"/>
      <c r="BI262" s="453"/>
      <c r="BJ262" s="453"/>
      <c r="BK262" s="453"/>
      <c r="BL262" s="453"/>
      <c r="BM262" s="502"/>
      <c r="BN262" s="490"/>
      <c r="BO262" s="470"/>
      <c r="BP262" s="490"/>
      <c r="BQ262" s="453"/>
      <c r="BR262" s="502"/>
      <c r="BS262" s="524"/>
      <c r="BT262" s="530"/>
    </row>
    <row r="263" s="435" customFormat="1" ht="18" customHeight="1" spans="1:72">
      <c r="A263" s="451" t="s">
        <v>4033</v>
      </c>
      <c r="B263" s="456">
        <v>44315</v>
      </c>
      <c r="C263" s="526">
        <v>1000007316</v>
      </c>
      <c r="D263" s="451"/>
      <c r="E263" s="457"/>
      <c r="F263" s="453"/>
      <c r="G263" s="453"/>
      <c r="H263" s="453"/>
      <c r="I263" s="453"/>
      <c r="J263" s="453"/>
      <c r="K263" s="453"/>
      <c r="L263" s="453"/>
      <c r="M263" s="453"/>
      <c r="N263" s="453"/>
      <c r="O263" s="453"/>
      <c r="P263" s="453"/>
      <c r="Q263" s="453"/>
      <c r="R263" s="453"/>
      <c r="S263" s="453"/>
      <c r="T263" s="453"/>
      <c r="U263" s="453"/>
      <c r="V263" s="453"/>
      <c r="W263" s="453"/>
      <c r="X263" s="453"/>
      <c r="Y263" s="453"/>
      <c r="Z263" s="489"/>
      <c r="AA263" s="489"/>
      <c r="AB263" s="490"/>
      <c r="AC263" s="453"/>
      <c r="AD263" s="453"/>
      <c r="AE263" s="453"/>
      <c r="AF263" s="453"/>
      <c r="AG263" s="453"/>
      <c r="AH263" s="453">
        <v>20001</v>
      </c>
      <c r="AI263" s="453"/>
      <c r="AJ263" s="453"/>
      <c r="AK263" s="453"/>
      <c r="AL263" s="453"/>
      <c r="AM263" s="453"/>
      <c r="AN263" s="453"/>
      <c r="AO263" s="453"/>
      <c r="AP263" s="453"/>
      <c r="AQ263" s="453"/>
      <c r="AR263" s="453"/>
      <c r="AS263" s="453"/>
      <c r="AT263" s="453"/>
      <c r="AU263" s="453"/>
      <c r="AV263" s="453"/>
      <c r="AW263" s="453"/>
      <c r="AX263" s="453"/>
      <c r="AY263" s="453"/>
      <c r="AZ263" s="453"/>
      <c r="BA263" s="532"/>
      <c r="BB263" s="502"/>
      <c r="BC263" s="503"/>
      <c r="BD263" s="453"/>
      <c r="BE263" s="453"/>
      <c r="BF263" s="470"/>
      <c r="BG263" s="453"/>
      <c r="BH263" s="453"/>
      <c r="BI263" s="453"/>
      <c r="BJ263" s="453"/>
      <c r="BK263" s="453"/>
      <c r="BL263" s="453"/>
      <c r="BM263" s="502"/>
      <c r="BN263" s="490"/>
      <c r="BO263" s="470"/>
      <c r="BP263" s="490"/>
      <c r="BQ263" s="453"/>
      <c r="BR263" s="502"/>
      <c r="BS263" s="524"/>
      <c r="BT263" s="530"/>
    </row>
    <row r="264" s="435" customFormat="1" ht="18" customHeight="1" spans="1:72">
      <c r="A264" s="451" t="s">
        <v>4033</v>
      </c>
      <c r="B264" s="456">
        <v>44315</v>
      </c>
      <c r="C264" s="526">
        <v>1000007317</v>
      </c>
      <c r="D264" s="451"/>
      <c r="E264" s="457"/>
      <c r="F264" s="453"/>
      <c r="G264" s="453"/>
      <c r="H264" s="453"/>
      <c r="I264" s="453"/>
      <c r="J264" s="453"/>
      <c r="K264" s="453"/>
      <c r="L264" s="453"/>
      <c r="M264" s="453"/>
      <c r="N264" s="453"/>
      <c r="O264" s="453"/>
      <c r="P264" s="453"/>
      <c r="Q264" s="453"/>
      <c r="R264" s="453"/>
      <c r="S264" s="453"/>
      <c r="T264" s="453"/>
      <c r="U264" s="453"/>
      <c r="V264" s="453"/>
      <c r="W264" s="453"/>
      <c r="X264" s="453"/>
      <c r="Y264" s="453"/>
      <c r="Z264" s="489"/>
      <c r="AA264" s="489"/>
      <c r="AB264" s="490"/>
      <c r="AC264" s="453"/>
      <c r="AD264" s="453"/>
      <c r="AE264" s="453"/>
      <c r="AF264" s="453"/>
      <c r="AG264" s="453"/>
      <c r="AH264" s="453"/>
      <c r="AI264" s="453"/>
      <c r="AJ264" s="453"/>
      <c r="AK264" s="453"/>
      <c r="AL264" s="453"/>
      <c r="AM264" s="453"/>
      <c r="AN264" s="453"/>
      <c r="AO264" s="453"/>
      <c r="AP264" s="453"/>
      <c r="AQ264" s="453"/>
      <c r="AR264" s="453">
        <v>20001</v>
      </c>
      <c r="AS264" s="453"/>
      <c r="AT264" s="453"/>
      <c r="AU264" s="453"/>
      <c r="AV264" s="453"/>
      <c r="AW264" s="453"/>
      <c r="AX264" s="453"/>
      <c r="AY264" s="453"/>
      <c r="AZ264" s="453"/>
      <c r="BA264" s="532"/>
      <c r="BB264" s="502"/>
      <c r="BC264" s="503"/>
      <c r="BD264" s="453"/>
      <c r="BE264" s="453"/>
      <c r="BF264" s="470"/>
      <c r="BG264" s="453"/>
      <c r="BH264" s="453"/>
      <c r="BI264" s="453"/>
      <c r="BJ264" s="453"/>
      <c r="BK264" s="453"/>
      <c r="BL264" s="453"/>
      <c r="BM264" s="502"/>
      <c r="BN264" s="490"/>
      <c r="BO264" s="470"/>
      <c r="BP264" s="490"/>
      <c r="BQ264" s="453"/>
      <c r="BR264" s="502"/>
      <c r="BS264" s="524"/>
      <c r="BT264" s="530"/>
    </row>
    <row r="265" s="435" customFormat="1" ht="18" customHeight="1" spans="1:72">
      <c r="A265" s="451" t="s">
        <v>4033</v>
      </c>
      <c r="B265" s="456">
        <v>44315</v>
      </c>
      <c r="C265" s="526">
        <v>1000007318</v>
      </c>
      <c r="D265" s="451"/>
      <c r="E265" s="457"/>
      <c r="F265" s="453"/>
      <c r="G265" s="453"/>
      <c r="H265" s="453"/>
      <c r="I265" s="453"/>
      <c r="J265" s="453"/>
      <c r="K265" s="453"/>
      <c r="L265" s="453"/>
      <c r="M265" s="453"/>
      <c r="N265" s="453"/>
      <c r="O265" s="453"/>
      <c r="P265" s="453"/>
      <c r="Q265" s="453"/>
      <c r="R265" s="453"/>
      <c r="S265" s="453"/>
      <c r="T265" s="453"/>
      <c r="U265" s="453"/>
      <c r="V265" s="453"/>
      <c r="W265" s="453"/>
      <c r="X265" s="453"/>
      <c r="Y265" s="453"/>
      <c r="Z265" s="489"/>
      <c r="AA265" s="489"/>
      <c r="AB265" s="490"/>
      <c r="AC265" s="453"/>
      <c r="AD265" s="453"/>
      <c r="AE265" s="453"/>
      <c r="AF265" s="453"/>
      <c r="AG265" s="453"/>
      <c r="AH265" s="453"/>
      <c r="AI265" s="453"/>
      <c r="AJ265" s="453"/>
      <c r="AK265" s="453"/>
      <c r="AL265" s="453"/>
      <c r="AM265" s="453"/>
      <c r="AN265" s="453"/>
      <c r="AO265" s="453"/>
      <c r="AP265" s="453"/>
      <c r="AQ265" s="453"/>
      <c r="AR265" s="453"/>
      <c r="AS265" s="453"/>
      <c r="AT265" s="453"/>
      <c r="AU265" s="453"/>
      <c r="AV265" s="453"/>
      <c r="AW265" s="453"/>
      <c r="AX265" s="453"/>
      <c r="AY265" s="453"/>
      <c r="AZ265" s="453"/>
      <c r="BA265" s="532"/>
      <c r="BB265" s="502"/>
      <c r="BC265" s="503"/>
      <c r="BD265" s="453"/>
      <c r="BE265" s="453">
        <v>3001</v>
      </c>
      <c r="BF265" s="470"/>
      <c r="BG265" s="453"/>
      <c r="BH265" s="453"/>
      <c r="BI265" s="453"/>
      <c r="BJ265" s="453"/>
      <c r="BK265" s="453"/>
      <c r="BL265" s="453"/>
      <c r="BM265" s="502"/>
      <c r="BN265" s="490"/>
      <c r="BO265" s="470"/>
      <c r="BP265" s="490"/>
      <c r="BQ265" s="453"/>
      <c r="BR265" s="502"/>
      <c r="BS265" s="524"/>
      <c r="BT265" s="530"/>
    </row>
    <row r="266" s="435" customFormat="1" ht="18" customHeight="1" spans="1:72">
      <c r="A266" s="451" t="s">
        <v>4033</v>
      </c>
      <c r="B266" s="456">
        <v>44315</v>
      </c>
      <c r="C266" s="526">
        <v>1000007319</v>
      </c>
      <c r="D266" s="451"/>
      <c r="E266" s="457"/>
      <c r="F266" s="453"/>
      <c r="G266" s="453"/>
      <c r="H266" s="453"/>
      <c r="I266" s="453"/>
      <c r="J266" s="453"/>
      <c r="K266" s="453"/>
      <c r="L266" s="453"/>
      <c r="M266" s="453"/>
      <c r="N266" s="453"/>
      <c r="O266" s="453"/>
      <c r="P266" s="453"/>
      <c r="Q266" s="453"/>
      <c r="R266" s="453"/>
      <c r="S266" s="453"/>
      <c r="T266" s="453"/>
      <c r="U266" s="453"/>
      <c r="V266" s="453"/>
      <c r="W266" s="453"/>
      <c r="X266" s="453"/>
      <c r="Y266" s="453"/>
      <c r="Z266" s="489"/>
      <c r="AA266" s="489"/>
      <c r="AB266" s="490"/>
      <c r="AC266" s="453"/>
      <c r="AD266" s="453"/>
      <c r="AE266" s="453"/>
      <c r="AF266" s="453"/>
      <c r="AG266" s="453"/>
      <c r="AH266" s="453"/>
      <c r="AI266" s="453"/>
      <c r="AJ266" s="453"/>
      <c r="AK266" s="453"/>
      <c r="AL266" s="453"/>
      <c r="AM266" s="453"/>
      <c r="AN266" s="453"/>
      <c r="AO266" s="453"/>
      <c r="AP266" s="453"/>
      <c r="AQ266" s="453"/>
      <c r="AR266" s="453"/>
      <c r="AS266" s="453"/>
      <c r="AT266" s="453"/>
      <c r="AU266" s="453"/>
      <c r="AV266" s="453"/>
      <c r="AW266" s="453"/>
      <c r="AX266" s="453"/>
      <c r="AY266" s="453"/>
      <c r="AZ266" s="453"/>
      <c r="BA266" s="532"/>
      <c r="BB266" s="502"/>
      <c r="BC266" s="503">
        <v>10001</v>
      </c>
      <c r="BD266" s="453"/>
      <c r="BE266" s="453"/>
      <c r="BF266" s="470"/>
      <c r="BG266" s="453"/>
      <c r="BH266" s="453"/>
      <c r="BI266" s="453"/>
      <c r="BJ266" s="453"/>
      <c r="BK266" s="453"/>
      <c r="BL266" s="453"/>
      <c r="BM266" s="502"/>
      <c r="BN266" s="490"/>
      <c r="BO266" s="470"/>
      <c r="BP266" s="490"/>
      <c r="BQ266" s="453"/>
      <c r="BR266" s="502"/>
      <c r="BS266" s="524"/>
      <c r="BT266" s="530"/>
    </row>
    <row r="267" s="435" customFormat="1" ht="18" customHeight="1" spans="1:72">
      <c r="A267" s="451" t="s">
        <v>4033</v>
      </c>
      <c r="B267" s="456">
        <v>44315</v>
      </c>
      <c r="C267" s="526">
        <v>1000007320</v>
      </c>
      <c r="D267" s="451"/>
      <c r="E267" s="457"/>
      <c r="F267" s="453"/>
      <c r="G267" s="453"/>
      <c r="H267" s="453"/>
      <c r="I267" s="453"/>
      <c r="J267" s="453"/>
      <c r="K267" s="453"/>
      <c r="L267" s="453"/>
      <c r="M267" s="453"/>
      <c r="N267" s="453"/>
      <c r="O267" s="453"/>
      <c r="P267" s="453"/>
      <c r="Q267" s="453"/>
      <c r="R267" s="453"/>
      <c r="S267" s="453"/>
      <c r="T267" s="453"/>
      <c r="U267" s="453"/>
      <c r="V267" s="453"/>
      <c r="W267" s="453"/>
      <c r="X267" s="453"/>
      <c r="Y267" s="453"/>
      <c r="Z267" s="489"/>
      <c r="AA267" s="489"/>
      <c r="AB267" s="490"/>
      <c r="AC267" s="453"/>
      <c r="AD267" s="453"/>
      <c r="AE267" s="453"/>
      <c r="AF267" s="453"/>
      <c r="AG267" s="453"/>
      <c r="AH267" s="453"/>
      <c r="AI267" s="453"/>
      <c r="AJ267" s="453"/>
      <c r="AK267" s="453"/>
      <c r="AL267" s="453"/>
      <c r="AM267" s="453"/>
      <c r="AN267" s="453"/>
      <c r="AO267" s="453"/>
      <c r="AP267" s="453"/>
      <c r="AQ267" s="453"/>
      <c r="AR267" s="453"/>
      <c r="AS267" s="453"/>
      <c r="AT267" s="453"/>
      <c r="AU267" s="453"/>
      <c r="AV267" s="453"/>
      <c r="AW267" s="453"/>
      <c r="AX267" s="453"/>
      <c r="AY267" s="453"/>
      <c r="AZ267" s="453"/>
      <c r="BA267" s="532"/>
      <c r="BB267" s="502"/>
      <c r="BC267" s="503"/>
      <c r="BD267" s="453">
        <v>5001</v>
      </c>
      <c r="BE267" s="453"/>
      <c r="BF267" s="470"/>
      <c r="BG267" s="453"/>
      <c r="BH267" s="453"/>
      <c r="BI267" s="453"/>
      <c r="BJ267" s="453"/>
      <c r="BK267" s="453"/>
      <c r="BL267" s="453"/>
      <c r="BM267" s="502"/>
      <c r="BN267" s="490"/>
      <c r="BO267" s="470"/>
      <c r="BP267" s="490"/>
      <c r="BQ267" s="453"/>
      <c r="BR267" s="502"/>
      <c r="BS267" s="524"/>
      <c r="BT267" s="530"/>
    </row>
    <row r="268" s="435" customFormat="1" ht="18" customHeight="1" spans="1:72">
      <c r="A268" s="451" t="s">
        <v>4033</v>
      </c>
      <c r="B268" s="456">
        <v>44341</v>
      </c>
      <c r="C268" s="460">
        <v>1000007480</v>
      </c>
      <c r="D268" s="451"/>
      <c r="E268" s="457"/>
      <c r="F268" s="453"/>
      <c r="G268" s="453"/>
      <c r="H268" s="453"/>
      <c r="I268" s="453"/>
      <c r="J268" s="453"/>
      <c r="K268" s="453"/>
      <c r="L268" s="453"/>
      <c r="M268" s="453"/>
      <c r="N268" s="453"/>
      <c r="O268" s="453"/>
      <c r="P268" s="453"/>
      <c r="Q268" s="453"/>
      <c r="R268" s="453"/>
      <c r="S268" s="453"/>
      <c r="T268" s="453"/>
      <c r="U268" s="453"/>
      <c r="V268" s="453"/>
      <c r="W268" s="453"/>
      <c r="X268" s="453"/>
      <c r="Y268" s="453"/>
      <c r="Z268" s="489"/>
      <c r="AA268" s="489"/>
      <c r="AB268" s="490"/>
      <c r="AC268" s="453"/>
      <c r="AD268" s="453"/>
      <c r="AE268" s="453"/>
      <c r="AF268" s="453"/>
      <c r="AG268" s="453"/>
      <c r="AH268" s="453"/>
      <c r="AI268" s="453"/>
      <c r="AJ268" s="453"/>
      <c r="AK268" s="453"/>
      <c r="AL268" s="453"/>
      <c r="AM268" s="453"/>
      <c r="AN268" s="453"/>
      <c r="AO268" s="453"/>
      <c r="AP268" s="453"/>
      <c r="AQ268" s="453"/>
      <c r="AR268" s="453"/>
      <c r="AS268" s="453"/>
      <c r="AT268" s="453"/>
      <c r="AU268" s="453"/>
      <c r="AV268" s="453"/>
      <c r="AW268" s="453"/>
      <c r="AX268" s="453"/>
      <c r="AY268" s="453"/>
      <c r="AZ268" s="453"/>
      <c r="BA268" s="532">
        <v>10240</v>
      </c>
      <c r="BB268" s="502"/>
      <c r="BC268" s="503"/>
      <c r="BD268" s="453"/>
      <c r="BE268" s="453"/>
      <c r="BF268" s="470"/>
      <c r="BG268" s="453"/>
      <c r="BH268" s="453"/>
      <c r="BI268" s="453"/>
      <c r="BJ268" s="453"/>
      <c r="BK268" s="453"/>
      <c r="BL268" s="453"/>
      <c r="BM268" s="502"/>
      <c r="BN268" s="490"/>
      <c r="BO268" s="470"/>
      <c r="BP268" s="490"/>
      <c r="BQ268" s="453"/>
      <c r="BR268" s="502"/>
      <c r="BS268" s="524"/>
      <c r="BT268" s="530"/>
    </row>
    <row r="269" s="435" customFormat="1" ht="18" customHeight="1" spans="1:72">
      <c r="A269" s="451" t="s">
        <v>4033</v>
      </c>
      <c r="B269" s="456">
        <v>44341</v>
      </c>
      <c r="C269" s="460">
        <v>1000007481</v>
      </c>
      <c r="D269" s="451"/>
      <c r="E269" s="457"/>
      <c r="F269" s="453"/>
      <c r="G269" s="453"/>
      <c r="H269" s="453"/>
      <c r="I269" s="453"/>
      <c r="J269" s="453"/>
      <c r="K269" s="453"/>
      <c r="L269" s="453"/>
      <c r="M269" s="453"/>
      <c r="N269" s="453"/>
      <c r="O269" s="453"/>
      <c r="P269" s="453"/>
      <c r="Q269" s="453"/>
      <c r="R269" s="453"/>
      <c r="S269" s="453"/>
      <c r="T269" s="453"/>
      <c r="U269" s="453"/>
      <c r="V269" s="453"/>
      <c r="W269" s="453"/>
      <c r="X269" s="453"/>
      <c r="Y269" s="453"/>
      <c r="Z269" s="489"/>
      <c r="AA269" s="489"/>
      <c r="AB269" s="490"/>
      <c r="AC269" s="453"/>
      <c r="AD269" s="453"/>
      <c r="AE269" s="453"/>
      <c r="AF269" s="453"/>
      <c r="AG269" s="453"/>
      <c r="AH269" s="453"/>
      <c r="AI269" s="453"/>
      <c r="AJ269" s="453"/>
      <c r="AK269" s="453"/>
      <c r="AL269" s="453"/>
      <c r="AM269" s="453"/>
      <c r="AN269" s="453"/>
      <c r="AO269" s="453"/>
      <c r="AP269" s="453"/>
      <c r="AQ269" s="453"/>
      <c r="AR269" s="453"/>
      <c r="AS269" s="453"/>
      <c r="AT269" s="453"/>
      <c r="AU269" s="453"/>
      <c r="AV269" s="453"/>
      <c r="AW269" s="453"/>
      <c r="AX269" s="453"/>
      <c r="AY269" s="453"/>
      <c r="AZ269" s="453"/>
      <c r="BA269" s="532"/>
      <c r="BB269" s="502">
        <v>12160</v>
      </c>
      <c r="BC269" s="503"/>
      <c r="BD269" s="453"/>
      <c r="BE269" s="453"/>
      <c r="BF269" s="470"/>
      <c r="BG269" s="453"/>
      <c r="BH269" s="453"/>
      <c r="BI269" s="453"/>
      <c r="BJ269" s="453"/>
      <c r="BK269" s="453"/>
      <c r="BL269" s="453"/>
      <c r="BM269" s="502"/>
      <c r="BN269" s="490"/>
      <c r="BO269" s="470"/>
      <c r="BP269" s="490"/>
      <c r="BQ269" s="453"/>
      <c r="BR269" s="502"/>
      <c r="BS269" s="524"/>
      <c r="BT269" s="530"/>
    </row>
    <row r="270" s="435" customFormat="1" ht="18" customHeight="1" spans="1:72">
      <c r="A270" s="451" t="s">
        <v>4033</v>
      </c>
      <c r="B270" s="456">
        <v>44343</v>
      </c>
      <c r="C270" s="460">
        <v>1000007494</v>
      </c>
      <c r="D270" s="451"/>
      <c r="E270" s="457"/>
      <c r="F270" s="453"/>
      <c r="G270" s="453"/>
      <c r="H270" s="453"/>
      <c r="I270" s="453">
        <v>21000</v>
      </c>
      <c r="J270" s="453"/>
      <c r="K270" s="453"/>
      <c r="L270" s="453"/>
      <c r="M270" s="453"/>
      <c r="N270" s="453"/>
      <c r="O270" s="453"/>
      <c r="P270" s="453"/>
      <c r="Q270" s="453"/>
      <c r="R270" s="453"/>
      <c r="S270" s="453"/>
      <c r="T270" s="453"/>
      <c r="U270" s="453"/>
      <c r="V270" s="453"/>
      <c r="W270" s="453"/>
      <c r="X270" s="453"/>
      <c r="Y270" s="453"/>
      <c r="Z270" s="489"/>
      <c r="AA270" s="489"/>
      <c r="AB270" s="490"/>
      <c r="AC270" s="453"/>
      <c r="AD270" s="453"/>
      <c r="AE270" s="453"/>
      <c r="AF270" s="453"/>
      <c r="AG270" s="453"/>
      <c r="AH270" s="453"/>
      <c r="AI270" s="453"/>
      <c r="AJ270" s="453"/>
      <c r="AK270" s="453"/>
      <c r="AL270" s="453"/>
      <c r="AM270" s="453"/>
      <c r="AN270" s="453"/>
      <c r="AO270" s="453"/>
      <c r="AP270" s="453"/>
      <c r="AQ270" s="453"/>
      <c r="AR270" s="453"/>
      <c r="AS270" s="453"/>
      <c r="AT270" s="453"/>
      <c r="AU270" s="453"/>
      <c r="AV270" s="453"/>
      <c r="AW270" s="453"/>
      <c r="AX270" s="453"/>
      <c r="AY270" s="453"/>
      <c r="AZ270" s="453"/>
      <c r="BA270" s="532"/>
      <c r="BB270" s="502"/>
      <c r="BC270" s="503"/>
      <c r="BD270" s="453"/>
      <c r="BE270" s="453"/>
      <c r="BF270" s="470"/>
      <c r="BG270" s="453"/>
      <c r="BH270" s="453"/>
      <c r="BI270" s="453"/>
      <c r="BJ270" s="453"/>
      <c r="BK270" s="453"/>
      <c r="BL270" s="453"/>
      <c r="BM270" s="502"/>
      <c r="BN270" s="490"/>
      <c r="BO270" s="470"/>
      <c r="BP270" s="490"/>
      <c r="BQ270" s="453"/>
      <c r="BR270" s="502"/>
      <c r="BS270" s="524"/>
      <c r="BT270" s="530"/>
    </row>
    <row r="271" s="435" customFormat="1" ht="18" customHeight="1" spans="1:72">
      <c r="A271" s="451" t="s">
        <v>4033</v>
      </c>
      <c r="B271" s="456">
        <v>44343</v>
      </c>
      <c r="C271" s="531">
        <v>1000007495</v>
      </c>
      <c r="D271" s="451"/>
      <c r="E271" s="457"/>
      <c r="F271" s="453"/>
      <c r="G271" s="453"/>
      <c r="H271" s="453"/>
      <c r="I271" s="453"/>
      <c r="J271" s="453">
        <v>16000</v>
      </c>
      <c r="K271" s="453"/>
      <c r="L271" s="453"/>
      <c r="M271" s="453"/>
      <c r="N271" s="453"/>
      <c r="O271" s="453"/>
      <c r="P271" s="453"/>
      <c r="Q271" s="453"/>
      <c r="R271" s="453"/>
      <c r="S271" s="453"/>
      <c r="T271" s="453"/>
      <c r="U271" s="453"/>
      <c r="V271" s="453"/>
      <c r="W271" s="453"/>
      <c r="X271" s="453"/>
      <c r="Y271" s="453"/>
      <c r="Z271" s="489"/>
      <c r="AA271" s="489"/>
      <c r="AB271" s="490"/>
      <c r="AC271" s="453"/>
      <c r="AD271" s="453"/>
      <c r="AE271" s="453"/>
      <c r="AF271" s="453"/>
      <c r="AG271" s="453"/>
      <c r="AH271" s="453"/>
      <c r="AI271" s="453"/>
      <c r="AJ271" s="453"/>
      <c r="AK271" s="453"/>
      <c r="AL271" s="453"/>
      <c r="AM271" s="453"/>
      <c r="AN271" s="453"/>
      <c r="AO271" s="453"/>
      <c r="AP271" s="453"/>
      <c r="AQ271" s="453"/>
      <c r="AR271" s="453"/>
      <c r="AS271" s="453"/>
      <c r="AT271" s="453"/>
      <c r="AU271" s="453"/>
      <c r="AV271" s="453"/>
      <c r="AW271" s="453"/>
      <c r="AX271" s="453"/>
      <c r="AY271" s="453"/>
      <c r="AZ271" s="453"/>
      <c r="BA271" s="532"/>
      <c r="BB271" s="502"/>
      <c r="BC271" s="503"/>
      <c r="BD271" s="453"/>
      <c r="BE271" s="453"/>
      <c r="BF271" s="470"/>
      <c r="BG271" s="453"/>
      <c r="BH271" s="453"/>
      <c r="BI271" s="453"/>
      <c r="BJ271" s="453"/>
      <c r="BK271" s="453"/>
      <c r="BL271" s="453"/>
      <c r="BM271" s="502"/>
      <c r="BN271" s="490"/>
      <c r="BO271" s="470"/>
      <c r="BP271" s="490"/>
      <c r="BQ271" s="453"/>
      <c r="BR271" s="502"/>
      <c r="BS271" s="524"/>
      <c r="BT271" s="530"/>
    </row>
    <row r="272" s="435" customFormat="1" ht="18" customHeight="1" spans="1:72">
      <c r="A272" s="451" t="s">
        <v>4033</v>
      </c>
      <c r="B272" s="456">
        <v>44343</v>
      </c>
      <c r="C272" s="459">
        <v>1000007496</v>
      </c>
      <c r="D272" s="451"/>
      <c r="E272" s="457"/>
      <c r="F272" s="453"/>
      <c r="G272" s="453"/>
      <c r="H272" s="453"/>
      <c r="I272" s="453"/>
      <c r="J272" s="453"/>
      <c r="K272" s="453"/>
      <c r="L272" s="453"/>
      <c r="M272" s="453"/>
      <c r="N272" s="453"/>
      <c r="O272" s="453"/>
      <c r="P272" s="453"/>
      <c r="Q272" s="453"/>
      <c r="R272" s="453">
        <v>20001</v>
      </c>
      <c r="S272" s="453"/>
      <c r="T272" s="453"/>
      <c r="U272" s="453"/>
      <c r="V272" s="453"/>
      <c r="W272" s="453"/>
      <c r="X272" s="453"/>
      <c r="Y272" s="453"/>
      <c r="Z272" s="489"/>
      <c r="AA272" s="489"/>
      <c r="AB272" s="490"/>
      <c r="AC272" s="453"/>
      <c r="AD272" s="453"/>
      <c r="AE272" s="453"/>
      <c r="AF272" s="453"/>
      <c r="AG272" s="453"/>
      <c r="AH272" s="453"/>
      <c r="AI272" s="453"/>
      <c r="AJ272" s="453"/>
      <c r="AK272" s="453"/>
      <c r="AL272" s="453"/>
      <c r="AM272" s="453"/>
      <c r="AN272" s="453"/>
      <c r="AO272" s="453"/>
      <c r="AP272" s="453"/>
      <c r="AQ272" s="453"/>
      <c r="AR272" s="453"/>
      <c r="AS272" s="453"/>
      <c r="AT272" s="453"/>
      <c r="AU272" s="453"/>
      <c r="AV272" s="453"/>
      <c r="AW272" s="453"/>
      <c r="AX272" s="453"/>
      <c r="AY272" s="453"/>
      <c r="AZ272" s="453"/>
      <c r="BA272" s="532"/>
      <c r="BB272" s="502"/>
      <c r="BC272" s="503"/>
      <c r="BD272" s="453"/>
      <c r="BE272" s="453"/>
      <c r="BF272" s="470"/>
      <c r="BG272" s="453"/>
      <c r="BH272" s="453"/>
      <c r="BI272" s="453"/>
      <c r="BJ272" s="453"/>
      <c r="BK272" s="453"/>
      <c r="BL272" s="453"/>
      <c r="BM272" s="502"/>
      <c r="BN272" s="490"/>
      <c r="BO272" s="470"/>
      <c r="BP272" s="490"/>
      <c r="BQ272" s="453"/>
      <c r="BR272" s="502"/>
      <c r="BS272" s="524"/>
      <c r="BT272" s="530"/>
    </row>
    <row r="273" s="435" customFormat="1" ht="18" customHeight="1" spans="1:72">
      <c r="A273" s="451" t="s">
        <v>4033</v>
      </c>
      <c r="B273" s="456">
        <v>44343</v>
      </c>
      <c r="C273" s="459">
        <v>1000007501</v>
      </c>
      <c r="D273" s="451"/>
      <c r="E273" s="457"/>
      <c r="F273" s="453"/>
      <c r="G273" s="453"/>
      <c r="H273" s="453"/>
      <c r="I273" s="453"/>
      <c r="J273" s="453"/>
      <c r="K273" s="453"/>
      <c r="L273" s="453"/>
      <c r="M273" s="453"/>
      <c r="N273" s="453"/>
      <c r="O273" s="453"/>
      <c r="P273" s="453"/>
      <c r="Q273" s="453"/>
      <c r="R273" s="453"/>
      <c r="S273" s="453"/>
      <c r="T273" s="453"/>
      <c r="U273" s="453"/>
      <c r="V273" s="453"/>
      <c r="W273" s="453"/>
      <c r="X273" s="453"/>
      <c r="Y273" s="453"/>
      <c r="Z273" s="489"/>
      <c r="AA273" s="489"/>
      <c r="AB273" s="490"/>
      <c r="AC273" s="453">
        <v>176000</v>
      </c>
      <c r="AD273" s="453"/>
      <c r="AE273" s="453"/>
      <c r="AF273" s="453"/>
      <c r="AG273" s="453"/>
      <c r="AH273" s="453"/>
      <c r="AI273" s="453"/>
      <c r="AJ273" s="453"/>
      <c r="AK273" s="453"/>
      <c r="AL273" s="453"/>
      <c r="AM273" s="453"/>
      <c r="AN273" s="453"/>
      <c r="AO273" s="453"/>
      <c r="AP273" s="453"/>
      <c r="AQ273" s="453"/>
      <c r="AR273" s="453"/>
      <c r="AS273" s="453"/>
      <c r="AT273" s="453"/>
      <c r="AU273" s="453"/>
      <c r="AV273" s="453"/>
      <c r="AW273" s="453"/>
      <c r="AX273" s="453"/>
      <c r="AY273" s="453"/>
      <c r="AZ273" s="453"/>
      <c r="BA273" s="532"/>
      <c r="BB273" s="502"/>
      <c r="BC273" s="503"/>
      <c r="BD273" s="453"/>
      <c r="BE273" s="453">
        <v>2001</v>
      </c>
      <c r="BF273" s="470"/>
      <c r="BG273" s="453"/>
      <c r="BH273" s="453"/>
      <c r="BI273" s="453"/>
      <c r="BJ273" s="453"/>
      <c r="BK273" s="453"/>
      <c r="BL273" s="453"/>
      <c r="BM273" s="502"/>
      <c r="BN273" s="490"/>
      <c r="BO273" s="470"/>
      <c r="BP273" s="490"/>
      <c r="BQ273" s="453"/>
      <c r="BR273" s="502"/>
      <c r="BS273" s="524"/>
      <c r="BT273" s="530"/>
    </row>
    <row r="274" s="435" customFormat="1" ht="18" customHeight="1" spans="1:72">
      <c r="A274" s="451" t="s">
        <v>4033</v>
      </c>
      <c r="B274" s="456">
        <v>44343</v>
      </c>
      <c r="C274" s="534">
        <v>1000007503</v>
      </c>
      <c r="D274" s="451"/>
      <c r="E274" s="457"/>
      <c r="F274" s="453"/>
      <c r="G274" s="453"/>
      <c r="H274" s="453"/>
      <c r="I274" s="453"/>
      <c r="J274" s="453"/>
      <c r="K274" s="453"/>
      <c r="L274" s="453"/>
      <c r="M274" s="453"/>
      <c r="N274" s="453"/>
      <c r="O274" s="453"/>
      <c r="P274" s="453"/>
      <c r="Q274" s="453"/>
      <c r="R274" s="453"/>
      <c r="S274" s="453"/>
      <c r="T274" s="453"/>
      <c r="U274" s="453"/>
      <c r="V274" s="453"/>
      <c r="W274" s="453"/>
      <c r="X274" s="453"/>
      <c r="Y274" s="453"/>
      <c r="Z274" s="489"/>
      <c r="AA274" s="489"/>
      <c r="AB274" s="490"/>
      <c r="AC274" s="453"/>
      <c r="AD274" s="453"/>
      <c r="AE274" s="453"/>
      <c r="AF274" s="453"/>
      <c r="AG274" s="453"/>
      <c r="AH274" s="453"/>
      <c r="AI274" s="453"/>
      <c r="AJ274" s="453"/>
      <c r="AK274" s="453"/>
      <c r="AL274" s="453"/>
      <c r="AM274" s="453">
        <v>200000</v>
      </c>
      <c r="AN274" s="453"/>
      <c r="AO274" s="453"/>
      <c r="AP274" s="453"/>
      <c r="AQ274" s="453"/>
      <c r="AR274" s="453"/>
      <c r="AS274" s="453"/>
      <c r="AT274" s="453"/>
      <c r="AU274" s="453"/>
      <c r="AV274" s="453"/>
      <c r="AW274" s="453"/>
      <c r="AX274" s="453"/>
      <c r="AY274" s="453"/>
      <c r="AZ274" s="453"/>
      <c r="BA274" s="532"/>
      <c r="BB274" s="502"/>
      <c r="BC274" s="503"/>
      <c r="BD274" s="453"/>
      <c r="BE274" s="453"/>
      <c r="BF274" s="470"/>
      <c r="BG274" s="453"/>
      <c r="BH274" s="453"/>
      <c r="BI274" s="453"/>
      <c r="BJ274" s="453"/>
      <c r="BK274" s="453"/>
      <c r="BL274" s="453"/>
      <c r="BM274" s="502"/>
      <c r="BN274" s="490"/>
      <c r="BO274" s="470"/>
      <c r="BP274" s="490"/>
      <c r="BQ274" s="453"/>
      <c r="BR274" s="502"/>
      <c r="BS274" s="524"/>
      <c r="BT274" s="530"/>
    </row>
    <row r="275" s="435" customFormat="1" ht="18" customHeight="1" spans="1:72">
      <c r="A275" s="451" t="s">
        <v>4033</v>
      </c>
      <c r="B275" s="456">
        <v>44343</v>
      </c>
      <c r="C275" s="534">
        <v>1000007504</v>
      </c>
      <c r="D275" s="451"/>
      <c r="E275" s="457"/>
      <c r="F275" s="453"/>
      <c r="G275" s="453"/>
      <c r="H275" s="453"/>
      <c r="I275" s="453"/>
      <c r="J275" s="453"/>
      <c r="K275" s="453"/>
      <c r="L275" s="453"/>
      <c r="M275" s="453"/>
      <c r="N275" s="453"/>
      <c r="O275" s="453"/>
      <c r="P275" s="453"/>
      <c r="Q275" s="453"/>
      <c r="R275" s="453"/>
      <c r="S275" s="453"/>
      <c r="T275" s="453"/>
      <c r="U275" s="453"/>
      <c r="V275" s="453"/>
      <c r="W275" s="453"/>
      <c r="X275" s="453"/>
      <c r="Y275" s="453"/>
      <c r="Z275" s="489"/>
      <c r="AA275" s="489"/>
      <c r="AB275" s="490"/>
      <c r="AC275" s="453"/>
      <c r="AD275" s="453"/>
      <c r="AE275" s="453"/>
      <c r="AF275" s="453"/>
      <c r="AG275" s="453"/>
      <c r="AH275" s="453"/>
      <c r="AI275" s="453"/>
      <c r="AJ275" s="453"/>
      <c r="AK275" s="453"/>
      <c r="AL275" s="453"/>
      <c r="AM275" s="453"/>
      <c r="AN275" s="453"/>
      <c r="AO275" s="453"/>
      <c r="AP275" s="453"/>
      <c r="AQ275" s="453"/>
      <c r="AR275" s="453"/>
      <c r="AS275" s="453"/>
      <c r="AT275" s="453"/>
      <c r="AU275" s="453"/>
      <c r="AV275" s="453"/>
      <c r="AW275" s="453"/>
      <c r="AX275" s="453"/>
      <c r="AY275" s="453"/>
      <c r="AZ275" s="453"/>
      <c r="BA275" s="532"/>
      <c r="BB275" s="502"/>
      <c r="BC275" s="503"/>
      <c r="BD275" s="453"/>
      <c r="BE275" s="453"/>
      <c r="BF275" s="470"/>
      <c r="BG275" s="453"/>
      <c r="BH275" s="453"/>
      <c r="BI275" s="453"/>
      <c r="BJ275" s="453"/>
      <c r="BK275" s="453"/>
      <c r="BL275" s="453"/>
      <c r="BM275" s="502"/>
      <c r="BN275" s="490"/>
      <c r="BO275" s="470"/>
      <c r="BP275" s="490"/>
      <c r="BQ275" s="453"/>
      <c r="BR275" s="502"/>
      <c r="BS275" s="524"/>
      <c r="BT275" s="530"/>
    </row>
    <row r="276" s="435" customFormat="1" ht="18" customHeight="1" spans="1:72">
      <c r="A276" s="451" t="s">
        <v>4033</v>
      </c>
      <c r="B276" s="456">
        <v>44343</v>
      </c>
      <c r="C276" s="459">
        <v>1000007505</v>
      </c>
      <c r="D276" s="451"/>
      <c r="E276" s="457"/>
      <c r="F276" s="453"/>
      <c r="G276" s="453"/>
      <c r="H276" s="453"/>
      <c r="I276" s="453"/>
      <c r="J276" s="453"/>
      <c r="K276" s="453"/>
      <c r="L276" s="453"/>
      <c r="M276" s="453"/>
      <c r="N276" s="453"/>
      <c r="O276" s="453"/>
      <c r="P276" s="453"/>
      <c r="Q276" s="453"/>
      <c r="R276" s="453"/>
      <c r="S276" s="453"/>
      <c r="T276" s="453"/>
      <c r="U276" s="453"/>
      <c r="V276" s="453"/>
      <c r="W276" s="453"/>
      <c r="X276" s="453"/>
      <c r="Y276" s="453"/>
      <c r="Z276" s="489"/>
      <c r="AA276" s="489"/>
      <c r="AB276" s="490"/>
      <c r="AC276" s="453"/>
      <c r="AD276" s="453"/>
      <c r="AE276" s="453"/>
      <c r="AF276" s="453"/>
      <c r="AG276" s="453"/>
      <c r="AH276" s="453">
        <v>42000</v>
      </c>
      <c r="AI276" s="453"/>
      <c r="AJ276" s="453"/>
      <c r="AK276" s="453"/>
      <c r="AL276" s="453"/>
      <c r="AM276" s="453"/>
      <c r="AN276" s="453"/>
      <c r="AO276" s="453"/>
      <c r="AP276" s="453"/>
      <c r="AQ276" s="453"/>
      <c r="AR276" s="453"/>
      <c r="AS276" s="453"/>
      <c r="AT276" s="453"/>
      <c r="AU276" s="453"/>
      <c r="AV276" s="453"/>
      <c r="AW276" s="453"/>
      <c r="AX276" s="453"/>
      <c r="AY276" s="453"/>
      <c r="AZ276" s="453"/>
      <c r="BA276" s="532"/>
      <c r="BB276" s="502"/>
      <c r="BC276" s="503"/>
      <c r="BD276" s="453"/>
      <c r="BE276" s="453"/>
      <c r="BF276" s="470"/>
      <c r="BG276" s="453"/>
      <c r="BH276" s="453"/>
      <c r="BI276" s="453"/>
      <c r="BJ276" s="453"/>
      <c r="BK276" s="453"/>
      <c r="BL276" s="453"/>
      <c r="BM276" s="502"/>
      <c r="BN276" s="490"/>
      <c r="BO276" s="470"/>
      <c r="BP276" s="490"/>
      <c r="BQ276" s="453"/>
      <c r="BR276" s="502"/>
      <c r="BS276" s="524"/>
      <c r="BT276" s="530"/>
    </row>
    <row r="277" s="435" customFormat="1" ht="18" customHeight="1" spans="1:72">
      <c r="A277" s="451" t="s">
        <v>4033</v>
      </c>
      <c r="B277" s="456">
        <v>44343</v>
      </c>
      <c r="C277" s="459">
        <v>1000007506</v>
      </c>
      <c r="D277" s="451"/>
      <c r="E277" s="457"/>
      <c r="F277" s="453"/>
      <c r="G277" s="453"/>
      <c r="H277" s="453"/>
      <c r="I277" s="453"/>
      <c r="J277" s="453"/>
      <c r="K277" s="453"/>
      <c r="L277" s="453"/>
      <c r="M277" s="453"/>
      <c r="N277" s="453"/>
      <c r="O277" s="453"/>
      <c r="P277" s="453"/>
      <c r="Q277" s="453"/>
      <c r="R277" s="453"/>
      <c r="S277" s="453"/>
      <c r="T277" s="453"/>
      <c r="U277" s="453"/>
      <c r="V277" s="453"/>
      <c r="W277" s="453"/>
      <c r="X277" s="453"/>
      <c r="Y277" s="453"/>
      <c r="Z277" s="489"/>
      <c r="AA277" s="489"/>
      <c r="AB277" s="490"/>
      <c r="AC277" s="453"/>
      <c r="AD277" s="453"/>
      <c r="AE277" s="453"/>
      <c r="AF277" s="453"/>
      <c r="AG277" s="453"/>
      <c r="AH277" s="453"/>
      <c r="AI277" s="453"/>
      <c r="AJ277" s="453"/>
      <c r="AK277" s="453"/>
      <c r="AL277" s="453"/>
      <c r="AM277" s="453"/>
      <c r="AN277" s="453"/>
      <c r="AO277" s="453"/>
      <c r="AP277" s="453"/>
      <c r="AQ277" s="453">
        <v>13000</v>
      </c>
      <c r="AR277" s="453"/>
      <c r="AS277" s="453"/>
      <c r="AT277" s="453"/>
      <c r="AU277" s="453"/>
      <c r="AV277" s="453"/>
      <c r="AW277" s="453"/>
      <c r="AX277" s="453"/>
      <c r="AY277" s="453"/>
      <c r="AZ277" s="453"/>
      <c r="BA277" s="532"/>
      <c r="BB277" s="502"/>
      <c r="BC277" s="503"/>
      <c r="BD277" s="453"/>
      <c r="BE277" s="453"/>
      <c r="BF277" s="470"/>
      <c r="BG277" s="453"/>
      <c r="BH277" s="453"/>
      <c r="BI277" s="453"/>
      <c r="BJ277" s="453"/>
      <c r="BK277" s="453"/>
      <c r="BL277" s="453"/>
      <c r="BM277" s="502"/>
      <c r="BN277" s="490"/>
      <c r="BO277" s="470"/>
      <c r="BP277" s="490"/>
      <c r="BQ277" s="453"/>
      <c r="BR277" s="502"/>
      <c r="BS277" s="524"/>
      <c r="BT277" s="530"/>
    </row>
    <row r="278" s="435" customFormat="1" ht="18" customHeight="1" spans="1:72">
      <c r="A278" s="451" t="s">
        <v>4038</v>
      </c>
      <c r="B278" s="456">
        <v>44376</v>
      </c>
      <c r="C278" s="535">
        <v>1000007717</v>
      </c>
      <c r="D278" s="451"/>
      <c r="E278" s="457"/>
      <c r="F278" s="453"/>
      <c r="G278" s="453"/>
      <c r="H278" s="453"/>
      <c r="I278" s="453">
        <v>10001</v>
      </c>
      <c r="J278" s="453"/>
      <c r="K278" s="453"/>
      <c r="L278" s="453"/>
      <c r="M278" s="453"/>
      <c r="N278" s="453"/>
      <c r="O278" s="453"/>
      <c r="P278" s="453"/>
      <c r="Q278" s="453"/>
      <c r="R278" s="453"/>
      <c r="S278" s="453"/>
      <c r="T278" s="453"/>
      <c r="U278" s="453"/>
      <c r="V278" s="453"/>
      <c r="W278" s="453"/>
      <c r="X278" s="453"/>
      <c r="Y278" s="453"/>
      <c r="Z278" s="489"/>
      <c r="AA278" s="489"/>
      <c r="AB278" s="490"/>
      <c r="AC278" s="453"/>
      <c r="AD278" s="453"/>
      <c r="AE278" s="453"/>
      <c r="AF278" s="453"/>
      <c r="AG278" s="453"/>
      <c r="AH278" s="453"/>
      <c r="AI278" s="453"/>
      <c r="AJ278" s="453"/>
      <c r="AK278" s="453"/>
      <c r="AL278" s="453"/>
      <c r="AM278" s="453"/>
      <c r="AN278" s="453"/>
      <c r="AO278" s="453"/>
      <c r="AP278" s="453"/>
      <c r="AQ278" s="453"/>
      <c r="AR278" s="453"/>
      <c r="AS278" s="453"/>
      <c r="AT278" s="453"/>
      <c r="AU278" s="453"/>
      <c r="AV278" s="453"/>
      <c r="AW278" s="453"/>
      <c r="AX278" s="453"/>
      <c r="AY278" s="453"/>
      <c r="AZ278" s="453"/>
      <c r="BA278" s="532"/>
      <c r="BB278" s="502"/>
      <c r="BC278" s="503"/>
      <c r="BD278" s="453"/>
      <c r="BE278" s="453"/>
      <c r="BF278" s="470"/>
      <c r="BG278" s="453"/>
      <c r="BH278" s="453"/>
      <c r="BI278" s="453"/>
      <c r="BJ278" s="453"/>
      <c r="BK278" s="453"/>
      <c r="BL278" s="453"/>
      <c r="BM278" s="502"/>
      <c r="BN278" s="490"/>
      <c r="BO278" s="470"/>
      <c r="BP278" s="490"/>
      <c r="BQ278" s="453"/>
      <c r="BR278" s="502"/>
      <c r="BS278" s="524"/>
      <c r="BT278" s="530"/>
    </row>
    <row r="279" s="435" customFormat="1" ht="18" customHeight="1" spans="1:72">
      <c r="A279" s="451" t="s">
        <v>4038</v>
      </c>
      <c r="B279" s="456">
        <v>44376</v>
      </c>
      <c r="C279" s="535">
        <v>1000007718</v>
      </c>
      <c r="D279" s="451"/>
      <c r="E279" s="457"/>
      <c r="F279" s="453"/>
      <c r="G279" s="453"/>
      <c r="H279" s="453"/>
      <c r="I279" s="453"/>
      <c r="J279" s="453">
        <v>5001</v>
      </c>
      <c r="K279" s="453"/>
      <c r="L279" s="453"/>
      <c r="M279" s="453"/>
      <c r="N279" s="453"/>
      <c r="O279" s="453"/>
      <c r="P279" s="453"/>
      <c r="Q279" s="453"/>
      <c r="R279" s="453"/>
      <c r="S279" s="453"/>
      <c r="T279" s="453"/>
      <c r="U279" s="453"/>
      <c r="V279" s="453"/>
      <c r="W279" s="453"/>
      <c r="X279" s="453"/>
      <c r="Y279" s="453"/>
      <c r="Z279" s="489"/>
      <c r="AA279" s="489"/>
      <c r="AB279" s="490"/>
      <c r="AC279" s="453"/>
      <c r="AD279" s="453"/>
      <c r="AE279" s="453"/>
      <c r="AF279" s="453"/>
      <c r="AG279" s="453"/>
      <c r="AH279" s="453"/>
      <c r="AI279" s="453"/>
      <c r="AJ279" s="453"/>
      <c r="AK279" s="453"/>
      <c r="AL279" s="453"/>
      <c r="AM279" s="453"/>
      <c r="AN279" s="453"/>
      <c r="AO279" s="453"/>
      <c r="AP279" s="453"/>
      <c r="AQ279" s="453"/>
      <c r="AR279" s="453"/>
      <c r="AS279" s="453"/>
      <c r="AT279" s="453"/>
      <c r="AU279" s="453"/>
      <c r="AV279" s="453"/>
      <c r="AW279" s="453"/>
      <c r="AX279" s="453"/>
      <c r="AY279" s="453"/>
      <c r="AZ279" s="453"/>
      <c r="BA279" s="532"/>
      <c r="BB279" s="502"/>
      <c r="BC279" s="503"/>
      <c r="BD279" s="453"/>
      <c r="BE279" s="453"/>
      <c r="BF279" s="470"/>
      <c r="BG279" s="453"/>
      <c r="BH279" s="453"/>
      <c r="BI279" s="453"/>
      <c r="BJ279" s="453"/>
      <c r="BK279" s="453"/>
      <c r="BL279" s="453"/>
      <c r="BM279" s="502"/>
      <c r="BN279" s="490"/>
      <c r="BO279" s="470"/>
      <c r="BP279" s="490"/>
      <c r="BQ279" s="453"/>
      <c r="BR279" s="502"/>
      <c r="BS279" s="524"/>
      <c r="BT279" s="530"/>
    </row>
    <row r="280" s="435" customFormat="1" ht="18" customHeight="1" spans="1:72">
      <c r="A280" s="451" t="s">
        <v>4038</v>
      </c>
      <c r="B280" s="456">
        <v>44376</v>
      </c>
      <c r="C280" s="535">
        <v>1000007719</v>
      </c>
      <c r="D280" s="451"/>
      <c r="E280" s="457"/>
      <c r="F280" s="453"/>
      <c r="G280" s="453"/>
      <c r="H280" s="453"/>
      <c r="I280" s="453"/>
      <c r="J280" s="453"/>
      <c r="K280" s="453">
        <v>15100</v>
      </c>
      <c r="L280" s="453"/>
      <c r="M280" s="453"/>
      <c r="N280" s="453"/>
      <c r="O280" s="453"/>
      <c r="P280" s="453"/>
      <c r="Q280" s="453"/>
      <c r="R280" s="453"/>
      <c r="S280" s="453"/>
      <c r="T280" s="453"/>
      <c r="U280" s="453"/>
      <c r="V280" s="453"/>
      <c r="W280" s="453"/>
      <c r="X280" s="453"/>
      <c r="Y280" s="453"/>
      <c r="Z280" s="489"/>
      <c r="AA280" s="489"/>
      <c r="AB280" s="490"/>
      <c r="AC280" s="453"/>
      <c r="AD280" s="453"/>
      <c r="AE280" s="453"/>
      <c r="AF280" s="453"/>
      <c r="AG280" s="453"/>
      <c r="AH280" s="453"/>
      <c r="AI280" s="453"/>
      <c r="AJ280" s="453"/>
      <c r="AK280" s="453"/>
      <c r="AL280" s="453"/>
      <c r="AM280" s="453"/>
      <c r="AN280" s="453"/>
      <c r="AO280" s="453"/>
      <c r="AP280" s="453"/>
      <c r="AQ280" s="453"/>
      <c r="AR280" s="453"/>
      <c r="AS280" s="453"/>
      <c r="AT280" s="453"/>
      <c r="AU280" s="453"/>
      <c r="AV280" s="453"/>
      <c r="AW280" s="453"/>
      <c r="AX280" s="453"/>
      <c r="AY280" s="453"/>
      <c r="AZ280" s="453"/>
      <c r="BA280" s="532"/>
      <c r="BB280" s="502"/>
      <c r="BC280" s="503"/>
      <c r="BD280" s="453"/>
      <c r="BE280" s="453"/>
      <c r="BF280" s="470"/>
      <c r="BG280" s="453"/>
      <c r="BH280" s="453"/>
      <c r="BI280" s="453"/>
      <c r="BJ280" s="453"/>
      <c r="BK280" s="453"/>
      <c r="BL280" s="453"/>
      <c r="BM280" s="502"/>
      <c r="BN280" s="490"/>
      <c r="BO280" s="470"/>
      <c r="BP280" s="490"/>
      <c r="BQ280" s="453"/>
      <c r="BR280" s="502"/>
      <c r="BS280" s="524"/>
      <c r="BT280" s="530"/>
    </row>
    <row r="281" s="435" customFormat="1" ht="18" customHeight="1" spans="1:72">
      <c r="A281" s="451" t="s">
        <v>4038</v>
      </c>
      <c r="B281" s="456">
        <v>44376</v>
      </c>
      <c r="C281" s="535">
        <v>1000007720</v>
      </c>
      <c r="D281" s="451"/>
      <c r="E281" s="457"/>
      <c r="F281" s="453"/>
      <c r="G281" s="453"/>
      <c r="H281" s="453"/>
      <c r="I281" s="453"/>
      <c r="J281" s="453"/>
      <c r="K281" s="453"/>
      <c r="L281" s="453"/>
      <c r="M281" s="453"/>
      <c r="N281" s="453"/>
      <c r="O281" s="453"/>
      <c r="P281" s="453"/>
      <c r="Q281" s="453"/>
      <c r="R281" s="453">
        <v>50000</v>
      </c>
      <c r="S281" s="453"/>
      <c r="T281" s="453"/>
      <c r="U281" s="453"/>
      <c r="V281" s="453"/>
      <c r="W281" s="453"/>
      <c r="X281" s="453"/>
      <c r="Y281" s="453"/>
      <c r="Z281" s="489"/>
      <c r="AA281" s="489"/>
      <c r="AB281" s="490"/>
      <c r="AC281" s="453"/>
      <c r="AD281" s="453"/>
      <c r="AE281" s="453"/>
      <c r="AF281" s="453"/>
      <c r="AG281" s="453"/>
      <c r="AH281" s="453"/>
      <c r="AI281" s="453"/>
      <c r="AJ281" s="453"/>
      <c r="AK281" s="453"/>
      <c r="AL281" s="453"/>
      <c r="AM281" s="453"/>
      <c r="AN281" s="453"/>
      <c r="AO281" s="453"/>
      <c r="AP281" s="453"/>
      <c r="AQ281" s="453"/>
      <c r="AR281" s="453"/>
      <c r="AS281" s="453"/>
      <c r="AT281" s="453"/>
      <c r="AU281" s="453"/>
      <c r="AV281" s="453"/>
      <c r="AW281" s="453"/>
      <c r="AX281" s="453"/>
      <c r="AY281" s="453"/>
      <c r="AZ281" s="453"/>
      <c r="BA281" s="532"/>
      <c r="BB281" s="502"/>
      <c r="BC281" s="503"/>
      <c r="BD281" s="453"/>
      <c r="BE281" s="453"/>
      <c r="BF281" s="470"/>
      <c r="BG281" s="453"/>
      <c r="BH281" s="453"/>
      <c r="BI281" s="453"/>
      <c r="BJ281" s="453"/>
      <c r="BK281" s="453"/>
      <c r="BL281" s="453"/>
      <c r="BM281" s="502"/>
      <c r="BN281" s="490"/>
      <c r="BO281" s="470"/>
      <c r="BP281" s="490"/>
      <c r="BQ281" s="453"/>
      <c r="BR281" s="502"/>
      <c r="BS281" s="524"/>
      <c r="BT281" s="530"/>
    </row>
    <row r="282" s="435" customFormat="1" ht="18" customHeight="1" spans="1:72">
      <c r="A282" s="451" t="s">
        <v>4038</v>
      </c>
      <c r="B282" s="456">
        <v>44376</v>
      </c>
      <c r="C282" s="459">
        <v>1000007721</v>
      </c>
      <c r="D282" s="451"/>
      <c r="E282" s="457"/>
      <c r="F282" s="453"/>
      <c r="G282" s="453"/>
      <c r="H282" s="453"/>
      <c r="I282" s="453"/>
      <c r="J282" s="453"/>
      <c r="K282" s="453"/>
      <c r="L282" s="453"/>
      <c r="M282" s="453"/>
      <c r="N282" s="453"/>
      <c r="O282" s="453"/>
      <c r="P282" s="453"/>
      <c r="Q282" s="453"/>
      <c r="R282" s="453"/>
      <c r="S282" s="453"/>
      <c r="T282" s="453"/>
      <c r="U282" s="453"/>
      <c r="V282" s="453"/>
      <c r="W282" s="453"/>
      <c r="X282" s="453"/>
      <c r="Y282" s="453"/>
      <c r="Z282" s="489"/>
      <c r="AA282" s="489"/>
      <c r="AB282" s="490"/>
      <c r="AC282" s="453">
        <v>230000</v>
      </c>
      <c r="AD282" s="453"/>
      <c r="AE282" s="453"/>
      <c r="AF282" s="453"/>
      <c r="AG282" s="453"/>
      <c r="AH282" s="453"/>
      <c r="AI282" s="453"/>
      <c r="AJ282" s="453"/>
      <c r="AK282" s="453"/>
      <c r="AL282" s="453"/>
      <c r="AM282" s="453"/>
      <c r="AN282" s="453"/>
      <c r="AO282" s="453"/>
      <c r="AP282" s="453"/>
      <c r="AQ282" s="453"/>
      <c r="AR282" s="453"/>
      <c r="AS282" s="453"/>
      <c r="AT282" s="453"/>
      <c r="AU282" s="453"/>
      <c r="AV282" s="453"/>
      <c r="AW282" s="453"/>
      <c r="AX282" s="453"/>
      <c r="AY282" s="453"/>
      <c r="AZ282" s="453"/>
      <c r="BA282" s="532"/>
      <c r="BB282" s="502"/>
      <c r="BC282" s="503"/>
      <c r="BD282" s="453"/>
      <c r="BE282" s="453"/>
      <c r="BF282" s="470"/>
      <c r="BG282" s="453"/>
      <c r="BH282" s="453"/>
      <c r="BI282" s="453"/>
      <c r="BJ282" s="453"/>
      <c r="BK282" s="453"/>
      <c r="BL282" s="453"/>
      <c r="BM282" s="502"/>
      <c r="BN282" s="490"/>
      <c r="BO282" s="470"/>
      <c r="BP282" s="490"/>
      <c r="BQ282" s="453"/>
      <c r="BR282" s="502"/>
      <c r="BS282" s="524"/>
      <c r="BT282" s="530"/>
    </row>
    <row r="283" s="435" customFormat="1" ht="18" customHeight="1" spans="1:72">
      <c r="A283" s="451" t="s">
        <v>4038</v>
      </c>
      <c r="B283" s="456">
        <v>44376</v>
      </c>
      <c r="C283" s="459">
        <v>1000007722</v>
      </c>
      <c r="D283" s="451"/>
      <c r="E283" s="457"/>
      <c r="F283" s="453"/>
      <c r="G283" s="453"/>
      <c r="H283" s="453"/>
      <c r="I283" s="453"/>
      <c r="J283" s="453"/>
      <c r="K283" s="453"/>
      <c r="L283" s="453"/>
      <c r="M283" s="453"/>
      <c r="N283" s="453"/>
      <c r="O283" s="453"/>
      <c r="P283" s="453"/>
      <c r="Q283" s="453"/>
      <c r="R283" s="453"/>
      <c r="S283" s="453"/>
      <c r="T283" s="453"/>
      <c r="U283" s="453"/>
      <c r="V283" s="453"/>
      <c r="W283" s="453"/>
      <c r="X283" s="453"/>
      <c r="Y283" s="453"/>
      <c r="Z283" s="489"/>
      <c r="AA283" s="489"/>
      <c r="AB283" s="490"/>
      <c r="AC283" s="453"/>
      <c r="AD283" s="453"/>
      <c r="AE283" s="453"/>
      <c r="AF283" s="453"/>
      <c r="AG283" s="453"/>
      <c r="AH283" s="453"/>
      <c r="AI283" s="453"/>
      <c r="AJ283" s="453"/>
      <c r="AK283" s="453"/>
      <c r="AL283" s="453"/>
      <c r="AM283" s="453"/>
      <c r="AN283" s="453">
        <v>290000</v>
      </c>
      <c r="AO283" s="453"/>
      <c r="AP283" s="453"/>
      <c r="AQ283" s="453"/>
      <c r="AR283" s="453"/>
      <c r="AS283" s="453"/>
      <c r="AT283" s="453"/>
      <c r="AU283" s="453"/>
      <c r="AV283" s="453"/>
      <c r="AW283" s="453"/>
      <c r="AX283" s="453"/>
      <c r="AY283" s="453"/>
      <c r="AZ283" s="453"/>
      <c r="BA283" s="532"/>
      <c r="BB283" s="502"/>
      <c r="BC283" s="503"/>
      <c r="BD283" s="453"/>
      <c r="BE283" s="453"/>
      <c r="BF283" s="470"/>
      <c r="BG283" s="453"/>
      <c r="BH283" s="453"/>
      <c r="BI283" s="453"/>
      <c r="BJ283" s="453"/>
      <c r="BK283" s="453"/>
      <c r="BL283" s="453"/>
      <c r="BM283" s="502"/>
      <c r="BN283" s="490"/>
      <c r="BO283" s="470"/>
      <c r="BP283" s="490"/>
      <c r="BQ283" s="453"/>
      <c r="BR283" s="502"/>
      <c r="BS283" s="524"/>
      <c r="BT283" s="530"/>
    </row>
    <row r="284" s="435" customFormat="1" ht="18" customHeight="1" spans="1:72">
      <c r="A284" s="451"/>
      <c r="B284" s="456">
        <v>44410</v>
      </c>
      <c r="C284" s="459">
        <v>1000008013</v>
      </c>
      <c r="D284" s="451"/>
      <c r="E284" s="457"/>
      <c r="F284" s="453"/>
      <c r="G284" s="453"/>
      <c r="H284" s="453"/>
      <c r="I284" s="453"/>
      <c r="J284" s="453"/>
      <c r="K284" s="453"/>
      <c r="L284" s="453"/>
      <c r="M284" s="453"/>
      <c r="N284" s="453"/>
      <c r="O284" s="453"/>
      <c r="P284" s="453"/>
      <c r="Q284" s="453"/>
      <c r="R284" s="453"/>
      <c r="S284" s="453"/>
      <c r="T284" s="453"/>
      <c r="U284" s="453"/>
      <c r="V284" s="453"/>
      <c r="W284" s="453"/>
      <c r="X284" s="453"/>
      <c r="Y284" s="453"/>
      <c r="Z284" s="489"/>
      <c r="AA284" s="489"/>
      <c r="AB284" s="490"/>
      <c r="AC284" s="453"/>
      <c r="AD284" s="453"/>
      <c r="AE284" s="453"/>
      <c r="AF284" s="453"/>
      <c r="AG284" s="453"/>
      <c r="AH284" s="453"/>
      <c r="AI284" s="453"/>
      <c r="AJ284" s="453"/>
      <c r="AK284" s="453"/>
      <c r="AL284" s="453"/>
      <c r="AM284" s="453"/>
      <c r="AN284" s="453"/>
      <c r="AO284" s="453"/>
      <c r="AP284" s="453"/>
      <c r="AQ284" s="453"/>
      <c r="AR284" s="453"/>
      <c r="AS284" s="453"/>
      <c r="AT284" s="453"/>
      <c r="AU284" s="453"/>
      <c r="AV284" s="453"/>
      <c r="AW284" s="453"/>
      <c r="AX284" s="453"/>
      <c r="AY284" s="453"/>
      <c r="AZ284" s="453"/>
      <c r="BA284" s="532">
        <v>17280</v>
      </c>
      <c r="BB284" s="502"/>
      <c r="BC284" s="503"/>
      <c r="BD284" s="453"/>
      <c r="BE284" s="453"/>
      <c r="BF284" s="470"/>
      <c r="BG284" s="453"/>
      <c r="BH284" s="453"/>
      <c r="BI284" s="453"/>
      <c r="BJ284" s="453"/>
      <c r="BK284" s="453"/>
      <c r="BL284" s="453"/>
      <c r="BM284" s="502"/>
      <c r="BN284" s="490"/>
      <c r="BO284" s="470"/>
      <c r="BP284" s="490"/>
      <c r="BQ284" s="453"/>
      <c r="BR284" s="502"/>
      <c r="BS284" s="524"/>
      <c r="BT284" s="530"/>
    </row>
    <row r="285" s="435" customFormat="1" ht="18" customHeight="1" spans="1:72">
      <c r="A285" s="451"/>
      <c r="B285" s="456">
        <v>44410</v>
      </c>
      <c r="C285" s="459">
        <v>1000008012</v>
      </c>
      <c r="D285" s="451"/>
      <c r="E285" s="457"/>
      <c r="F285" s="453"/>
      <c r="G285" s="453"/>
      <c r="H285" s="453"/>
      <c r="I285" s="453"/>
      <c r="J285" s="453"/>
      <c r="K285" s="453"/>
      <c r="L285" s="453"/>
      <c r="M285" s="453"/>
      <c r="N285" s="453"/>
      <c r="O285" s="453"/>
      <c r="P285" s="453"/>
      <c r="Q285" s="453"/>
      <c r="R285" s="453"/>
      <c r="S285" s="453"/>
      <c r="T285" s="453"/>
      <c r="U285" s="453"/>
      <c r="V285" s="453"/>
      <c r="W285" s="453"/>
      <c r="X285" s="453"/>
      <c r="Y285" s="453"/>
      <c r="Z285" s="489"/>
      <c r="AA285" s="489"/>
      <c r="AB285" s="490"/>
      <c r="AC285" s="453"/>
      <c r="AD285" s="453"/>
      <c r="AE285" s="453"/>
      <c r="AF285" s="453"/>
      <c r="AG285" s="453"/>
      <c r="AH285" s="453"/>
      <c r="AI285" s="453"/>
      <c r="AJ285" s="453"/>
      <c r="AK285" s="453"/>
      <c r="AL285" s="453"/>
      <c r="AM285" s="453"/>
      <c r="AN285" s="453"/>
      <c r="AO285" s="453"/>
      <c r="AP285" s="453"/>
      <c r="AQ285" s="453"/>
      <c r="AR285" s="453"/>
      <c r="AS285" s="453"/>
      <c r="AT285" s="453"/>
      <c r="AU285" s="453"/>
      <c r="AV285" s="453"/>
      <c r="AW285" s="453"/>
      <c r="AX285" s="453"/>
      <c r="AY285" s="453"/>
      <c r="AZ285" s="453"/>
      <c r="BA285" s="532"/>
      <c r="BB285" s="541">
        <v>21120</v>
      </c>
      <c r="BC285" s="503"/>
      <c r="BD285" s="453"/>
      <c r="BE285" s="453"/>
      <c r="BF285" s="470"/>
      <c r="BG285" s="453"/>
      <c r="BH285" s="453"/>
      <c r="BI285" s="453"/>
      <c r="BJ285" s="453"/>
      <c r="BK285" s="453"/>
      <c r="BL285" s="453"/>
      <c r="BM285" s="502"/>
      <c r="BN285" s="490"/>
      <c r="BO285" s="470"/>
      <c r="BP285" s="490"/>
      <c r="BQ285" s="453"/>
      <c r="BR285" s="502"/>
      <c r="BS285" s="524"/>
      <c r="BT285" s="530"/>
    </row>
    <row r="286" s="435" customFormat="1" ht="18" customHeight="1" spans="1:72">
      <c r="A286" s="451" t="s">
        <v>4038</v>
      </c>
      <c r="B286" s="456">
        <v>44420</v>
      </c>
      <c r="C286" s="459">
        <v>1000008079</v>
      </c>
      <c r="D286" s="451"/>
      <c r="E286" s="457"/>
      <c r="F286" s="453"/>
      <c r="G286" s="453"/>
      <c r="H286" s="453"/>
      <c r="I286" s="453"/>
      <c r="J286" s="453"/>
      <c r="K286" s="453"/>
      <c r="L286" s="453"/>
      <c r="M286" s="453"/>
      <c r="N286" s="453"/>
      <c r="O286" s="453"/>
      <c r="P286" s="453"/>
      <c r="Q286" s="453"/>
      <c r="R286" s="453"/>
      <c r="S286" s="453"/>
      <c r="T286" s="453"/>
      <c r="U286" s="453"/>
      <c r="V286" s="453"/>
      <c r="W286" s="453"/>
      <c r="X286" s="453"/>
      <c r="Y286" s="453"/>
      <c r="Z286" s="489"/>
      <c r="AA286" s="489"/>
      <c r="AB286" s="490"/>
      <c r="AC286" s="453"/>
      <c r="AD286" s="453"/>
      <c r="AE286" s="453"/>
      <c r="AF286" s="453"/>
      <c r="AG286" s="453"/>
      <c r="AH286" s="453">
        <v>20000</v>
      </c>
      <c r="AI286" s="453"/>
      <c r="AJ286" s="453"/>
      <c r="AK286" s="453"/>
      <c r="AL286" s="453"/>
      <c r="AM286" s="453"/>
      <c r="AN286" s="453"/>
      <c r="AO286" s="453"/>
      <c r="AP286" s="453"/>
      <c r="AQ286" s="453"/>
      <c r="AR286" s="453"/>
      <c r="AS286" s="453"/>
      <c r="AT286" s="453"/>
      <c r="AU286" s="453"/>
      <c r="AV286" s="453"/>
      <c r="AW286" s="453"/>
      <c r="AX286" s="453"/>
      <c r="AY286" s="453"/>
      <c r="AZ286" s="453"/>
      <c r="BA286" s="532"/>
      <c r="BB286" s="541"/>
      <c r="BC286" s="503"/>
      <c r="BD286" s="453"/>
      <c r="BE286" s="453"/>
      <c r="BF286" s="470"/>
      <c r="BG286" s="453"/>
      <c r="BH286" s="453"/>
      <c r="BI286" s="453"/>
      <c r="BJ286" s="453"/>
      <c r="BK286" s="453"/>
      <c r="BL286" s="453"/>
      <c r="BM286" s="502"/>
      <c r="BN286" s="490"/>
      <c r="BO286" s="470"/>
      <c r="BP286" s="490"/>
      <c r="BQ286" s="453"/>
      <c r="BR286" s="502"/>
      <c r="BS286" s="524"/>
      <c r="BT286" s="530"/>
    </row>
    <row r="287" s="435" customFormat="1" ht="18" customHeight="1" spans="1:72">
      <c r="A287" s="451" t="s">
        <v>4038</v>
      </c>
      <c r="B287" s="456">
        <v>44420</v>
      </c>
      <c r="C287" s="459">
        <v>1000008080</v>
      </c>
      <c r="D287" s="451"/>
      <c r="E287" s="457"/>
      <c r="F287" s="453"/>
      <c r="G287" s="453"/>
      <c r="H287" s="453"/>
      <c r="I287" s="453"/>
      <c r="J287" s="453"/>
      <c r="K287" s="453"/>
      <c r="L287" s="453"/>
      <c r="M287" s="453"/>
      <c r="N287" s="453"/>
      <c r="O287" s="453"/>
      <c r="P287" s="453"/>
      <c r="Q287" s="453"/>
      <c r="R287" s="453"/>
      <c r="S287" s="453"/>
      <c r="T287" s="453"/>
      <c r="U287" s="453"/>
      <c r="V287" s="453"/>
      <c r="W287" s="453"/>
      <c r="X287" s="453"/>
      <c r="Y287" s="453"/>
      <c r="Z287" s="489"/>
      <c r="AA287" s="489"/>
      <c r="AB287" s="490"/>
      <c r="AC287" s="453">
        <v>195000</v>
      </c>
      <c r="AD287" s="453"/>
      <c r="AE287" s="453"/>
      <c r="AF287" s="453"/>
      <c r="AG287" s="453"/>
      <c r="AH287" s="453"/>
      <c r="AI287" s="453"/>
      <c r="AJ287" s="453"/>
      <c r="AK287" s="453"/>
      <c r="AL287" s="453"/>
      <c r="AM287" s="453"/>
      <c r="AN287" s="453"/>
      <c r="AO287" s="453"/>
      <c r="AP287" s="453"/>
      <c r="AQ287" s="453"/>
      <c r="AR287" s="453"/>
      <c r="AS287" s="453"/>
      <c r="AT287" s="453"/>
      <c r="AU287" s="453"/>
      <c r="AV287" s="453"/>
      <c r="AW287" s="453"/>
      <c r="AX287" s="453"/>
      <c r="AY287" s="453"/>
      <c r="AZ287" s="453"/>
      <c r="BA287" s="532"/>
      <c r="BB287" s="541"/>
      <c r="BC287" s="503"/>
      <c r="BD287" s="453"/>
      <c r="BE287" s="453"/>
      <c r="BF287" s="470"/>
      <c r="BG287" s="453"/>
      <c r="BH287" s="453"/>
      <c r="BI287" s="453"/>
      <c r="BJ287" s="453"/>
      <c r="BK287" s="453"/>
      <c r="BL287" s="453"/>
      <c r="BM287" s="502"/>
      <c r="BN287" s="490"/>
      <c r="BO287" s="470"/>
      <c r="BP287" s="490"/>
      <c r="BQ287" s="453"/>
      <c r="BR287" s="502"/>
      <c r="BS287" s="524"/>
      <c r="BT287" s="530"/>
    </row>
    <row r="288" s="435" customFormat="1" ht="18" customHeight="1" spans="1:72">
      <c r="A288" s="451" t="s">
        <v>4038</v>
      </c>
      <c r="B288" s="456">
        <v>44420</v>
      </c>
      <c r="C288" s="459">
        <v>1000008081</v>
      </c>
      <c r="D288" s="451"/>
      <c r="E288" s="457"/>
      <c r="F288" s="453"/>
      <c r="G288" s="453"/>
      <c r="H288" s="453"/>
      <c r="I288" s="453"/>
      <c r="J288" s="453"/>
      <c r="K288" s="453"/>
      <c r="L288" s="453"/>
      <c r="M288" s="453"/>
      <c r="N288" s="453"/>
      <c r="O288" s="453"/>
      <c r="P288" s="453"/>
      <c r="Q288" s="453"/>
      <c r="R288" s="453"/>
      <c r="S288" s="453"/>
      <c r="T288" s="453"/>
      <c r="U288" s="453"/>
      <c r="V288" s="453"/>
      <c r="W288" s="453"/>
      <c r="X288" s="453"/>
      <c r="Y288" s="453"/>
      <c r="Z288" s="489"/>
      <c r="AA288" s="489"/>
      <c r="AB288" s="490"/>
      <c r="AC288" s="453"/>
      <c r="AD288" s="453"/>
      <c r="AE288" s="453"/>
      <c r="AF288" s="453"/>
      <c r="AG288" s="453"/>
      <c r="AH288" s="453"/>
      <c r="AI288" s="453"/>
      <c r="AJ288" s="453"/>
      <c r="AK288" s="453"/>
      <c r="AL288" s="453"/>
      <c r="AM288" s="453"/>
      <c r="AN288" s="453">
        <v>286000</v>
      </c>
      <c r="AO288" s="453"/>
      <c r="AP288" s="453"/>
      <c r="AQ288" s="453"/>
      <c r="AR288" s="453"/>
      <c r="AS288" s="453"/>
      <c r="AT288" s="453"/>
      <c r="AU288" s="453"/>
      <c r="AV288" s="453"/>
      <c r="AW288" s="453"/>
      <c r="AX288" s="453"/>
      <c r="AY288" s="453"/>
      <c r="AZ288" s="453"/>
      <c r="BA288" s="532"/>
      <c r="BB288" s="541"/>
      <c r="BC288" s="503"/>
      <c r="BD288" s="453"/>
      <c r="BE288" s="453"/>
      <c r="BF288" s="470"/>
      <c r="BG288" s="453"/>
      <c r="BH288" s="453"/>
      <c r="BI288" s="453"/>
      <c r="BJ288" s="453"/>
      <c r="BK288" s="453"/>
      <c r="BL288" s="453"/>
      <c r="BM288" s="502"/>
      <c r="BN288" s="490"/>
      <c r="BO288" s="470"/>
      <c r="BP288" s="490"/>
      <c r="BQ288" s="453"/>
      <c r="BR288" s="502"/>
      <c r="BS288" s="524"/>
      <c r="BT288" s="530"/>
    </row>
    <row r="289" s="435" customFormat="1" ht="18" customHeight="1" spans="1:72">
      <c r="A289" s="451" t="s">
        <v>4038</v>
      </c>
      <c r="B289" s="456">
        <v>44420</v>
      </c>
      <c r="C289" s="459">
        <v>1000008082</v>
      </c>
      <c r="D289" s="451"/>
      <c r="E289" s="457"/>
      <c r="F289" s="453"/>
      <c r="G289" s="453"/>
      <c r="H289" s="453"/>
      <c r="I289" s="453"/>
      <c r="J289" s="453"/>
      <c r="K289" s="453"/>
      <c r="L289" s="453"/>
      <c r="M289" s="453"/>
      <c r="N289" s="453"/>
      <c r="O289" s="453"/>
      <c r="P289" s="453"/>
      <c r="Q289" s="453"/>
      <c r="R289" s="453"/>
      <c r="S289" s="453"/>
      <c r="T289" s="453"/>
      <c r="U289" s="453"/>
      <c r="V289" s="453"/>
      <c r="W289" s="453"/>
      <c r="X289" s="453"/>
      <c r="Y289" s="453"/>
      <c r="Z289" s="489"/>
      <c r="AA289" s="489"/>
      <c r="AB289" s="490"/>
      <c r="AC289" s="453"/>
      <c r="AD289" s="453"/>
      <c r="AE289" s="453"/>
      <c r="AF289" s="453"/>
      <c r="AG289" s="453"/>
      <c r="AH289" s="453"/>
      <c r="AI289" s="453"/>
      <c r="AJ289" s="453"/>
      <c r="AK289" s="453"/>
      <c r="AL289" s="453"/>
      <c r="AM289" s="453"/>
      <c r="AN289" s="453"/>
      <c r="AO289" s="453"/>
      <c r="AP289" s="453"/>
      <c r="AQ289" s="453"/>
      <c r="AR289" s="453"/>
      <c r="AS289" s="453"/>
      <c r="AT289" s="453"/>
      <c r="AU289" s="453"/>
      <c r="AV289" s="453"/>
      <c r="AW289" s="453"/>
      <c r="AX289" s="453"/>
      <c r="AY289" s="453"/>
      <c r="AZ289" s="453"/>
      <c r="BA289" s="532"/>
      <c r="BB289" s="541"/>
      <c r="BC289" s="503"/>
      <c r="BD289" s="453"/>
      <c r="BE289" s="453">
        <v>3001</v>
      </c>
      <c r="BF289" s="470"/>
      <c r="BG289" s="453"/>
      <c r="BH289" s="453"/>
      <c r="BI289" s="453"/>
      <c r="BJ289" s="453"/>
      <c r="BK289" s="453"/>
      <c r="BL289" s="453"/>
      <c r="BM289" s="502"/>
      <c r="BN289" s="490"/>
      <c r="BO289" s="470"/>
      <c r="BP289" s="490"/>
      <c r="BQ289" s="453"/>
      <c r="BR289" s="502"/>
      <c r="BS289" s="524"/>
      <c r="BT289" s="530"/>
    </row>
    <row r="290" s="435" customFormat="1" ht="18" customHeight="1" spans="1:72">
      <c r="A290" s="451" t="s">
        <v>4038</v>
      </c>
      <c r="B290" s="456">
        <v>44420</v>
      </c>
      <c r="C290" s="459">
        <v>1000008083</v>
      </c>
      <c r="D290" s="451"/>
      <c r="E290" s="457"/>
      <c r="F290" s="453"/>
      <c r="G290" s="453"/>
      <c r="H290" s="453"/>
      <c r="I290" s="453"/>
      <c r="J290" s="453"/>
      <c r="K290" s="453"/>
      <c r="L290" s="453"/>
      <c r="M290" s="453"/>
      <c r="N290" s="453"/>
      <c r="O290" s="453"/>
      <c r="P290" s="453"/>
      <c r="Q290" s="453"/>
      <c r="R290" s="453"/>
      <c r="S290" s="453"/>
      <c r="T290" s="453"/>
      <c r="U290" s="453"/>
      <c r="V290" s="453"/>
      <c r="W290" s="453"/>
      <c r="X290" s="453"/>
      <c r="Y290" s="453"/>
      <c r="Z290" s="489"/>
      <c r="AA290" s="489"/>
      <c r="AB290" s="490"/>
      <c r="AC290" s="453"/>
      <c r="AD290" s="453"/>
      <c r="AE290" s="453"/>
      <c r="AF290" s="453"/>
      <c r="AG290" s="453"/>
      <c r="AH290" s="453"/>
      <c r="AI290" s="453"/>
      <c r="AJ290" s="453"/>
      <c r="AK290" s="453"/>
      <c r="AL290" s="453"/>
      <c r="AM290" s="453"/>
      <c r="AN290" s="453"/>
      <c r="AO290" s="453"/>
      <c r="AP290" s="453"/>
      <c r="AQ290" s="453"/>
      <c r="AR290" s="453"/>
      <c r="AS290" s="453"/>
      <c r="AT290" s="453"/>
      <c r="AU290" s="453"/>
      <c r="AV290" s="453"/>
      <c r="AW290" s="453"/>
      <c r="AX290" s="453"/>
      <c r="AY290" s="453"/>
      <c r="AZ290" s="453"/>
      <c r="BA290" s="532"/>
      <c r="BB290" s="541"/>
      <c r="BC290" s="503"/>
      <c r="BD290" s="453">
        <v>3001</v>
      </c>
      <c r="BE290" s="453"/>
      <c r="BF290" s="470"/>
      <c r="BG290" s="453"/>
      <c r="BH290" s="453"/>
      <c r="BI290" s="453"/>
      <c r="BJ290" s="453"/>
      <c r="BK290" s="453"/>
      <c r="BL290" s="453"/>
      <c r="BM290" s="502"/>
      <c r="BN290" s="490"/>
      <c r="BO290" s="470"/>
      <c r="BP290" s="490"/>
      <c r="BQ290" s="453"/>
      <c r="BR290" s="502"/>
      <c r="BS290" s="524"/>
      <c r="BT290" s="530"/>
    </row>
    <row r="291" s="435" customFormat="1" ht="18" customHeight="1" spans="1:72">
      <c r="A291" s="451" t="s">
        <v>4038</v>
      </c>
      <c r="B291" s="456">
        <v>44420</v>
      </c>
      <c r="C291" s="459">
        <v>1000008084</v>
      </c>
      <c r="D291" s="451"/>
      <c r="E291" s="457"/>
      <c r="F291" s="453"/>
      <c r="G291" s="453"/>
      <c r="H291" s="453"/>
      <c r="I291" s="453"/>
      <c r="J291" s="453"/>
      <c r="K291" s="453"/>
      <c r="L291" s="453"/>
      <c r="M291" s="453"/>
      <c r="N291" s="453"/>
      <c r="O291" s="453"/>
      <c r="P291" s="453"/>
      <c r="Q291" s="453"/>
      <c r="R291" s="453"/>
      <c r="S291" s="453"/>
      <c r="T291" s="453"/>
      <c r="U291" s="453"/>
      <c r="V291" s="453"/>
      <c r="W291" s="453"/>
      <c r="X291" s="453"/>
      <c r="Y291" s="453"/>
      <c r="Z291" s="489"/>
      <c r="AA291" s="489"/>
      <c r="AB291" s="490"/>
      <c r="AC291" s="453"/>
      <c r="AD291" s="453"/>
      <c r="AE291" s="453"/>
      <c r="AF291" s="453"/>
      <c r="AG291" s="453"/>
      <c r="AH291" s="453"/>
      <c r="AI291" s="453"/>
      <c r="AJ291" s="453"/>
      <c r="AK291" s="453"/>
      <c r="AL291" s="453"/>
      <c r="AM291" s="453"/>
      <c r="AN291" s="453"/>
      <c r="AO291" s="453"/>
      <c r="AP291" s="453"/>
      <c r="AQ291" s="453"/>
      <c r="AR291" s="453"/>
      <c r="AS291" s="453"/>
      <c r="AT291" s="453"/>
      <c r="AU291" s="453"/>
      <c r="AV291" s="453"/>
      <c r="AW291" s="453"/>
      <c r="AX291" s="453"/>
      <c r="AY291" s="453"/>
      <c r="AZ291" s="453"/>
      <c r="BA291" s="532"/>
      <c r="BB291" s="541"/>
      <c r="BC291" s="503"/>
      <c r="BD291" s="453"/>
      <c r="BE291" s="453"/>
      <c r="BF291" s="470">
        <v>3500</v>
      </c>
      <c r="BG291" s="453"/>
      <c r="BH291" s="453"/>
      <c r="BI291" s="453"/>
      <c r="BJ291" s="453"/>
      <c r="BK291" s="453"/>
      <c r="BL291" s="453"/>
      <c r="BM291" s="502"/>
      <c r="BN291" s="490"/>
      <c r="BO291" s="470"/>
      <c r="BP291" s="490"/>
      <c r="BQ291" s="453"/>
      <c r="BR291" s="502"/>
      <c r="BS291" s="524"/>
      <c r="BT291" s="530"/>
    </row>
    <row r="292" s="435" customFormat="1" ht="18" customHeight="1" spans="1:72">
      <c r="A292" s="451" t="s">
        <v>4039</v>
      </c>
      <c r="B292" s="456">
        <v>44434</v>
      </c>
      <c r="C292" s="459">
        <v>1000008178</v>
      </c>
      <c r="D292" s="451"/>
      <c r="E292" s="457"/>
      <c r="F292" s="453"/>
      <c r="G292" s="453"/>
      <c r="H292" s="453"/>
      <c r="I292" s="453"/>
      <c r="J292" s="453"/>
      <c r="K292" s="453"/>
      <c r="L292" s="453"/>
      <c r="M292" s="453"/>
      <c r="N292" s="453"/>
      <c r="O292" s="453"/>
      <c r="P292" s="453"/>
      <c r="Q292" s="453"/>
      <c r="R292" s="453"/>
      <c r="S292" s="453"/>
      <c r="T292" s="453"/>
      <c r="U292" s="453"/>
      <c r="V292" s="453"/>
      <c r="W292" s="453"/>
      <c r="X292" s="453"/>
      <c r="Y292" s="453"/>
      <c r="Z292" s="489"/>
      <c r="AA292" s="489"/>
      <c r="AB292" s="490"/>
      <c r="AC292" s="453"/>
      <c r="AD292" s="453"/>
      <c r="AE292" s="453"/>
      <c r="AF292" s="453"/>
      <c r="AG292" s="453"/>
      <c r="AH292" s="453"/>
      <c r="AI292" s="453"/>
      <c r="AJ292" s="453"/>
      <c r="AK292" s="453"/>
      <c r="AL292" s="453"/>
      <c r="AM292" s="453"/>
      <c r="AN292" s="453"/>
      <c r="AO292" s="453"/>
      <c r="AP292" s="453"/>
      <c r="AQ292" s="453"/>
      <c r="AR292" s="453"/>
      <c r="AS292" s="453"/>
      <c r="AT292" s="453"/>
      <c r="AU292" s="453"/>
      <c r="AV292" s="453"/>
      <c r="AW292" s="453"/>
      <c r="AX292" s="453"/>
      <c r="AY292" s="453"/>
      <c r="AZ292" s="453"/>
      <c r="BA292" s="532"/>
      <c r="BB292" s="541">
        <v>16320</v>
      </c>
      <c r="BC292" s="503"/>
      <c r="BD292" s="453"/>
      <c r="BE292" s="453"/>
      <c r="BF292" s="470"/>
      <c r="BG292" s="453"/>
      <c r="BH292" s="453"/>
      <c r="BI292" s="453"/>
      <c r="BJ292" s="453"/>
      <c r="BK292" s="453"/>
      <c r="BL292" s="453"/>
      <c r="BM292" s="502"/>
      <c r="BN292" s="490"/>
      <c r="BO292" s="470"/>
      <c r="BP292" s="490"/>
      <c r="BQ292" s="453"/>
      <c r="BR292" s="502"/>
      <c r="BS292" s="524"/>
      <c r="BT292" s="530"/>
    </row>
    <row r="293" s="435" customFormat="1" ht="18" customHeight="1" spans="1:72">
      <c r="A293" s="451" t="s">
        <v>4039</v>
      </c>
      <c r="B293" s="456">
        <v>44434</v>
      </c>
      <c r="C293" s="459">
        <v>1000008179</v>
      </c>
      <c r="D293" s="451"/>
      <c r="E293" s="457"/>
      <c r="F293" s="453"/>
      <c r="G293" s="453"/>
      <c r="H293" s="453"/>
      <c r="I293" s="453"/>
      <c r="J293" s="453"/>
      <c r="K293" s="453"/>
      <c r="L293" s="453"/>
      <c r="M293" s="453"/>
      <c r="N293" s="453"/>
      <c r="O293" s="453"/>
      <c r="P293" s="453"/>
      <c r="Q293" s="453"/>
      <c r="R293" s="453"/>
      <c r="S293" s="453"/>
      <c r="T293" s="453"/>
      <c r="U293" s="453"/>
      <c r="V293" s="453"/>
      <c r="W293" s="453"/>
      <c r="X293" s="453"/>
      <c r="Y293" s="453"/>
      <c r="Z293" s="489"/>
      <c r="AA293" s="489"/>
      <c r="AB293" s="490"/>
      <c r="AC293" s="453"/>
      <c r="AD293" s="453"/>
      <c r="AE293" s="453"/>
      <c r="AF293" s="453"/>
      <c r="AG293" s="453"/>
      <c r="AH293" s="453"/>
      <c r="AI293" s="453"/>
      <c r="AJ293" s="453"/>
      <c r="AK293" s="453"/>
      <c r="AL293" s="453"/>
      <c r="AM293" s="453"/>
      <c r="AN293" s="453"/>
      <c r="AO293" s="453"/>
      <c r="AP293" s="453"/>
      <c r="AQ293" s="453"/>
      <c r="AR293" s="453"/>
      <c r="AS293" s="453"/>
      <c r="AT293" s="453"/>
      <c r="AU293" s="453"/>
      <c r="AV293" s="453"/>
      <c r="AW293" s="453"/>
      <c r="AX293" s="453"/>
      <c r="AY293" s="453"/>
      <c r="AZ293" s="453"/>
      <c r="BA293" s="532">
        <v>12480</v>
      </c>
      <c r="BB293" s="541"/>
      <c r="BC293" s="503"/>
      <c r="BD293" s="453"/>
      <c r="BE293" s="453"/>
      <c r="BF293" s="470"/>
      <c r="BG293" s="453"/>
      <c r="BH293" s="453"/>
      <c r="BI293" s="453"/>
      <c r="BJ293" s="453"/>
      <c r="BK293" s="453"/>
      <c r="BL293" s="453"/>
      <c r="BM293" s="502"/>
      <c r="BN293" s="490"/>
      <c r="BO293" s="470"/>
      <c r="BP293" s="490"/>
      <c r="BQ293" s="453"/>
      <c r="BR293" s="502"/>
      <c r="BS293" s="524"/>
      <c r="BT293" s="530"/>
    </row>
    <row r="294" s="435" customFormat="1" ht="18" customHeight="1" spans="1:72">
      <c r="A294" s="451" t="s">
        <v>4039</v>
      </c>
      <c r="B294" s="456">
        <v>44441</v>
      </c>
      <c r="C294" s="459">
        <v>1000008250</v>
      </c>
      <c r="D294" s="451"/>
      <c r="E294" s="457"/>
      <c r="F294" s="453"/>
      <c r="G294" s="453"/>
      <c r="H294" s="453"/>
      <c r="I294" s="453"/>
      <c r="J294" s="453"/>
      <c r="K294" s="453"/>
      <c r="L294" s="453"/>
      <c r="M294" s="453"/>
      <c r="N294" s="453"/>
      <c r="O294" s="453"/>
      <c r="P294" s="453"/>
      <c r="Q294" s="453"/>
      <c r="R294" s="453"/>
      <c r="S294" s="453"/>
      <c r="T294" s="453"/>
      <c r="U294" s="453"/>
      <c r="V294" s="453"/>
      <c r="W294" s="453"/>
      <c r="X294" s="453"/>
      <c r="Y294" s="453"/>
      <c r="Z294" s="489"/>
      <c r="AA294" s="489"/>
      <c r="AB294" s="490"/>
      <c r="AC294" s="453"/>
      <c r="AD294" s="453"/>
      <c r="AE294" s="453"/>
      <c r="AF294" s="453"/>
      <c r="AG294" s="453"/>
      <c r="AH294" s="453"/>
      <c r="AI294" s="453"/>
      <c r="AJ294" s="453"/>
      <c r="AK294" s="453"/>
      <c r="AL294" s="453"/>
      <c r="AM294" s="453"/>
      <c r="AN294" s="453"/>
      <c r="AO294" s="453"/>
      <c r="AP294" s="453"/>
      <c r="AQ294" s="453"/>
      <c r="AR294" s="453"/>
      <c r="AS294" s="453"/>
      <c r="AT294" s="453"/>
      <c r="AU294" s="453"/>
      <c r="AV294" s="453"/>
      <c r="AW294" s="453"/>
      <c r="AX294" s="453"/>
      <c r="AY294" s="453"/>
      <c r="AZ294" s="453"/>
      <c r="BA294" s="532"/>
      <c r="BB294" s="541">
        <v>1280</v>
      </c>
      <c r="BC294" s="503"/>
      <c r="BD294" s="453"/>
      <c r="BE294" s="453"/>
      <c r="BF294" s="470"/>
      <c r="BG294" s="453"/>
      <c r="BH294" s="453"/>
      <c r="BI294" s="453"/>
      <c r="BJ294" s="453"/>
      <c r="BK294" s="453"/>
      <c r="BL294" s="453"/>
      <c r="BM294" s="502"/>
      <c r="BN294" s="490"/>
      <c r="BO294" s="470"/>
      <c r="BP294" s="490"/>
      <c r="BQ294" s="453"/>
      <c r="BR294" s="502"/>
      <c r="BS294" s="524"/>
      <c r="BT294" s="530"/>
    </row>
    <row r="295" s="435" customFormat="1" ht="18" customHeight="1" spans="1:72">
      <c r="A295" s="451" t="s">
        <v>4039</v>
      </c>
      <c r="B295" s="456">
        <v>44441</v>
      </c>
      <c r="C295" s="459">
        <v>1000008251</v>
      </c>
      <c r="D295" s="451"/>
      <c r="E295" s="457"/>
      <c r="F295" s="453"/>
      <c r="G295" s="453"/>
      <c r="H295" s="453"/>
      <c r="I295" s="453"/>
      <c r="J295" s="453"/>
      <c r="K295" s="453"/>
      <c r="L295" s="453"/>
      <c r="M295" s="453"/>
      <c r="N295" s="453"/>
      <c r="O295" s="453"/>
      <c r="P295" s="453"/>
      <c r="Q295" s="453"/>
      <c r="R295" s="453"/>
      <c r="S295" s="453"/>
      <c r="T295" s="453"/>
      <c r="U295" s="453"/>
      <c r="V295" s="453"/>
      <c r="W295" s="453"/>
      <c r="X295" s="453"/>
      <c r="Y295" s="453"/>
      <c r="Z295" s="489"/>
      <c r="AA295" s="489"/>
      <c r="AB295" s="490"/>
      <c r="AC295" s="453"/>
      <c r="AD295" s="453"/>
      <c r="AE295" s="453"/>
      <c r="AF295" s="453"/>
      <c r="AG295" s="453"/>
      <c r="AH295" s="453"/>
      <c r="AI295" s="453"/>
      <c r="AJ295" s="453"/>
      <c r="AK295" s="453"/>
      <c r="AL295" s="453"/>
      <c r="AM295" s="453"/>
      <c r="AN295" s="453"/>
      <c r="AO295" s="453"/>
      <c r="AP295" s="453"/>
      <c r="AQ295" s="453"/>
      <c r="AR295" s="453"/>
      <c r="AS295" s="453"/>
      <c r="AT295" s="453"/>
      <c r="AU295" s="453"/>
      <c r="AV295" s="453"/>
      <c r="AW295" s="453"/>
      <c r="AX295" s="453"/>
      <c r="AY295" s="453"/>
      <c r="AZ295" s="453"/>
      <c r="BA295" s="532">
        <v>1280</v>
      </c>
      <c r="BB295" s="541"/>
      <c r="BC295" s="503"/>
      <c r="BD295" s="453"/>
      <c r="BE295" s="453"/>
      <c r="BF295" s="470"/>
      <c r="BG295" s="453"/>
      <c r="BH295" s="453"/>
      <c r="BI295" s="453"/>
      <c r="BJ295" s="453"/>
      <c r="BK295" s="453"/>
      <c r="BL295" s="453"/>
      <c r="BM295" s="502"/>
      <c r="BN295" s="490"/>
      <c r="BO295" s="470"/>
      <c r="BP295" s="490"/>
      <c r="BQ295" s="453"/>
      <c r="BR295" s="502"/>
      <c r="BS295" s="524"/>
      <c r="BT295" s="530"/>
    </row>
    <row r="296" s="435" customFormat="1" ht="18" customHeight="1" spans="1:72">
      <c r="A296" s="451" t="s">
        <v>4039</v>
      </c>
      <c r="B296" s="456">
        <v>44442</v>
      </c>
      <c r="C296" s="459">
        <v>1000008305</v>
      </c>
      <c r="D296" s="451"/>
      <c r="E296" s="457"/>
      <c r="F296" s="453"/>
      <c r="G296" s="453"/>
      <c r="H296" s="453"/>
      <c r="I296" s="453"/>
      <c r="J296" s="453">
        <v>3001</v>
      </c>
      <c r="K296" s="453"/>
      <c r="L296" s="453"/>
      <c r="M296" s="453"/>
      <c r="N296" s="453"/>
      <c r="O296" s="453"/>
      <c r="P296" s="453"/>
      <c r="Q296" s="453"/>
      <c r="R296" s="453"/>
      <c r="S296" s="453"/>
      <c r="T296" s="453"/>
      <c r="U296" s="453"/>
      <c r="V296" s="453"/>
      <c r="W296" s="453"/>
      <c r="X296" s="453"/>
      <c r="Y296" s="453"/>
      <c r="Z296" s="489"/>
      <c r="AA296" s="489"/>
      <c r="AB296" s="490"/>
      <c r="AC296" s="453"/>
      <c r="AD296" s="453"/>
      <c r="AE296" s="453"/>
      <c r="AF296" s="453"/>
      <c r="AG296" s="453"/>
      <c r="AH296" s="453"/>
      <c r="AI296" s="453"/>
      <c r="AJ296" s="453"/>
      <c r="AK296" s="453"/>
      <c r="AL296" s="453"/>
      <c r="AM296" s="453"/>
      <c r="AN296" s="453"/>
      <c r="AO296" s="453"/>
      <c r="AP296" s="453"/>
      <c r="AQ296" s="453"/>
      <c r="AR296" s="453"/>
      <c r="AS296" s="453"/>
      <c r="AT296" s="453"/>
      <c r="AU296" s="453"/>
      <c r="AV296" s="453"/>
      <c r="AW296" s="453"/>
      <c r="AX296" s="453"/>
      <c r="AY296" s="453"/>
      <c r="AZ296" s="453"/>
      <c r="BA296" s="532"/>
      <c r="BB296" s="541"/>
      <c r="BC296" s="503"/>
      <c r="BD296" s="453"/>
      <c r="BE296" s="453"/>
      <c r="BF296" s="470"/>
      <c r="BG296" s="453"/>
      <c r="BH296" s="453"/>
      <c r="BI296" s="453"/>
      <c r="BJ296" s="453"/>
      <c r="BK296" s="453"/>
      <c r="BL296" s="453"/>
      <c r="BM296" s="502"/>
      <c r="BN296" s="490"/>
      <c r="BO296" s="470"/>
      <c r="BP296" s="490"/>
      <c r="BQ296" s="453"/>
      <c r="BR296" s="502"/>
      <c r="BS296" s="524"/>
      <c r="BT296" s="530"/>
    </row>
    <row r="297" s="435" customFormat="1" ht="18" customHeight="1" spans="1:72">
      <c r="A297" s="451" t="s">
        <v>4039</v>
      </c>
      <c r="B297" s="456">
        <v>44454</v>
      </c>
      <c r="C297" s="459">
        <v>1000008363</v>
      </c>
      <c r="D297" s="451"/>
      <c r="E297" s="457"/>
      <c r="F297" s="453"/>
      <c r="G297" s="453"/>
      <c r="H297" s="453"/>
      <c r="I297" s="453"/>
      <c r="J297" s="453"/>
      <c r="K297" s="453"/>
      <c r="L297" s="453"/>
      <c r="M297" s="453"/>
      <c r="N297" s="453"/>
      <c r="O297" s="453"/>
      <c r="P297" s="453"/>
      <c r="Q297" s="453"/>
      <c r="R297" s="453"/>
      <c r="S297" s="453"/>
      <c r="T297" s="453"/>
      <c r="U297" s="453"/>
      <c r="V297" s="453"/>
      <c r="W297" s="453"/>
      <c r="X297" s="453"/>
      <c r="Y297" s="453"/>
      <c r="Z297" s="489"/>
      <c r="AA297" s="489"/>
      <c r="AB297" s="490"/>
      <c r="AC297" s="453"/>
      <c r="AD297" s="453"/>
      <c r="AE297" s="453"/>
      <c r="AF297" s="453"/>
      <c r="AG297" s="453"/>
      <c r="AH297" s="453"/>
      <c r="AI297" s="453"/>
      <c r="AJ297" s="453"/>
      <c r="AK297" s="453"/>
      <c r="AL297" s="453"/>
      <c r="AM297" s="453"/>
      <c r="AN297" s="453"/>
      <c r="AO297" s="453"/>
      <c r="AP297" s="453"/>
      <c r="AQ297" s="453"/>
      <c r="AR297" s="453"/>
      <c r="AS297" s="453"/>
      <c r="AT297" s="453"/>
      <c r="AU297" s="453"/>
      <c r="AV297" s="453"/>
      <c r="AW297" s="453"/>
      <c r="AX297" s="453"/>
      <c r="AY297" s="453"/>
      <c r="AZ297" s="453"/>
      <c r="BA297" s="532">
        <v>4800</v>
      </c>
      <c r="BB297" s="541"/>
      <c r="BC297" s="503"/>
      <c r="BD297" s="453"/>
      <c r="BE297" s="453"/>
      <c r="BF297" s="470"/>
      <c r="BG297" s="453"/>
      <c r="BH297" s="453"/>
      <c r="BI297" s="453"/>
      <c r="BJ297" s="453"/>
      <c r="BK297" s="453"/>
      <c r="BL297" s="453"/>
      <c r="BM297" s="502"/>
      <c r="BN297" s="490"/>
      <c r="BO297" s="470"/>
      <c r="BP297" s="490"/>
      <c r="BQ297" s="453"/>
      <c r="BR297" s="502"/>
      <c r="BS297" s="524"/>
      <c r="BT297" s="530"/>
    </row>
    <row r="298" s="435" customFormat="1" ht="18" customHeight="1" spans="1:72">
      <c r="A298" s="451" t="s">
        <v>4038</v>
      </c>
      <c r="B298" s="456">
        <v>44469</v>
      </c>
      <c r="C298" s="459">
        <v>1000009111</v>
      </c>
      <c r="D298" s="451"/>
      <c r="E298" s="457"/>
      <c r="F298" s="453"/>
      <c r="G298" s="453"/>
      <c r="H298" s="453"/>
      <c r="I298" s="453"/>
      <c r="J298" s="453"/>
      <c r="K298" s="453"/>
      <c r="L298" s="453"/>
      <c r="M298" s="453"/>
      <c r="N298" s="453"/>
      <c r="O298" s="453"/>
      <c r="P298" s="453"/>
      <c r="Q298" s="453"/>
      <c r="R298" s="453"/>
      <c r="S298" s="453"/>
      <c r="T298" s="453"/>
      <c r="U298" s="453"/>
      <c r="V298" s="453"/>
      <c r="W298" s="453"/>
      <c r="X298" s="453"/>
      <c r="Y298" s="453"/>
      <c r="Z298" s="489"/>
      <c r="AA298" s="489"/>
      <c r="AB298" s="490"/>
      <c r="AC298" s="538"/>
      <c r="AD298" s="538">
        <v>210000</v>
      </c>
      <c r="AE298" s="538"/>
      <c r="AF298" s="538"/>
      <c r="AG298" s="453"/>
      <c r="AH298" s="453"/>
      <c r="AI298" s="453"/>
      <c r="AJ298" s="453"/>
      <c r="AK298" s="453"/>
      <c r="AL298" s="453"/>
      <c r="AM298" s="453"/>
      <c r="AN298" s="453"/>
      <c r="AO298" s="453"/>
      <c r="AP298" s="453"/>
      <c r="AQ298" s="453"/>
      <c r="AR298" s="453"/>
      <c r="AS298" s="453"/>
      <c r="AT298" s="453"/>
      <c r="AU298" s="453"/>
      <c r="AV298" s="453"/>
      <c r="AW298" s="453"/>
      <c r="AX298" s="453"/>
      <c r="AY298" s="453"/>
      <c r="AZ298" s="453"/>
      <c r="BA298" s="532"/>
      <c r="BB298" s="502"/>
      <c r="BC298" s="503"/>
      <c r="BD298" s="453"/>
      <c r="BE298" s="453"/>
      <c r="BF298" s="470"/>
      <c r="BG298" s="453"/>
      <c r="BH298" s="453"/>
      <c r="BI298" s="453"/>
      <c r="BJ298" s="453"/>
      <c r="BK298" s="453"/>
      <c r="BL298" s="453"/>
      <c r="BM298" s="502"/>
      <c r="BN298" s="490"/>
      <c r="BO298" s="470"/>
      <c r="BP298" s="490"/>
      <c r="BQ298" s="453"/>
      <c r="BR298" s="502"/>
      <c r="BS298" s="524"/>
      <c r="BT298" s="530"/>
    </row>
    <row r="299" s="435" customFormat="1" ht="18" customHeight="1" spans="1:72">
      <c r="A299" s="451" t="s">
        <v>4038</v>
      </c>
      <c r="B299" s="456">
        <v>44469</v>
      </c>
      <c r="C299" s="459">
        <v>1000009112</v>
      </c>
      <c r="D299" s="451"/>
      <c r="E299" s="457"/>
      <c r="F299" s="453"/>
      <c r="G299" s="453"/>
      <c r="H299" s="453"/>
      <c r="I299" s="453"/>
      <c r="J299" s="453"/>
      <c r="K299" s="453"/>
      <c r="L299" s="453"/>
      <c r="M299" s="453"/>
      <c r="N299" s="453"/>
      <c r="O299" s="453"/>
      <c r="P299" s="453"/>
      <c r="Q299" s="453"/>
      <c r="R299" s="453"/>
      <c r="S299" s="453"/>
      <c r="T299" s="453"/>
      <c r="U299" s="453"/>
      <c r="V299" s="453"/>
      <c r="W299" s="453"/>
      <c r="X299" s="453"/>
      <c r="Y299" s="453"/>
      <c r="Z299" s="489"/>
      <c r="AA299" s="489"/>
      <c r="AB299" s="490"/>
      <c r="AC299" s="453"/>
      <c r="AD299" s="453"/>
      <c r="AE299" s="453"/>
      <c r="AF299" s="453"/>
      <c r="AG299" s="453"/>
      <c r="AH299" s="453"/>
      <c r="AI299" s="453"/>
      <c r="AJ299" s="453"/>
      <c r="AK299" s="453"/>
      <c r="AL299" s="453"/>
      <c r="AM299" s="538"/>
      <c r="AN299" s="453"/>
      <c r="AO299" s="538">
        <v>264000</v>
      </c>
      <c r="AP299" s="453"/>
      <c r="AQ299" s="453"/>
      <c r="AR299" s="453"/>
      <c r="AS299" s="453"/>
      <c r="AT299" s="453"/>
      <c r="AU299" s="453"/>
      <c r="AV299" s="453"/>
      <c r="AW299" s="453"/>
      <c r="AX299" s="453"/>
      <c r="AY299" s="453"/>
      <c r="AZ299" s="453"/>
      <c r="BA299" s="532"/>
      <c r="BB299" s="502"/>
      <c r="BC299" s="503"/>
      <c r="BD299" s="453"/>
      <c r="BE299" s="453"/>
      <c r="BF299" s="470"/>
      <c r="BG299" s="453"/>
      <c r="BH299" s="453"/>
      <c r="BI299" s="453"/>
      <c r="BJ299" s="453"/>
      <c r="BK299" s="453"/>
      <c r="BL299" s="453"/>
      <c r="BM299" s="502"/>
      <c r="BN299" s="490"/>
      <c r="BO299" s="470"/>
      <c r="BP299" s="490"/>
      <c r="BQ299" s="453"/>
      <c r="BR299" s="502"/>
      <c r="BS299" s="524"/>
      <c r="BT299" s="530"/>
    </row>
    <row r="300" s="435" customFormat="1" ht="18" customHeight="1" spans="1:72">
      <c r="A300" s="451" t="s">
        <v>4038</v>
      </c>
      <c r="B300" s="456">
        <v>44469</v>
      </c>
      <c r="C300" s="459">
        <v>1000009097</v>
      </c>
      <c r="D300" s="451"/>
      <c r="E300" s="457"/>
      <c r="F300" s="453"/>
      <c r="G300" s="453"/>
      <c r="H300" s="453"/>
      <c r="I300" s="453"/>
      <c r="J300" s="453"/>
      <c r="K300" s="453"/>
      <c r="L300" s="538">
        <v>30500</v>
      </c>
      <c r="M300" s="453"/>
      <c r="N300" s="453"/>
      <c r="O300" s="453"/>
      <c r="P300" s="453"/>
      <c r="Q300" s="453"/>
      <c r="R300" s="453"/>
      <c r="S300" s="453"/>
      <c r="T300" s="453"/>
      <c r="U300" s="453"/>
      <c r="V300" s="453"/>
      <c r="W300" s="453"/>
      <c r="X300" s="453"/>
      <c r="Y300" s="453"/>
      <c r="Z300" s="489"/>
      <c r="AA300" s="489"/>
      <c r="AB300" s="490"/>
      <c r="AC300" s="453"/>
      <c r="AD300" s="453"/>
      <c r="AE300" s="453"/>
      <c r="AF300" s="453"/>
      <c r="AG300" s="453"/>
      <c r="AH300" s="453"/>
      <c r="AI300" s="453"/>
      <c r="AJ300" s="453"/>
      <c r="AK300" s="453"/>
      <c r="AL300" s="453"/>
      <c r="AM300" s="453"/>
      <c r="AN300" s="453"/>
      <c r="AO300" s="453"/>
      <c r="AP300" s="453"/>
      <c r="AQ300" s="453"/>
      <c r="AR300" s="453"/>
      <c r="AS300" s="453"/>
      <c r="AT300" s="453"/>
      <c r="AU300" s="453"/>
      <c r="AV300" s="453"/>
      <c r="AW300" s="453"/>
      <c r="AX300" s="453"/>
      <c r="AY300" s="453"/>
      <c r="AZ300" s="453"/>
      <c r="BA300" s="532"/>
      <c r="BB300" s="502"/>
      <c r="BC300" s="503"/>
      <c r="BD300" s="453"/>
      <c r="BE300" s="453"/>
      <c r="BF300" s="470"/>
      <c r="BG300" s="453"/>
      <c r="BH300" s="453"/>
      <c r="BI300" s="453"/>
      <c r="BJ300" s="453"/>
      <c r="BK300" s="453"/>
      <c r="BL300" s="453"/>
      <c r="BM300" s="502"/>
      <c r="BN300" s="490"/>
      <c r="BO300" s="470"/>
      <c r="BP300" s="490"/>
      <c r="BQ300" s="453"/>
      <c r="BR300" s="502"/>
      <c r="BS300" s="524"/>
      <c r="BT300" s="530"/>
    </row>
    <row r="301" s="435" customFormat="1" ht="18" customHeight="1" spans="1:72">
      <c r="A301" s="451" t="s">
        <v>4038</v>
      </c>
      <c r="B301" s="456">
        <v>44469</v>
      </c>
      <c r="C301" s="459">
        <v>1000009116</v>
      </c>
      <c r="D301" s="451"/>
      <c r="E301" s="457"/>
      <c r="F301" s="453"/>
      <c r="G301" s="453"/>
      <c r="H301" s="453"/>
      <c r="I301" s="453"/>
      <c r="J301" s="453"/>
      <c r="K301" s="453"/>
      <c r="L301" s="453"/>
      <c r="M301" s="539">
        <v>6000</v>
      </c>
      <c r="N301" s="453"/>
      <c r="O301" s="453"/>
      <c r="P301" s="453"/>
      <c r="Q301" s="453"/>
      <c r="R301" s="453"/>
      <c r="S301" s="453"/>
      <c r="T301" s="453"/>
      <c r="U301" s="453"/>
      <c r="V301" s="453"/>
      <c r="W301" s="453"/>
      <c r="X301" s="453"/>
      <c r="Y301" s="453"/>
      <c r="Z301" s="489"/>
      <c r="AA301" s="489"/>
      <c r="AB301" s="490"/>
      <c r="AC301" s="453"/>
      <c r="AD301" s="453"/>
      <c r="AE301" s="453"/>
      <c r="AF301" s="453"/>
      <c r="AG301" s="453"/>
      <c r="AH301" s="453"/>
      <c r="AI301" s="453"/>
      <c r="AJ301" s="453"/>
      <c r="AK301" s="453"/>
      <c r="AL301" s="453"/>
      <c r="AM301" s="453"/>
      <c r="AN301" s="453"/>
      <c r="AO301" s="453"/>
      <c r="AP301" s="453"/>
      <c r="AQ301" s="453"/>
      <c r="AR301" s="453"/>
      <c r="AS301" s="453"/>
      <c r="AT301" s="453"/>
      <c r="AU301" s="453"/>
      <c r="AV301" s="453"/>
      <c r="AW301" s="453"/>
      <c r="AX301" s="453"/>
      <c r="AY301" s="453"/>
      <c r="AZ301" s="453"/>
      <c r="BA301" s="532"/>
      <c r="BB301" s="502"/>
      <c r="BC301" s="503"/>
      <c r="BD301" s="453"/>
      <c r="BE301" s="453"/>
      <c r="BF301" s="470"/>
      <c r="BG301" s="453"/>
      <c r="BH301" s="453"/>
      <c r="BI301" s="453"/>
      <c r="BJ301" s="453"/>
      <c r="BK301" s="453"/>
      <c r="BL301" s="453"/>
      <c r="BM301" s="502"/>
      <c r="BN301" s="490"/>
      <c r="BO301" s="470"/>
      <c r="BP301" s="490"/>
      <c r="BQ301" s="453"/>
      <c r="BR301" s="502"/>
      <c r="BS301" s="524"/>
      <c r="BT301" s="530"/>
    </row>
    <row r="302" s="435" customFormat="1" ht="18" customHeight="1" spans="1:72">
      <c r="A302" s="451" t="s">
        <v>4038</v>
      </c>
      <c r="B302" s="456">
        <v>44469</v>
      </c>
      <c r="C302" s="536">
        <v>1000009089</v>
      </c>
      <c r="D302" s="451"/>
      <c r="E302" s="457"/>
      <c r="F302" s="453"/>
      <c r="G302" s="453"/>
      <c r="H302" s="453"/>
      <c r="I302" s="453"/>
      <c r="J302" s="453"/>
      <c r="K302" s="453"/>
      <c r="L302" s="453"/>
      <c r="M302" s="453"/>
      <c r="N302" s="539">
        <v>6000</v>
      </c>
      <c r="O302" s="539"/>
      <c r="P302" s="539"/>
      <c r="Q302" s="539"/>
      <c r="R302" s="453"/>
      <c r="S302" s="453"/>
      <c r="T302" s="453"/>
      <c r="U302" s="453"/>
      <c r="V302" s="453"/>
      <c r="W302" s="453"/>
      <c r="X302" s="453"/>
      <c r="Y302" s="453"/>
      <c r="Z302" s="489"/>
      <c r="AA302" s="489"/>
      <c r="AB302" s="490"/>
      <c r="AC302" s="453"/>
      <c r="AD302" s="453"/>
      <c r="AE302" s="453"/>
      <c r="AF302" s="453"/>
      <c r="AG302" s="453"/>
      <c r="AH302" s="453"/>
      <c r="AI302" s="453"/>
      <c r="AJ302" s="453"/>
      <c r="AK302" s="453"/>
      <c r="AL302" s="453"/>
      <c r="AM302" s="453"/>
      <c r="AN302" s="453"/>
      <c r="AO302" s="453"/>
      <c r="AP302" s="453"/>
      <c r="AQ302" s="453"/>
      <c r="AR302" s="453"/>
      <c r="AS302" s="453"/>
      <c r="AT302" s="453"/>
      <c r="AU302" s="453"/>
      <c r="AV302" s="453"/>
      <c r="AW302" s="453"/>
      <c r="AX302" s="453"/>
      <c r="AY302" s="453"/>
      <c r="AZ302" s="453"/>
      <c r="BA302" s="532"/>
      <c r="BB302" s="502"/>
      <c r="BC302" s="503"/>
      <c r="BD302" s="453"/>
      <c r="BE302" s="453"/>
      <c r="BF302" s="470"/>
      <c r="BG302" s="453"/>
      <c r="BH302" s="453"/>
      <c r="BI302" s="453"/>
      <c r="BJ302" s="453"/>
      <c r="BK302" s="453"/>
      <c r="BL302" s="453"/>
      <c r="BM302" s="502"/>
      <c r="BN302" s="490"/>
      <c r="BO302" s="470"/>
      <c r="BP302" s="490"/>
      <c r="BQ302" s="453"/>
      <c r="BR302" s="502"/>
      <c r="BS302" s="524"/>
      <c r="BT302" s="530"/>
    </row>
    <row r="303" s="435" customFormat="1" ht="18" customHeight="1" spans="1:72">
      <c r="A303" s="451" t="s">
        <v>4038</v>
      </c>
      <c r="B303" s="456">
        <v>44469</v>
      </c>
      <c r="C303" s="459">
        <v>1000009091</v>
      </c>
      <c r="D303" s="451"/>
      <c r="E303" s="457"/>
      <c r="F303" s="453"/>
      <c r="G303" s="453"/>
      <c r="H303" s="453"/>
      <c r="I303" s="453"/>
      <c r="J303" s="453"/>
      <c r="K303" s="453"/>
      <c r="L303" s="453"/>
      <c r="M303" s="453"/>
      <c r="N303" s="453"/>
      <c r="O303" s="453"/>
      <c r="P303" s="453"/>
      <c r="Q303" s="453"/>
      <c r="R303" s="453"/>
      <c r="S303" s="539">
        <v>7000</v>
      </c>
      <c r="T303" s="539"/>
      <c r="U303" s="539"/>
      <c r="V303" s="539"/>
      <c r="W303" s="539"/>
      <c r="X303" s="539"/>
      <c r="Y303" s="539"/>
      <c r="Z303" s="540"/>
      <c r="AA303" s="540"/>
      <c r="AB303" s="490"/>
      <c r="AC303" s="453"/>
      <c r="AD303" s="453"/>
      <c r="AE303" s="453"/>
      <c r="AF303" s="453"/>
      <c r="AG303" s="453"/>
      <c r="AH303" s="453"/>
      <c r="AI303" s="453"/>
      <c r="AJ303" s="453"/>
      <c r="AK303" s="453"/>
      <c r="AL303" s="453"/>
      <c r="AM303" s="453"/>
      <c r="AN303" s="453"/>
      <c r="AO303" s="453"/>
      <c r="AP303" s="453"/>
      <c r="AQ303" s="453"/>
      <c r="AR303" s="453"/>
      <c r="AS303" s="453"/>
      <c r="AT303" s="453"/>
      <c r="AU303" s="453"/>
      <c r="AV303" s="453"/>
      <c r="AW303" s="453"/>
      <c r="AX303" s="453"/>
      <c r="AY303" s="453"/>
      <c r="AZ303" s="453"/>
      <c r="BA303" s="532"/>
      <c r="BB303" s="502"/>
      <c r="BC303" s="503"/>
      <c r="BD303" s="453"/>
      <c r="BE303" s="453"/>
      <c r="BF303" s="470"/>
      <c r="BG303" s="453"/>
      <c r="BH303" s="453"/>
      <c r="BI303" s="453"/>
      <c r="BJ303" s="453"/>
      <c r="BK303" s="453"/>
      <c r="BL303" s="453"/>
      <c r="BM303" s="502"/>
      <c r="BN303" s="490"/>
      <c r="BO303" s="470"/>
      <c r="BP303" s="490"/>
      <c r="BQ303" s="453"/>
      <c r="BR303" s="502"/>
      <c r="BS303" s="524"/>
      <c r="BT303" s="530"/>
    </row>
    <row r="304" s="435" customFormat="1" ht="18" customHeight="1" spans="1:72">
      <c r="A304" s="451" t="s">
        <v>4038</v>
      </c>
      <c r="B304" s="456">
        <v>44483</v>
      </c>
      <c r="C304" s="526">
        <v>1000008540</v>
      </c>
      <c r="D304" s="451"/>
      <c r="E304" s="457"/>
      <c r="F304" s="453"/>
      <c r="G304" s="453"/>
      <c r="H304" s="453"/>
      <c r="I304" s="453"/>
      <c r="J304" s="453"/>
      <c r="K304" s="453"/>
      <c r="L304" s="453"/>
      <c r="M304" s="453"/>
      <c r="N304" s="453"/>
      <c r="O304" s="453"/>
      <c r="P304" s="453"/>
      <c r="Q304" s="453"/>
      <c r="R304" s="453"/>
      <c r="S304" s="453"/>
      <c r="T304" s="453"/>
      <c r="U304" s="453"/>
      <c r="V304" s="453"/>
      <c r="W304" s="453"/>
      <c r="X304" s="453"/>
      <c r="Y304" s="453"/>
      <c r="Z304" s="489"/>
      <c r="AA304" s="489"/>
      <c r="AB304" s="490"/>
      <c r="AC304" s="453"/>
      <c r="AD304" s="453"/>
      <c r="AE304" s="453"/>
      <c r="AF304" s="453"/>
      <c r="AG304" s="453"/>
      <c r="AH304" s="453"/>
      <c r="AI304" s="453"/>
      <c r="AJ304" s="453"/>
      <c r="AK304" s="453"/>
      <c r="AL304" s="453"/>
      <c r="AM304" s="453"/>
      <c r="AN304" s="453"/>
      <c r="AO304" s="453"/>
      <c r="AP304" s="453"/>
      <c r="AQ304" s="453"/>
      <c r="AR304" s="453"/>
      <c r="AS304" s="453"/>
      <c r="AT304" s="453"/>
      <c r="AU304" s="453"/>
      <c r="AV304" s="453"/>
      <c r="AW304" s="453"/>
      <c r="AX304" s="453"/>
      <c r="AY304" s="453"/>
      <c r="AZ304" s="453"/>
      <c r="BA304" s="532">
        <v>4800</v>
      </c>
      <c r="BB304" s="502"/>
      <c r="BC304" s="503"/>
      <c r="BD304" s="453"/>
      <c r="BE304" s="453"/>
      <c r="BF304" s="470"/>
      <c r="BG304" s="453"/>
      <c r="BH304" s="453"/>
      <c r="BI304" s="453"/>
      <c r="BJ304" s="453"/>
      <c r="BK304" s="453"/>
      <c r="BL304" s="453"/>
      <c r="BM304" s="502"/>
      <c r="BN304" s="490"/>
      <c r="BO304" s="470"/>
      <c r="BP304" s="490"/>
      <c r="BQ304" s="453"/>
      <c r="BR304" s="502"/>
      <c r="BS304" s="524"/>
      <c r="BT304" s="530"/>
    </row>
    <row r="305" s="435" customFormat="1" ht="18" customHeight="1" spans="1:72">
      <c r="A305" s="451" t="s">
        <v>4038</v>
      </c>
      <c r="B305" s="456">
        <v>44483</v>
      </c>
      <c r="C305" s="526">
        <v>1000008541</v>
      </c>
      <c r="D305" s="451"/>
      <c r="E305" s="457"/>
      <c r="F305" s="453"/>
      <c r="G305" s="453"/>
      <c r="H305" s="453"/>
      <c r="I305" s="453"/>
      <c r="J305" s="453"/>
      <c r="K305" s="453"/>
      <c r="L305" s="453"/>
      <c r="M305" s="453"/>
      <c r="N305" s="453"/>
      <c r="O305" s="453"/>
      <c r="P305" s="453"/>
      <c r="Q305" s="453"/>
      <c r="R305" s="453"/>
      <c r="S305" s="453"/>
      <c r="T305" s="453"/>
      <c r="U305" s="453"/>
      <c r="V305" s="453"/>
      <c r="W305" s="453"/>
      <c r="X305" s="453"/>
      <c r="Y305" s="453"/>
      <c r="Z305" s="489"/>
      <c r="AA305" s="489"/>
      <c r="AB305" s="490"/>
      <c r="AC305" s="453"/>
      <c r="AD305" s="453"/>
      <c r="AE305" s="453"/>
      <c r="AF305" s="453"/>
      <c r="AG305" s="453"/>
      <c r="AH305" s="453"/>
      <c r="AI305" s="453"/>
      <c r="AJ305" s="453"/>
      <c r="AK305" s="453"/>
      <c r="AL305" s="453"/>
      <c r="AM305" s="453"/>
      <c r="AN305" s="453"/>
      <c r="AO305" s="453"/>
      <c r="AP305" s="453"/>
      <c r="AQ305" s="453"/>
      <c r="AR305" s="453"/>
      <c r="AS305" s="453"/>
      <c r="AT305" s="453"/>
      <c r="AU305" s="453"/>
      <c r="AV305" s="453"/>
      <c r="AW305" s="453"/>
      <c r="AX305" s="453"/>
      <c r="AY305" s="453"/>
      <c r="AZ305" s="453"/>
      <c r="BA305" s="532"/>
      <c r="BB305" s="502">
        <v>6080</v>
      </c>
      <c r="BC305" s="503"/>
      <c r="BD305" s="453"/>
      <c r="BE305" s="453"/>
      <c r="BF305" s="470"/>
      <c r="BG305" s="453"/>
      <c r="BH305" s="453"/>
      <c r="BI305" s="453"/>
      <c r="BJ305" s="453"/>
      <c r="BK305" s="453"/>
      <c r="BL305" s="453"/>
      <c r="BM305" s="502"/>
      <c r="BN305" s="490"/>
      <c r="BO305" s="470"/>
      <c r="BP305" s="490"/>
      <c r="BQ305" s="453"/>
      <c r="BR305" s="502"/>
      <c r="BS305" s="524"/>
      <c r="BT305" s="530"/>
    </row>
    <row r="306" s="435" customFormat="1" ht="18" customHeight="1" spans="1:72">
      <c r="A306" s="451" t="s">
        <v>4038</v>
      </c>
      <c r="B306" s="456">
        <v>44508</v>
      </c>
      <c r="C306" s="526">
        <v>1000008842</v>
      </c>
      <c r="D306" s="451"/>
      <c r="E306" s="457"/>
      <c r="F306" s="453"/>
      <c r="G306" s="453"/>
      <c r="H306" s="453"/>
      <c r="I306" s="453"/>
      <c r="J306" s="453"/>
      <c r="K306" s="453"/>
      <c r="L306" s="453"/>
      <c r="M306" s="453"/>
      <c r="N306" s="453"/>
      <c r="O306" s="453"/>
      <c r="P306" s="453"/>
      <c r="Q306" s="453"/>
      <c r="R306" s="453"/>
      <c r="S306" s="453"/>
      <c r="T306" s="453"/>
      <c r="U306" s="453"/>
      <c r="V306" s="453"/>
      <c r="W306" s="453"/>
      <c r="X306" s="453"/>
      <c r="Y306" s="453"/>
      <c r="Z306" s="489"/>
      <c r="AA306" s="489"/>
      <c r="AB306" s="490"/>
      <c r="AC306" s="453"/>
      <c r="AD306" s="453"/>
      <c r="AE306" s="453"/>
      <c r="AF306" s="453"/>
      <c r="AG306" s="453"/>
      <c r="AH306" s="453"/>
      <c r="AI306" s="453"/>
      <c r="AJ306" s="453"/>
      <c r="AK306" s="453"/>
      <c r="AL306" s="453"/>
      <c r="AM306" s="453"/>
      <c r="AN306" s="453"/>
      <c r="AO306" s="453"/>
      <c r="AP306" s="453"/>
      <c r="AQ306" s="453"/>
      <c r="AR306" s="453"/>
      <c r="AS306" s="453"/>
      <c r="AT306" s="453"/>
      <c r="AU306" s="453"/>
      <c r="AV306" s="453"/>
      <c r="AW306" s="453"/>
      <c r="AX306" s="453"/>
      <c r="AY306" s="453"/>
      <c r="AZ306" s="453"/>
      <c r="BA306" s="532"/>
      <c r="BB306" s="502">
        <v>3520</v>
      </c>
      <c r="BC306" s="503"/>
      <c r="BD306" s="453"/>
      <c r="BE306" s="453"/>
      <c r="BF306" s="470"/>
      <c r="BG306" s="453"/>
      <c r="BH306" s="453"/>
      <c r="BI306" s="453"/>
      <c r="BJ306" s="453"/>
      <c r="BK306" s="453"/>
      <c r="BL306" s="453"/>
      <c r="BM306" s="502"/>
      <c r="BN306" s="490"/>
      <c r="BO306" s="470"/>
      <c r="BP306" s="490"/>
      <c r="BQ306" s="453"/>
      <c r="BR306" s="502"/>
      <c r="BS306" s="524"/>
      <c r="BT306" s="530"/>
    </row>
    <row r="307" s="435" customFormat="1" ht="18" customHeight="1" spans="1:72">
      <c r="A307" s="451" t="s">
        <v>4038</v>
      </c>
      <c r="B307" s="456">
        <v>44508</v>
      </c>
      <c r="C307" s="526">
        <v>1000008843</v>
      </c>
      <c r="D307" s="451"/>
      <c r="E307" s="457"/>
      <c r="F307" s="453"/>
      <c r="G307" s="453"/>
      <c r="H307" s="453"/>
      <c r="I307" s="453"/>
      <c r="J307" s="453"/>
      <c r="K307" s="453"/>
      <c r="L307" s="453"/>
      <c r="M307" s="453"/>
      <c r="N307" s="453"/>
      <c r="O307" s="453"/>
      <c r="P307" s="453"/>
      <c r="Q307" s="453"/>
      <c r="R307" s="453"/>
      <c r="S307" s="453"/>
      <c r="T307" s="453"/>
      <c r="U307" s="453"/>
      <c r="V307" s="453"/>
      <c r="W307" s="453"/>
      <c r="X307" s="453"/>
      <c r="Y307" s="453"/>
      <c r="Z307" s="489"/>
      <c r="AA307" s="489"/>
      <c r="AB307" s="490"/>
      <c r="AC307" s="453"/>
      <c r="AD307" s="453"/>
      <c r="AE307" s="453"/>
      <c r="AF307" s="453"/>
      <c r="AG307" s="453"/>
      <c r="AH307" s="453"/>
      <c r="AI307" s="453"/>
      <c r="AJ307" s="453"/>
      <c r="AK307" s="453"/>
      <c r="AL307" s="453"/>
      <c r="AM307" s="453"/>
      <c r="AN307" s="453"/>
      <c r="AO307" s="453"/>
      <c r="AP307" s="453"/>
      <c r="AQ307" s="453"/>
      <c r="AR307" s="453"/>
      <c r="AS307" s="453"/>
      <c r="AT307" s="453"/>
      <c r="AU307" s="453"/>
      <c r="AV307" s="453"/>
      <c r="AW307" s="453"/>
      <c r="AX307" s="453"/>
      <c r="AY307" s="453"/>
      <c r="AZ307" s="453"/>
      <c r="BA307" s="532">
        <v>2560</v>
      </c>
      <c r="BB307" s="502"/>
      <c r="BC307" s="503"/>
      <c r="BD307" s="453"/>
      <c r="BE307" s="453"/>
      <c r="BF307" s="470"/>
      <c r="BG307" s="453"/>
      <c r="BH307" s="453"/>
      <c r="BI307" s="453"/>
      <c r="BJ307" s="453"/>
      <c r="BK307" s="453"/>
      <c r="BL307" s="453"/>
      <c r="BM307" s="502"/>
      <c r="BN307" s="490"/>
      <c r="BO307" s="470"/>
      <c r="BP307" s="490"/>
      <c r="BQ307" s="453"/>
      <c r="BR307" s="502"/>
      <c r="BS307" s="524"/>
      <c r="BT307" s="530"/>
    </row>
    <row r="308" s="435" customFormat="1" ht="18" customHeight="1" spans="1:72">
      <c r="A308" s="451" t="s">
        <v>4038</v>
      </c>
      <c r="B308" s="456">
        <v>44508</v>
      </c>
      <c r="C308" s="526">
        <v>1000008844</v>
      </c>
      <c r="D308" s="451"/>
      <c r="E308" s="457"/>
      <c r="F308" s="453"/>
      <c r="G308" s="453"/>
      <c r="H308" s="453"/>
      <c r="I308" s="453"/>
      <c r="J308" s="453"/>
      <c r="K308" s="453"/>
      <c r="L308" s="453"/>
      <c r="M308" s="453"/>
      <c r="N308" s="453"/>
      <c r="O308" s="453"/>
      <c r="P308" s="453"/>
      <c r="Q308" s="453"/>
      <c r="R308" s="453"/>
      <c r="S308" s="453"/>
      <c r="T308" s="453"/>
      <c r="U308" s="453"/>
      <c r="V308" s="453"/>
      <c r="W308" s="453"/>
      <c r="X308" s="453"/>
      <c r="Y308" s="453"/>
      <c r="Z308" s="489"/>
      <c r="AA308" s="489"/>
      <c r="AB308" s="490"/>
      <c r="AC308" s="453"/>
      <c r="AD308" s="453"/>
      <c r="AE308" s="453"/>
      <c r="AF308" s="453"/>
      <c r="AG308" s="453"/>
      <c r="AH308" s="453"/>
      <c r="AI308" s="453"/>
      <c r="AJ308" s="453"/>
      <c r="AK308" s="453"/>
      <c r="AL308" s="453"/>
      <c r="AM308" s="453"/>
      <c r="AN308" s="453"/>
      <c r="AO308" s="453"/>
      <c r="AP308" s="453"/>
      <c r="AQ308" s="453"/>
      <c r="AR308" s="453"/>
      <c r="AS308" s="453"/>
      <c r="AT308" s="453"/>
      <c r="AU308" s="453"/>
      <c r="AV308" s="453"/>
      <c r="AW308" s="453"/>
      <c r="AX308" s="453"/>
      <c r="AY308" s="453"/>
      <c r="AZ308" s="453"/>
      <c r="BA308" s="532"/>
      <c r="BB308" s="502">
        <v>2240</v>
      </c>
      <c r="BC308" s="503"/>
      <c r="BD308" s="453"/>
      <c r="BE308" s="453"/>
      <c r="BF308" s="470"/>
      <c r="BG308" s="453"/>
      <c r="BH308" s="453"/>
      <c r="BI308" s="453"/>
      <c r="BJ308" s="453"/>
      <c r="BK308" s="453"/>
      <c r="BL308" s="453"/>
      <c r="BM308" s="502"/>
      <c r="BN308" s="490"/>
      <c r="BO308" s="470"/>
      <c r="BP308" s="490"/>
      <c r="BQ308" s="453"/>
      <c r="BR308" s="502"/>
      <c r="BS308" s="524"/>
      <c r="BT308" s="530"/>
    </row>
    <row r="309" s="435" customFormat="1" ht="18" customHeight="1" spans="1:72">
      <c r="A309" s="451" t="s">
        <v>4038</v>
      </c>
      <c r="B309" s="456">
        <v>44509</v>
      </c>
      <c r="C309" s="459">
        <v>1000009105</v>
      </c>
      <c r="D309" s="451"/>
      <c r="E309" s="457"/>
      <c r="F309" s="453"/>
      <c r="G309" s="453"/>
      <c r="H309" s="453"/>
      <c r="I309" s="453"/>
      <c r="J309" s="453"/>
      <c r="K309" s="453"/>
      <c r="L309" s="453"/>
      <c r="M309" s="453"/>
      <c r="N309" s="453"/>
      <c r="O309" s="453"/>
      <c r="P309" s="453"/>
      <c r="Q309" s="453"/>
      <c r="R309" s="453"/>
      <c r="S309" s="453"/>
      <c r="T309" s="453"/>
      <c r="U309" s="453"/>
      <c r="V309" s="453"/>
      <c r="W309" s="453"/>
      <c r="X309" s="453"/>
      <c r="Y309" s="453"/>
      <c r="Z309" s="489"/>
      <c r="AA309" s="489"/>
      <c r="AB309" s="490"/>
      <c r="AC309" s="453"/>
      <c r="AD309" s="453"/>
      <c r="AE309" s="453"/>
      <c r="AF309" s="453"/>
      <c r="AG309" s="453"/>
      <c r="AH309" s="453"/>
      <c r="AI309" s="453"/>
      <c r="AJ309" s="453"/>
      <c r="AK309" s="453"/>
      <c r="AL309" s="453"/>
      <c r="AM309" s="453"/>
      <c r="AN309" s="453"/>
      <c r="AO309" s="453"/>
      <c r="AP309" s="453"/>
      <c r="AQ309" s="453"/>
      <c r="AR309" s="453"/>
      <c r="AS309" s="453"/>
      <c r="AT309" s="453"/>
      <c r="AU309" s="453"/>
      <c r="AV309" s="453"/>
      <c r="AW309" s="453"/>
      <c r="AX309" s="453"/>
      <c r="AY309" s="453"/>
      <c r="AZ309" s="453"/>
      <c r="BA309" s="532"/>
      <c r="BB309" s="502"/>
      <c r="BC309" s="503"/>
      <c r="BD309" s="453"/>
      <c r="BE309" s="453"/>
      <c r="BF309" s="470"/>
      <c r="BG309" s="453"/>
      <c r="BH309" s="453"/>
      <c r="BI309" s="453"/>
      <c r="BJ309" s="453"/>
      <c r="BK309" s="453"/>
      <c r="BL309" s="453"/>
      <c r="BM309" s="502"/>
      <c r="BN309" s="490"/>
      <c r="BO309" s="470"/>
      <c r="BP309" s="490"/>
      <c r="BQ309" s="453"/>
      <c r="BR309" s="502"/>
      <c r="BS309" s="524"/>
      <c r="BT309" s="530"/>
    </row>
    <row r="310" s="435" customFormat="1" ht="18" customHeight="1" spans="1:72">
      <c r="A310" s="451" t="s">
        <v>4038</v>
      </c>
      <c r="B310" s="456">
        <v>44509</v>
      </c>
      <c r="C310" s="459">
        <v>1000009106</v>
      </c>
      <c r="D310" s="451"/>
      <c r="E310" s="457"/>
      <c r="F310" s="453"/>
      <c r="G310" s="453"/>
      <c r="H310" s="453"/>
      <c r="I310" s="453"/>
      <c r="J310" s="453"/>
      <c r="K310" s="453"/>
      <c r="L310" s="453"/>
      <c r="M310" s="453"/>
      <c r="N310" s="453"/>
      <c r="O310" s="453"/>
      <c r="P310" s="453"/>
      <c r="Q310" s="453"/>
      <c r="R310" s="453"/>
      <c r="S310" s="453"/>
      <c r="T310" s="453"/>
      <c r="U310" s="453"/>
      <c r="V310" s="453"/>
      <c r="W310" s="453"/>
      <c r="X310" s="453"/>
      <c r="Y310" s="453"/>
      <c r="Z310" s="489"/>
      <c r="AA310" s="489"/>
      <c r="AB310" s="490"/>
      <c r="AC310" s="453"/>
      <c r="AD310" s="453"/>
      <c r="AE310" s="453"/>
      <c r="AF310" s="453"/>
      <c r="AG310" s="453"/>
      <c r="AH310" s="453"/>
      <c r="AI310" s="453"/>
      <c r="AJ310" s="453"/>
      <c r="AK310" s="453"/>
      <c r="AL310" s="453"/>
      <c r="AM310" s="453"/>
      <c r="AN310" s="453"/>
      <c r="AO310" s="453"/>
      <c r="AP310" s="453"/>
      <c r="AQ310" s="453"/>
      <c r="AR310" s="453"/>
      <c r="AS310" s="453"/>
      <c r="AT310" s="453"/>
      <c r="AU310" s="453"/>
      <c r="AV310" s="453"/>
      <c r="AW310" s="453"/>
      <c r="AX310" s="453"/>
      <c r="AY310" s="453"/>
      <c r="AZ310" s="453"/>
      <c r="BA310" s="532"/>
      <c r="BB310" s="502"/>
      <c r="BC310" s="503"/>
      <c r="BD310" s="453"/>
      <c r="BE310" s="453"/>
      <c r="BF310" s="470"/>
      <c r="BG310" s="453"/>
      <c r="BH310" s="453"/>
      <c r="BI310" s="453"/>
      <c r="BJ310" s="453"/>
      <c r="BK310" s="453"/>
      <c r="BL310" s="453"/>
      <c r="BM310" s="502"/>
      <c r="BN310" s="490"/>
      <c r="BO310" s="470"/>
      <c r="BP310" s="490"/>
      <c r="BQ310" s="453"/>
      <c r="BR310" s="502"/>
      <c r="BS310" s="524"/>
      <c r="BT310" s="530"/>
    </row>
    <row r="311" s="435" customFormat="1" ht="18" customHeight="1" spans="1:72">
      <c r="A311" s="451" t="s">
        <v>4038</v>
      </c>
      <c r="B311" s="456">
        <v>44540</v>
      </c>
      <c r="C311" s="459" t="s">
        <v>4040</v>
      </c>
      <c r="D311" s="451"/>
      <c r="E311" s="457"/>
      <c r="F311" s="453"/>
      <c r="G311" s="453"/>
      <c r="H311" s="453"/>
      <c r="I311" s="453"/>
      <c r="J311" s="453"/>
      <c r="K311" s="453"/>
      <c r="L311" s="453"/>
      <c r="M311" s="453"/>
      <c r="N311" s="453"/>
      <c r="O311" s="453"/>
      <c r="P311" s="453"/>
      <c r="Q311" s="453"/>
      <c r="R311" s="453"/>
      <c r="S311" s="453"/>
      <c r="T311" s="453"/>
      <c r="U311" s="453"/>
      <c r="V311" s="453"/>
      <c r="W311" s="453"/>
      <c r="X311" s="453"/>
      <c r="Y311" s="453"/>
      <c r="Z311" s="489"/>
      <c r="AA311" s="489"/>
      <c r="AB311" s="490"/>
      <c r="AC311" s="453"/>
      <c r="AD311" s="453"/>
      <c r="AE311" s="453"/>
      <c r="AF311" s="453"/>
      <c r="AG311" s="453"/>
      <c r="AH311" s="453"/>
      <c r="AI311" s="453"/>
      <c r="AJ311" s="453"/>
      <c r="AK311" s="453"/>
      <c r="AL311" s="453"/>
      <c r="AM311" s="453"/>
      <c r="AN311" s="453"/>
      <c r="AO311" s="453"/>
      <c r="AP311" s="453"/>
      <c r="AQ311" s="453"/>
      <c r="AR311" s="453"/>
      <c r="AS311" s="453"/>
      <c r="AT311" s="453"/>
      <c r="AU311" s="453"/>
      <c r="AV311" s="453"/>
      <c r="AW311" s="453"/>
      <c r="AX311" s="453"/>
      <c r="AY311" s="453"/>
      <c r="AZ311" s="453"/>
      <c r="BA311" s="532"/>
      <c r="BB311" s="502"/>
      <c r="BC311" s="503"/>
      <c r="BD311" s="453"/>
      <c r="BE311" s="453"/>
      <c r="BF311" s="470">
        <v>962</v>
      </c>
      <c r="BG311" s="453"/>
      <c r="BH311" s="453"/>
      <c r="BI311" s="453"/>
      <c r="BJ311" s="453"/>
      <c r="BK311" s="453"/>
      <c r="BL311" s="453"/>
      <c r="BM311" s="502"/>
      <c r="BN311" s="490"/>
      <c r="BO311" s="470"/>
      <c r="BP311" s="490"/>
      <c r="BQ311" s="453"/>
      <c r="BR311" s="502"/>
      <c r="BS311" s="524"/>
      <c r="BT311" s="530"/>
    </row>
    <row r="312" s="435" customFormat="1" ht="18" customHeight="1" spans="1:72">
      <c r="A312" s="451" t="s">
        <v>4038</v>
      </c>
      <c r="B312" s="456">
        <v>44540</v>
      </c>
      <c r="C312" s="534">
        <v>1000009113</v>
      </c>
      <c r="D312" s="451"/>
      <c r="E312" s="457"/>
      <c r="F312" s="453"/>
      <c r="G312" s="453"/>
      <c r="H312" s="453"/>
      <c r="I312" s="453"/>
      <c r="J312" s="453"/>
      <c r="K312" s="453"/>
      <c r="L312" s="453"/>
      <c r="M312" s="453"/>
      <c r="N312" s="453"/>
      <c r="O312" s="453"/>
      <c r="P312" s="453"/>
      <c r="Q312" s="453"/>
      <c r="R312" s="453"/>
      <c r="S312" s="453"/>
      <c r="T312" s="453"/>
      <c r="U312" s="453"/>
      <c r="V312" s="453"/>
      <c r="W312" s="453"/>
      <c r="X312" s="453"/>
      <c r="Y312" s="453"/>
      <c r="Z312" s="489"/>
      <c r="AA312" s="489"/>
      <c r="AB312" s="490"/>
      <c r="AC312" s="453"/>
      <c r="AD312" s="453">
        <v>150000</v>
      </c>
      <c r="AE312" s="453"/>
      <c r="AF312" s="453"/>
      <c r="AG312" s="453"/>
      <c r="AH312" s="453"/>
      <c r="AI312" s="453"/>
      <c r="AJ312" s="453"/>
      <c r="AK312" s="453"/>
      <c r="AL312" s="453"/>
      <c r="AM312" s="453"/>
      <c r="AN312" s="453"/>
      <c r="AO312" s="453"/>
      <c r="AP312" s="453"/>
      <c r="AQ312" s="453"/>
      <c r="AR312" s="453"/>
      <c r="AS312" s="453"/>
      <c r="AT312" s="453"/>
      <c r="AU312" s="453"/>
      <c r="AV312" s="453"/>
      <c r="AW312" s="453"/>
      <c r="AX312" s="453"/>
      <c r="AY312" s="453"/>
      <c r="AZ312" s="453"/>
      <c r="BA312" s="532"/>
      <c r="BB312" s="502"/>
      <c r="BC312" s="503"/>
      <c r="BD312" s="453"/>
      <c r="BE312" s="453"/>
      <c r="BF312" s="470"/>
      <c r="BG312" s="453"/>
      <c r="BH312" s="453"/>
      <c r="BI312" s="453"/>
      <c r="BJ312" s="453"/>
      <c r="BK312" s="453"/>
      <c r="BL312" s="453"/>
      <c r="BM312" s="502"/>
      <c r="BN312" s="490"/>
      <c r="BO312" s="470"/>
      <c r="BP312" s="490"/>
      <c r="BQ312" s="453"/>
      <c r="BR312" s="502"/>
      <c r="BS312" s="524"/>
      <c r="BT312" s="530"/>
    </row>
    <row r="313" s="435" customFormat="1" ht="18" customHeight="1" spans="1:72">
      <c r="A313" s="451" t="s">
        <v>4038</v>
      </c>
      <c r="B313" s="456">
        <v>44540</v>
      </c>
      <c r="C313" s="534">
        <v>1000009114</v>
      </c>
      <c r="D313" s="451"/>
      <c r="E313" s="457"/>
      <c r="F313" s="453"/>
      <c r="G313" s="453"/>
      <c r="H313" s="453"/>
      <c r="I313" s="453"/>
      <c r="J313" s="453"/>
      <c r="K313" s="453"/>
      <c r="L313" s="453"/>
      <c r="M313" s="453"/>
      <c r="N313" s="453"/>
      <c r="O313" s="453"/>
      <c r="P313" s="453"/>
      <c r="Q313" s="453"/>
      <c r="R313" s="453"/>
      <c r="S313" s="453"/>
      <c r="T313" s="453"/>
      <c r="U313" s="453"/>
      <c r="V313" s="453"/>
      <c r="W313" s="453"/>
      <c r="X313" s="453"/>
      <c r="Y313" s="453"/>
      <c r="Z313" s="489"/>
      <c r="AA313" s="489"/>
      <c r="AB313" s="490"/>
      <c r="AC313" s="453"/>
      <c r="AD313" s="453"/>
      <c r="AE313" s="453"/>
      <c r="AF313" s="453"/>
      <c r="AG313" s="453"/>
      <c r="AH313" s="453"/>
      <c r="AI313" s="453"/>
      <c r="AJ313" s="453"/>
      <c r="AK313" s="453"/>
      <c r="AL313" s="453"/>
      <c r="AM313" s="453"/>
      <c r="AN313" s="453"/>
      <c r="AO313" s="453">
        <v>180000</v>
      </c>
      <c r="AP313" s="453"/>
      <c r="AQ313" s="453"/>
      <c r="AR313" s="453"/>
      <c r="AS313" s="453"/>
      <c r="AT313" s="453"/>
      <c r="AU313" s="453"/>
      <c r="AV313" s="453"/>
      <c r="AW313" s="453"/>
      <c r="AX313" s="453"/>
      <c r="AY313" s="453"/>
      <c r="AZ313" s="453"/>
      <c r="BA313" s="532"/>
      <c r="BB313" s="502"/>
      <c r="BC313" s="503"/>
      <c r="BD313" s="453"/>
      <c r="BE313" s="453"/>
      <c r="BF313" s="470"/>
      <c r="BG313" s="453"/>
      <c r="BH313" s="453"/>
      <c r="BI313" s="453"/>
      <c r="BJ313" s="453"/>
      <c r="BK313" s="453"/>
      <c r="BL313" s="453"/>
      <c r="BM313" s="502"/>
      <c r="BN313" s="490"/>
      <c r="BO313" s="470"/>
      <c r="BP313" s="490"/>
      <c r="BQ313" s="453"/>
      <c r="BR313" s="502"/>
      <c r="BS313" s="524"/>
      <c r="BT313" s="530"/>
    </row>
    <row r="314" s="435" customFormat="1" ht="18" customHeight="1" spans="1:72">
      <c r="A314" s="451" t="s">
        <v>4038</v>
      </c>
      <c r="B314" s="456">
        <v>44540</v>
      </c>
      <c r="C314" s="536" t="s">
        <v>4037</v>
      </c>
      <c r="D314" s="451"/>
      <c r="E314" s="457"/>
      <c r="F314" s="453"/>
      <c r="G314" s="453"/>
      <c r="H314" s="453"/>
      <c r="I314" s="453"/>
      <c r="J314" s="453"/>
      <c r="K314" s="453"/>
      <c r="L314" s="453"/>
      <c r="M314" s="453"/>
      <c r="N314" s="453"/>
      <c r="O314" s="453"/>
      <c r="P314" s="453"/>
      <c r="Q314" s="453"/>
      <c r="R314" s="453"/>
      <c r="S314" s="453"/>
      <c r="T314" s="453"/>
      <c r="U314" s="453"/>
      <c r="V314" s="453"/>
      <c r="W314" s="453"/>
      <c r="X314" s="453"/>
      <c r="Y314" s="453"/>
      <c r="Z314" s="489"/>
      <c r="AA314" s="489"/>
      <c r="AB314" s="490"/>
      <c r="AC314" s="453"/>
      <c r="AD314" s="453"/>
      <c r="AE314" s="453"/>
      <c r="AF314" s="453"/>
      <c r="AG314" s="453"/>
      <c r="AH314" s="453">
        <v>35000</v>
      </c>
      <c r="AI314" s="453"/>
      <c r="AJ314" s="453"/>
      <c r="AK314" s="453"/>
      <c r="AL314" s="453"/>
      <c r="AM314" s="453"/>
      <c r="AN314" s="453"/>
      <c r="AO314" s="453"/>
      <c r="AP314" s="453"/>
      <c r="AQ314" s="453"/>
      <c r="AR314" s="453"/>
      <c r="AS314" s="453"/>
      <c r="AT314" s="453"/>
      <c r="AU314" s="453"/>
      <c r="AV314" s="453"/>
      <c r="AW314" s="453"/>
      <c r="AX314" s="453"/>
      <c r="AY314" s="453"/>
      <c r="AZ314" s="453"/>
      <c r="BA314" s="532"/>
      <c r="BB314" s="502"/>
      <c r="BC314" s="503"/>
      <c r="BD314" s="453"/>
      <c r="BE314" s="453"/>
      <c r="BF314" s="470"/>
      <c r="BG314" s="453"/>
      <c r="BH314" s="453"/>
      <c r="BI314" s="453"/>
      <c r="BJ314" s="453"/>
      <c r="BK314" s="453"/>
      <c r="BL314" s="453"/>
      <c r="BM314" s="502"/>
      <c r="BN314" s="490"/>
      <c r="BO314" s="470"/>
      <c r="BP314" s="490"/>
      <c r="BQ314" s="453"/>
      <c r="BR314" s="502"/>
      <c r="BS314" s="524"/>
      <c r="BT314" s="530"/>
    </row>
    <row r="315" s="435" customFormat="1" ht="18" customHeight="1" spans="1:72">
      <c r="A315" s="451" t="s">
        <v>4038</v>
      </c>
      <c r="B315" s="456">
        <v>44540</v>
      </c>
      <c r="C315" s="536" t="s">
        <v>4037</v>
      </c>
      <c r="D315" s="451"/>
      <c r="E315" s="457"/>
      <c r="F315" s="453"/>
      <c r="G315" s="453"/>
      <c r="H315" s="453"/>
      <c r="I315" s="453"/>
      <c r="J315" s="453"/>
      <c r="K315" s="453"/>
      <c r="L315" s="453"/>
      <c r="M315" s="453"/>
      <c r="N315" s="453"/>
      <c r="O315" s="453"/>
      <c r="P315" s="453"/>
      <c r="Q315" s="453"/>
      <c r="R315" s="453"/>
      <c r="S315" s="453"/>
      <c r="T315" s="453"/>
      <c r="U315" s="453"/>
      <c r="V315" s="453"/>
      <c r="W315" s="453"/>
      <c r="X315" s="453"/>
      <c r="Y315" s="453"/>
      <c r="Z315" s="489"/>
      <c r="AA315" s="489"/>
      <c r="AB315" s="490"/>
      <c r="AC315" s="453"/>
      <c r="AD315" s="453"/>
      <c r="AE315" s="453"/>
      <c r="AF315" s="453"/>
      <c r="AG315" s="453"/>
      <c r="AH315" s="453"/>
      <c r="AI315" s="453"/>
      <c r="AJ315" s="453"/>
      <c r="AK315" s="453"/>
      <c r="AL315" s="453"/>
      <c r="AM315" s="453"/>
      <c r="AN315" s="453"/>
      <c r="AO315" s="453"/>
      <c r="AP315" s="453"/>
      <c r="AQ315" s="453"/>
      <c r="AR315" s="453">
        <v>24000</v>
      </c>
      <c r="AS315" s="453"/>
      <c r="AT315" s="453"/>
      <c r="AU315" s="453"/>
      <c r="AV315" s="453"/>
      <c r="AW315" s="453"/>
      <c r="AX315" s="453"/>
      <c r="AY315" s="453"/>
      <c r="AZ315" s="453"/>
      <c r="BA315" s="532"/>
      <c r="BB315" s="502"/>
      <c r="BC315" s="503"/>
      <c r="BD315" s="453"/>
      <c r="BE315" s="453"/>
      <c r="BF315" s="470"/>
      <c r="BG315" s="453"/>
      <c r="BH315" s="453"/>
      <c r="BI315" s="453"/>
      <c r="BJ315" s="453"/>
      <c r="BK315" s="453"/>
      <c r="BL315" s="453"/>
      <c r="BM315" s="502"/>
      <c r="BN315" s="490"/>
      <c r="BO315" s="470"/>
      <c r="BP315" s="490"/>
      <c r="BQ315" s="453"/>
      <c r="BR315" s="502"/>
      <c r="BS315" s="524"/>
      <c r="BT315" s="530"/>
    </row>
    <row r="316" s="435" customFormat="1" ht="18" customHeight="1" spans="1:72">
      <c r="A316" s="451" t="s">
        <v>4038</v>
      </c>
      <c r="B316" s="456">
        <v>44540</v>
      </c>
      <c r="C316" s="537">
        <v>1000009108</v>
      </c>
      <c r="D316" s="451"/>
      <c r="E316" s="457"/>
      <c r="F316" s="453"/>
      <c r="G316" s="453"/>
      <c r="H316" s="453"/>
      <c r="I316" s="453"/>
      <c r="J316" s="453"/>
      <c r="K316" s="453"/>
      <c r="L316" s="453"/>
      <c r="M316" s="453"/>
      <c r="N316" s="453"/>
      <c r="O316" s="453"/>
      <c r="P316" s="453"/>
      <c r="Q316" s="453"/>
      <c r="R316" s="453"/>
      <c r="S316" s="453"/>
      <c r="T316" s="453"/>
      <c r="U316" s="453"/>
      <c r="V316" s="453"/>
      <c r="W316" s="453"/>
      <c r="X316" s="453"/>
      <c r="Y316" s="453"/>
      <c r="Z316" s="489"/>
      <c r="AA316" s="489"/>
      <c r="AB316" s="490"/>
      <c r="AC316" s="453"/>
      <c r="AD316" s="453"/>
      <c r="AE316" s="453"/>
      <c r="AF316" s="453"/>
      <c r="AG316" s="453"/>
      <c r="AH316" s="453"/>
      <c r="AI316" s="453"/>
      <c r="AJ316" s="453"/>
      <c r="AK316" s="453"/>
      <c r="AL316" s="453"/>
      <c r="AM316" s="453"/>
      <c r="AN316" s="453"/>
      <c r="AO316" s="453"/>
      <c r="AP316" s="453"/>
      <c r="AQ316" s="453"/>
      <c r="AR316" s="453"/>
      <c r="AS316" s="453"/>
      <c r="AT316" s="453"/>
      <c r="AU316" s="453"/>
      <c r="AV316" s="453"/>
      <c r="AW316" s="453"/>
      <c r="AX316" s="453"/>
      <c r="AY316" s="453"/>
      <c r="AZ316" s="453"/>
      <c r="BA316" s="532"/>
      <c r="BB316" s="502"/>
      <c r="BC316" s="503"/>
      <c r="BD316" s="453"/>
      <c r="BE316" s="453"/>
      <c r="BF316" s="470"/>
      <c r="BG316" s="453"/>
      <c r="BH316" s="453"/>
      <c r="BI316" s="453"/>
      <c r="BJ316" s="453"/>
      <c r="BK316" s="453"/>
      <c r="BL316" s="453"/>
      <c r="BM316" s="502"/>
      <c r="BN316" s="490"/>
      <c r="BO316" s="470"/>
      <c r="BP316" s="490"/>
      <c r="BQ316" s="453"/>
      <c r="BR316" s="502"/>
      <c r="BS316" s="524"/>
      <c r="BT316" s="530"/>
    </row>
    <row r="317" s="435" customFormat="1" ht="18" customHeight="1" spans="1:72">
      <c r="A317" s="451" t="s">
        <v>4038</v>
      </c>
      <c r="B317" s="456">
        <v>44540</v>
      </c>
      <c r="C317" s="537">
        <v>1000009109</v>
      </c>
      <c r="D317" s="451"/>
      <c r="E317" s="457"/>
      <c r="F317" s="453"/>
      <c r="G317" s="453"/>
      <c r="H317" s="453"/>
      <c r="I317" s="453"/>
      <c r="J317" s="453"/>
      <c r="K317" s="453"/>
      <c r="L317" s="453"/>
      <c r="M317" s="453"/>
      <c r="N317" s="453"/>
      <c r="O317" s="453"/>
      <c r="P317" s="453"/>
      <c r="Q317" s="453"/>
      <c r="R317" s="453"/>
      <c r="S317" s="453"/>
      <c r="T317" s="453"/>
      <c r="U317" s="453"/>
      <c r="V317" s="453"/>
      <c r="W317" s="453"/>
      <c r="X317" s="453"/>
      <c r="Y317" s="453"/>
      <c r="Z317" s="489"/>
      <c r="AA317" s="489"/>
      <c r="AB317" s="490"/>
      <c r="AC317" s="453"/>
      <c r="AD317" s="453"/>
      <c r="AE317" s="453"/>
      <c r="AF317" s="453"/>
      <c r="AG317" s="453"/>
      <c r="AH317" s="453"/>
      <c r="AI317" s="453"/>
      <c r="AJ317" s="453"/>
      <c r="AK317" s="453"/>
      <c r="AL317" s="453"/>
      <c r="AM317" s="453"/>
      <c r="AN317" s="453"/>
      <c r="AO317" s="453"/>
      <c r="AP317" s="453"/>
      <c r="AQ317" s="453"/>
      <c r="AR317" s="453"/>
      <c r="AS317" s="453"/>
      <c r="AT317" s="453"/>
      <c r="AU317" s="453"/>
      <c r="AV317" s="453"/>
      <c r="AW317" s="453"/>
      <c r="AX317" s="453"/>
      <c r="AY317" s="453"/>
      <c r="AZ317" s="453"/>
      <c r="BA317" s="532"/>
      <c r="BB317" s="502"/>
      <c r="BC317" s="503"/>
      <c r="BD317" s="453"/>
      <c r="BE317" s="453"/>
      <c r="BF317" s="470"/>
      <c r="BG317" s="453"/>
      <c r="BH317" s="453"/>
      <c r="BI317" s="453"/>
      <c r="BJ317" s="453"/>
      <c r="BK317" s="453"/>
      <c r="BL317" s="453"/>
      <c r="BM317" s="502"/>
      <c r="BN317" s="490"/>
      <c r="BO317" s="470"/>
      <c r="BP317" s="490"/>
      <c r="BQ317" s="453"/>
      <c r="BR317" s="502"/>
      <c r="BS317" s="524"/>
      <c r="BT317" s="530"/>
    </row>
    <row r="318" s="435" customFormat="1" ht="18" customHeight="1" spans="1:72">
      <c r="A318" s="451" t="s">
        <v>4038</v>
      </c>
      <c r="B318" s="456">
        <v>44540</v>
      </c>
      <c r="C318" s="536">
        <v>1000009098</v>
      </c>
      <c r="D318" s="451"/>
      <c r="E318" s="457"/>
      <c r="F318" s="453"/>
      <c r="G318" s="453"/>
      <c r="H318" s="453"/>
      <c r="I318" s="453">
        <v>28000</v>
      </c>
      <c r="J318" s="453"/>
      <c r="K318" s="453"/>
      <c r="L318" s="453"/>
      <c r="M318" s="453"/>
      <c r="N318" s="453"/>
      <c r="O318" s="453"/>
      <c r="P318" s="453"/>
      <c r="Q318" s="453"/>
      <c r="R318" s="453"/>
      <c r="S318" s="453"/>
      <c r="T318" s="453"/>
      <c r="U318" s="453"/>
      <c r="V318" s="453"/>
      <c r="W318" s="453"/>
      <c r="X318" s="453"/>
      <c r="Y318" s="453"/>
      <c r="Z318" s="489"/>
      <c r="AA318" s="489"/>
      <c r="AB318" s="490"/>
      <c r="AC318" s="453"/>
      <c r="AD318" s="453"/>
      <c r="AE318" s="453"/>
      <c r="AF318" s="453"/>
      <c r="AG318" s="453"/>
      <c r="AH318" s="453"/>
      <c r="AI318" s="453"/>
      <c r="AJ318" s="453"/>
      <c r="AK318" s="453"/>
      <c r="AL318" s="453"/>
      <c r="AM318" s="453"/>
      <c r="AN318" s="453"/>
      <c r="AO318" s="453"/>
      <c r="AP318" s="453"/>
      <c r="AQ318" s="453"/>
      <c r="AR318" s="453"/>
      <c r="AS318" s="453"/>
      <c r="AT318" s="453"/>
      <c r="AU318" s="453"/>
      <c r="AV318" s="453"/>
      <c r="AW318" s="453"/>
      <c r="AX318" s="453"/>
      <c r="AY318" s="453"/>
      <c r="AZ318" s="453"/>
      <c r="BA318" s="532"/>
      <c r="BB318" s="502"/>
      <c r="BC318" s="503"/>
      <c r="BD318" s="453"/>
      <c r="BE318" s="453"/>
      <c r="BF318" s="470"/>
      <c r="BG318" s="453"/>
      <c r="BH318" s="453"/>
      <c r="BI318" s="453"/>
      <c r="BJ318" s="453"/>
      <c r="BK318" s="453"/>
      <c r="BL318" s="453"/>
      <c r="BM318" s="502"/>
      <c r="BN318" s="490"/>
      <c r="BO318" s="470"/>
      <c r="BP318" s="490"/>
      <c r="BQ318" s="453"/>
      <c r="BR318" s="502"/>
      <c r="BS318" s="524"/>
      <c r="BT318" s="530"/>
    </row>
    <row r="319" s="435" customFormat="1" ht="18" customHeight="1" spans="1:72">
      <c r="A319" s="451" t="s">
        <v>4038</v>
      </c>
      <c r="B319" s="456">
        <v>44540</v>
      </c>
      <c r="C319" s="536">
        <v>1000009090</v>
      </c>
      <c r="D319" s="451"/>
      <c r="E319" s="457"/>
      <c r="F319" s="453"/>
      <c r="G319" s="453"/>
      <c r="H319" s="453"/>
      <c r="I319" s="453"/>
      <c r="J319" s="453"/>
      <c r="K319" s="453">
        <v>28000</v>
      </c>
      <c r="L319" s="453"/>
      <c r="M319" s="453"/>
      <c r="N319" s="453"/>
      <c r="O319" s="453"/>
      <c r="P319" s="453"/>
      <c r="Q319" s="453"/>
      <c r="R319" s="453"/>
      <c r="S319" s="453"/>
      <c r="T319" s="453"/>
      <c r="U319" s="453"/>
      <c r="V319" s="453"/>
      <c r="W319" s="453"/>
      <c r="X319" s="453"/>
      <c r="Y319" s="453"/>
      <c r="Z319" s="489"/>
      <c r="AA319" s="489"/>
      <c r="AB319" s="490"/>
      <c r="AC319" s="453"/>
      <c r="AD319" s="453"/>
      <c r="AE319" s="453"/>
      <c r="AF319" s="453"/>
      <c r="AG319" s="453"/>
      <c r="AH319" s="453"/>
      <c r="AI319" s="453"/>
      <c r="AJ319" s="453"/>
      <c r="AK319" s="453"/>
      <c r="AL319" s="453"/>
      <c r="AM319" s="453"/>
      <c r="AN319" s="453"/>
      <c r="AO319" s="453"/>
      <c r="AP319" s="453"/>
      <c r="AQ319" s="453"/>
      <c r="AR319" s="453"/>
      <c r="AS319" s="453"/>
      <c r="AT319" s="453"/>
      <c r="AU319" s="453"/>
      <c r="AV319" s="453"/>
      <c r="AW319" s="453"/>
      <c r="AX319" s="453"/>
      <c r="AY319" s="453"/>
      <c r="AZ319" s="453"/>
      <c r="BA319" s="532"/>
      <c r="BB319" s="502"/>
      <c r="BC319" s="503"/>
      <c r="BD319" s="453"/>
      <c r="BE319" s="453"/>
      <c r="BF319" s="470"/>
      <c r="BG319" s="453"/>
      <c r="BH319" s="453"/>
      <c r="BI319" s="453"/>
      <c r="BJ319" s="453"/>
      <c r="BK319" s="453"/>
      <c r="BL319" s="453"/>
      <c r="BM319" s="502"/>
      <c r="BN319" s="490"/>
      <c r="BO319" s="470"/>
      <c r="BP319" s="490"/>
      <c r="BQ319" s="453"/>
      <c r="BR319" s="502"/>
      <c r="BS319" s="524"/>
      <c r="BT319" s="530"/>
    </row>
    <row r="320" s="435" customFormat="1" ht="18" customHeight="1" spans="1:72">
      <c r="A320" s="451" t="s">
        <v>4038</v>
      </c>
      <c r="B320" s="456">
        <v>44540</v>
      </c>
      <c r="C320" s="536">
        <v>1000009092</v>
      </c>
      <c r="D320" s="451"/>
      <c r="E320" s="457"/>
      <c r="F320" s="453"/>
      <c r="G320" s="453"/>
      <c r="H320" s="453"/>
      <c r="I320" s="453"/>
      <c r="J320" s="453"/>
      <c r="K320" s="453"/>
      <c r="L320" s="453"/>
      <c r="M320" s="453"/>
      <c r="N320" s="453"/>
      <c r="O320" s="453"/>
      <c r="P320" s="453"/>
      <c r="Q320" s="453"/>
      <c r="R320" s="453"/>
      <c r="S320" s="453">
        <v>84000</v>
      </c>
      <c r="T320" s="453"/>
      <c r="U320" s="453"/>
      <c r="V320" s="453"/>
      <c r="W320" s="453"/>
      <c r="X320" s="453"/>
      <c r="Y320" s="453"/>
      <c r="Z320" s="489"/>
      <c r="AA320" s="489"/>
      <c r="AB320" s="490"/>
      <c r="AC320" s="453"/>
      <c r="AD320" s="453"/>
      <c r="AE320" s="453"/>
      <c r="AF320" s="453"/>
      <c r="AG320" s="453"/>
      <c r="AH320" s="453"/>
      <c r="AI320" s="453"/>
      <c r="AJ320" s="453"/>
      <c r="AK320" s="453"/>
      <c r="AL320" s="453"/>
      <c r="AM320" s="453"/>
      <c r="AN320" s="453"/>
      <c r="AO320" s="453"/>
      <c r="AP320" s="453"/>
      <c r="AQ320" s="453"/>
      <c r="AR320" s="453"/>
      <c r="AS320" s="453"/>
      <c r="AT320" s="453"/>
      <c r="AU320" s="453"/>
      <c r="AV320" s="453"/>
      <c r="AW320" s="453"/>
      <c r="AX320" s="453"/>
      <c r="AY320" s="453"/>
      <c r="AZ320" s="453"/>
      <c r="BA320" s="532"/>
      <c r="BB320" s="502"/>
      <c r="BC320" s="503"/>
      <c r="BD320" s="453"/>
      <c r="BE320" s="453"/>
      <c r="BF320" s="470"/>
      <c r="BG320" s="453"/>
      <c r="BH320" s="453"/>
      <c r="BI320" s="453"/>
      <c r="BJ320" s="453"/>
      <c r="BK320" s="453"/>
      <c r="BL320" s="453"/>
      <c r="BM320" s="502"/>
      <c r="BN320" s="490"/>
      <c r="BO320" s="470"/>
      <c r="BP320" s="490"/>
      <c r="BQ320" s="453"/>
      <c r="BR320" s="502"/>
      <c r="BS320" s="524"/>
      <c r="BT320" s="530"/>
    </row>
    <row r="321" s="435" customFormat="1" ht="18" customHeight="1" spans="1:72">
      <c r="A321" s="451" t="s">
        <v>4038</v>
      </c>
      <c r="B321" s="456">
        <v>44545</v>
      </c>
      <c r="C321" s="536">
        <v>1000009151</v>
      </c>
      <c r="D321" s="451"/>
      <c r="E321" s="457"/>
      <c r="F321" s="453"/>
      <c r="G321" s="453"/>
      <c r="H321" s="453"/>
      <c r="I321" s="453"/>
      <c r="J321" s="453"/>
      <c r="K321" s="453"/>
      <c r="L321" s="453"/>
      <c r="M321" s="453"/>
      <c r="N321" s="453"/>
      <c r="O321" s="453"/>
      <c r="P321" s="453"/>
      <c r="Q321" s="453"/>
      <c r="R321" s="453"/>
      <c r="S321" s="453"/>
      <c r="T321" s="453"/>
      <c r="U321" s="453"/>
      <c r="V321" s="453"/>
      <c r="W321" s="453"/>
      <c r="X321" s="453"/>
      <c r="Y321" s="453"/>
      <c r="Z321" s="489"/>
      <c r="AA321" s="489"/>
      <c r="AB321" s="490"/>
      <c r="AC321" s="453"/>
      <c r="AD321" s="453"/>
      <c r="AE321" s="453"/>
      <c r="AF321" s="453"/>
      <c r="AG321" s="453"/>
      <c r="AH321" s="453"/>
      <c r="AI321" s="453"/>
      <c r="AJ321" s="453"/>
      <c r="AK321" s="453"/>
      <c r="AL321" s="453"/>
      <c r="AM321" s="453"/>
      <c r="AN321" s="453"/>
      <c r="AO321" s="453"/>
      <c r="AP321" s="453"/>
      <c r="AQ321" s="453"/>
      <c r="AR321" s="453"/>
      <c r="AS321" s="453"/>
      <c r="AT321" s="453"/>
      <c r="AU321" s="453"/>
      <c r="AV321" s="453"/>
      <c r="AW321" s="453"/>
      <c r="AX321" s="453"/>
      <c r="AY321" s="453"/>
      <c r="AZ321" s="453"/>
      <c r="BA321" s="532">
        <v>20160</v>
      </c>
      <c r="BB321" s="502"/>
      <c r="BC321" s="503"/>
      <c r="BD321" s="453"/>
      <c r="BE321" s="453"/>
      <c r="BF321" s="470"/>
      <c r="BG321" s="453"/>
      <c r="BH321" s="453"/>
      <c r="BI321" s="453"/>
      <c r="BJ321" s="453"/>
      <c r="BK321" s="453"/>
      <c r="BL321" s="453"/>
      <c r="BM321" s="502"/>
      <c r="BN321" s="490"/>
      <c r="BO321" s="470"/>
      <c r="BP321" s="490"/>
      <c r="BQ321" s="453"/>
      <c r="BR321" s="502"/>
      <c r="BS321" s="524"/>
      <c r="BT321" s="530"/>
    </row>
    <row r="322" s="435" customFormat="1" ht="18" customHeight="1" spans="1:72">
      <c r="A322" s="451" t="s">
        <v>4038</v>
      </c>
      <c r="B322" s="456">
        <v>44545</v>
      </c>
      <c r="C322" s="536">
        <v>1000009152</v>
      </c>
      <c r="D322" s="451"/>
      <c r="E322" s="457"/>
      <c r="F322" s="453"/>
      <c r="G322" s="453"/>
      <c r="H322" s="453"/>
      <c r="I322" s="453"/>
      <c r="J322" s="453"/>
      <c r="K322" s="453"/>
      <c r="L322" s="453"/>
      <c r="M322" s="453"/>
      <c r="N322" s="453"/>
      <c r="O322" s="453"/>
      <c r="P322" s="453"/>
      <c r="Q322" s="453"/>
      <c r="R322" s="453"/>
      <c r="S322" s="453"/>
      <c r="T322" s="453"/>
      <c r="U322" s="453"/>
      <c r="V322" s="453"/>
      <c r="W322" s="453"/>
      <c r="X322" s="453"/>
      <c r="Y322" s="453"/>
      <c r="Z322" s="489"/>
      <c r="AA322" s="489"/>
      <c r="AB322" s="490"/>
      <c r="AC322" s="453"/>
      <c r="AD322" s="453"/>
      <c r="AE322" s="453"/>
      <c r="AF322" s="453"/>
      <c r="AG322" s="453"/>
      <c r="AH322" s="453"/>
      <c r="AI322" s="453"/>
      <c r="AJ322" s="453"/>
      <c r="AK322" s="453"/>
      <c r="AL322" s="453"/>
      <c r="AM322" s="453"/>
      <c r="AN322" s="453"/>
      <c r="AO322" s="453"/>
      <c r="AP322" s="453"/>
      <c r="AQ322" s="453"/>
      <c r="AR322" s="453"/>
      <c r="AS322" s="453"/>
      <c r="AT322" s="453"/>
      <c r="AU322" s="453"/>
      <c r="AV322" s="453"/>
      <c r="AW322" s="453"/>
      <c r="AX322" s="453"/>
      <c r="AY322" s="453"/>
      <c r="AZ322" s="453"/>
      <c r="BA322" s="532"/>
      <c r="BB322" s="502">
        <v>20160</v>
      </c>
      <c r="BC322" s="503"/>
      <c r="BD322" s="453"/>
      <c r="BE322" s="453"/>
      <c r="BF322" s="470"/>
      <c r="BG322" s="453"/>
      <c r="BH322" s="453"/>
      <c r="BI322" s="453"/>
      <c r="BJ322" s="453"/>
      <c r="BK322" s="453"/>
      <c r="BL322" s="453"/>
      <c r="BM322" s="502"/>
      <c r="BN322" s="490"/>
      <c r="BO322" s="470"/>
      <c r="BP322" s="490"/>
      <c r="BQ322" s="453"/>
      <c r="BR322" s="502"/>
      <c r="BS322" s="524"/>
      <c r="BT322" s="530"/>
    </row>
    <row r="323" s="435" customFormat="1" ht="18" customHeight="1" spans="1:72">
      <c r="A323" s="451" t="s">
        <v>4038</v>
      </c>
      <c r="B323" s="456">
        <v>44547</v>
      </c>
      <c r="C323" s="537">
        <v>1000009201</v>
      </c>
      <c r="D323" s="451"/>
      <c r="E323" s="457"/>
      <c r="F323" s="453"/>
      <c r="G323" s="453"/>
      <c r="H323" s="453"/>
      <c r="I323" s="453"/>
      <c r="J323" s="453"/>
      <c r="K323" s="453"/>
      <c r="L323" s="453"/>
      <c r="M323" s="453"/>
      <c r="N323" s="453"/>
      <c r="O323" s="453"/>
      <c r="P323" s="453"/>
      <c r="Q323" s="453"/>
      <c r="R323" s="453"/>
      <c r="S323" s="453"/>
      <c r="T323" s="453"/>
      <c r="U323" s="453"/>
      <c r="V323" s="453"/>
      <c r="W323" s="453"/>
      <c r="X323" s="453"/>
      <c r="Y323" s="453"/>
      <c r="Z323" s="489"/>
      <c r="AA323" s="489"/>
      <c r="AB323" s="490"/>
      <c r="AC323" s="453"/>
      <c r="AD323" s="453"/>
      <c r="AE323" s="453"/>
      <c r="AF323" s="453"/>
      <c r="AG323" s="453"/>
      <c r="AH323" s="453"/>
      <c r="AI323" s="453"/>
      <c r="AJ323" s="453"/>
      <c r="AK323" s="453"/>
      <c r="AL323" s="453"/>
      <c r="AM323" s="453"/>
      <c r="AN323" s="453"/>
      <c r="AO323" s="453"/>
      <c r="AP323" s="453"/>
      <c r="AQ323" s="453"/>
      <c r="AR323" s="453"/>
      <c r="AS323" s="453"/>
      <c r="AT323" s="453"/>
      <c r="AU323" s="453"/>
      <c r="AV323" s="453"/>
      <c r="AW323" s="453"/>
      <c r="AX323" s="453"/>
      <c r="AY323" s="453"/>
      <c r="AZ323" s="453"/>
      <c r="BA323" s="532"/>
      <c r="BB323" s="502"/>
      <c r="BC323" s="503"/>
      <c r="BD323" s="453"/>
      <c r="BE323" s="453"/>
      <c r="BF323" s="470"/>
      <c r="BG323" s="453"/>
      <c r="BH323" s="453"/>
      <c r="BI323" s="453"/>
      <c r="BJ323" s="453"/>
      <c r="BK323" s="453"/>
      <c r="BL323" s="453"/>
      <c r="BM323" s="502"/>
      <c r="BN323" s="490"/>
      <c r="BO323" s="470"/>
      <c r="BP323" s="490"/>
      <c r="BQ323" s="453"/>
      <c r="BR323" s="502"/>
      <c r="BS323" s="524"/>
      <c r="BT323" s="530"/>
    </row>
    <row r="324" s="435" customFormat="1" ht="18" customHeight="1" spans="1:72">
      <c r="A324" s="451" t="s">
        <v>4038</v>
      </c>
      <c r="B324" s="456">
        <v>44572</v>
      </c>
      <c r="C324" s="537">
        <v>1000009401</v>
      </c>
      <c r="D324" s="451"/>
      <c r="E324" s="457"/>
      <c r="F324" s="453"/>
      <c r="G324" s="453"/>
      <c r="H324" s="453"/>
      <c r="I324" s="453"/>
      <c r="J324" s="453"/>
      <c r="K324" s="453"/>
      <c r="L324" s="453"/>
      <c r="M324" s="453"/>
      <c r="N324" s="453"/>
      <c r="O324" s="453"/>
      <c r="P324" s="453"/>
      <c r="Q324" s="453"/>
      <c r="R324" s="453"/>
      <c r="S324" s="453"/>
      <c r="T324" s="453"/>
      <c r="U324" s="453"/>
      <c r="V324" s="453"/>
      <c r="W324" s="453"/>
      <c r="X324" s="453"/>
      <c r="Y324" s="453"/>
      <c r="Z324" s="489"/>
      <c r="AA324" s="489"/>
      <c r="AB324" s="490"/>
      <c r="AC324" s="453"/>
      <c r="AD324" s="453"/>
      <c r="AE324" s="453"/>
      <c r="AF324" s="453"/>
      <c r="AG324" s="453"/>
      <c r="AH324" s="453"/>
      <c r="AI324" s="453"/>
      <c r="AJ324" s="453"/>
      <c r="AK324" s="453"/>
      <c r="AL324" s="453"/>
      <c r="AM324" s="453"/>
      <c r="AN324" s="453"/>
      <c r="AO324" s="453"/>
      <c r="AP324" s="453"/>
      <c r="AQ324" s="453"/>
      <c r="AR324" s="453"/>
      <c r="AS324" s="453"/>
      <c r="AT324" s="453"/>
      <c r="AU324" s="453"/>
      <c r="AV324" s="453"/>
      <c r="AW324" s="453"/>
      <c r="AX324" s="453"/>
      <c r="AY324" s="453"/>
      <c r="AZ324" s="453"/>
      <c r="BA324" s="532"/>
      <c r="BB324" s="502"/>
      <c r="BC324" s="503"/>
      <c r="BD324" s="453"/>
      <c r="BE324" s="453"/>
      <c r="BF324" s="470"/>
      <c r="BG324" s="453"/>
      <c r="BH324" s="453"/>
      <c r="BI324" s="453"/>
      <c r="BJ324" s="453"/>
      <c r="BK324" s="453"/>
      <c r="BL324" s="453"/>
      <c r="BM324" s="502"/>
      <c r="BN324" s="490"/>
      <c r="BO324" s="470"/>
      <c r="BP324" s="490"/>
      <c r="BQ324" s="453"/>
      <c r="BR324" s="502"/>
      <c r="BS324" s="524"/>
      <c r="BT324" s="530"/>
    </row>
    <row r="325" s="435" customFormat="1" ht="18" customHeight="1" spans="1:72">
      <c r="A325" s="451" t="s">
        <v>4038</v>
      </c>
      <c r="B325" s="456">
        <v>44572</v>
      </c>
      <c r="C325" s="537">
        <v>1000009402</v>
      </c>
      <c r="D325" s="451"/>
      <c r="E325" s="457"/>
      <c r="F325" s="453"/>
      <c r="G325" s="453"/>
      <c r="H325" s="453"/>
      <c r="I325" s="453"/>
      <c r="J325" s="453"/>
      <c r="K325" s="453"/>
      <c r="L325" s="453"/>
      <c r="M325" s="453"/>
      <c r="N325" s="453"/>
      <c r="O325" s="453"/>
      <c r="P325" s="453"/>
      <c r="Q325" s="453"/>
      <c r="R325" s="453"/>
      <c r="S325" s="453"/>
      <c r="T325" s="453"/>
      <c r="U325" s="453"/>
      <c r="V325" s="453"/>
      <c r="W325" s="453"/>
      <c r="X325" s="453"/>
      <c r="Y325" s="453"/>
      <c r="Z325" s="489"/>
      <c r="AA325" s="489"/>
      <c r="AB325" s="490"/>
      <c r="AC325" s="453"/>
      <c r="AD325" s="453"/>
      <c r="AE325" s="453"/>
      <c r="AF325" s="453"/>
      <c r="AG325" s="453"/>
      <c r="AH325" s="453"/>
      <c r="AI325" s="453"/>
      <c r="AJ325" s="453"/>
      <c r="AK325" s="453"/>
      <c r="AL325" s="453"/>
      <c r="AM325" s="453"/>
      <c r="AN325" s="453"/>
      <c r="AO325" s="453"/>
      <c r="AP325" s="453"/>
      <c r="AQ325" s="453"/>
      <c r="AR325" s="453"/>
      <c r="AS325" s="453"/>
      <c r="AT325" s="453"/>
      <c r="AU325" s="453"/>
      <c r="AV325" s="453"/>
      <c r="AW325" s="453"/>
      <c r="AX325" s="453"/>
      <c r="AY325" s="453"/>
      <c r="AZ325" s="453"/>
      <c r="BA325" s="532"/>
      <c r="BB325" s="502"/>
      <c r="BC325" s="503"/>
      <c r="BD325" s="453"/>
      <c r="BE325" s="453"/>
      <c r="BF325" s="470"/>
      <c r="BG325" s="453"/>
      <c r="BH325" s="453"/>
      <c r="BI325" s="453"/>
      <c r="BJ325" s="453"/>
      <c r="BK325" s="453"/>
      <c r="BL325" s="453"/>
      <c r="BM325" s="502"/>
      <c r="BN325" s="490"/>
      <c r="BO325" s="470"/>
      <c r="BP325" s="490"/>
      <c r="BQ325" s="453"/>
      <c r="BR325" s="502"/>
      <c r="BS325" s="524"/>
      <c r="BT325" s="530"/>
    </row>
    <row r="326" s="435" customFormat="1" ht="18" customHeight="1" spans="1:72">
      <c r="A326" s="451" t="s">
        <v>4038</v>
      </c>
      <c r="B326" s="456">
        <v>44572</v>
      </c>
      <c r="C326" s="537">
        <v>1000009403</v>
      </c>
      <c r="D326" s="451"/>
      <c r="E326" s="457"/>
      <c r="F326" s="453"/>
      <c r="G326" s="453"/>
      <c r="H326" s="453"/>
      <c r="I326" s="453"/>
      <c r="J326" s="453"/>
      <c r="K326" s="453"/>
      <c r="L326" s="453"/>
      <c r="M326" s="453"/>
      <c r="N326" s="453"/>
      <c r="O326" s="453"/>
      <c r="P326" s="453"/>
      <c r="Q326" s="453"/>
      <c r="R326" s="453"/>
      <c r="S326" s="453"/>
      <c r="T326" s="453"/>
      <c r="U326" s="453"/>
      <c r="V326" s="453"/>
      <c r="W326" s="453"/>
      <c r="X326" s="453"/>
      <c r="Y326" s="453"/>
      <c r="Z326" s="489"/>
      <c r="AA326" s="489"/>
      <c r="AB326" s="490"/>
      <c r="AC326" s="453"/>
      <c r="AD326" s="453"/>
      <c r="AE326" s="453"/>
      <c r="AF326" s="453"/>
      <c r="AG326" s="453"/>
      <c r="AH326" s="453"/>
      <c r="AI326" s="453"/>
      <c r="AJ326" s="453"/>
      <c r="AK326" s="453"/>
      <c r="AL326" s="453"/>
      <c r="AM326" s="453"/>
      <c r="AN326" s="453"/>
      <c r="AO326" s="453"/>
      <c r="AP326" s="453"/>
      <c r="AQ326" s="453"/>
      <c r="AR326" s="453"/>
      <c r="AS326" s="453"/>
      <c r="AT326" s="453"/>
      <c r="AU326" s="453"/>
      <c r="AV326" s="453"/>
      <c r="AW326" s="453"/>
      <c r="AX326" s="453"/>
      <c r="AY326" s="453"/>
      <c r="AZ326" s="453"/>
      <c r="BA326" s="532"/>
      <c r="BB326" s="502"/>
      <c r="BC326" s="503"/>
      <c r="BD326" s="453"/>
      <c r="BE326" s="453"/>
      <c r="BF326" s="470"/>
      <c r="BG326" s="453"/>
      <c r="BH326" s="453"/>
      <c r="BI326" s="453"/>
      <c r="BJ326" s="453"/>
      <c r="BK326" s="453"/>
      <c r="BL326" s="453"/>
      <c r="BM326" s="502"/>
      <c r="BN326" s="490"/>
      <c r="BO326" s="470"/>
      <c r="BP326" s="490"/>
      <c r="BQ326" s="453"/>
      <c r="BR326" s="502"/>
      <c r="BS326" s="524"/>
      <c r="BT326" s="530"/>
    </row>
    <row r="327" s="435" customFormat="1" ht="18" customHeight="1" spans="1:72">
      <c r="A327" s="451" t="s">
        <v>4038</v>
      </c>
      <c r="B327" s="456">
        <v>44572</v>
      </c>
      <c r="C327" s="537">
        <v>1000009404</v>
      </c>
      <c r="D327" s="451"/>
      <c r="E327" s="457"/>
      <c r="F327" s="453"/>
      <c r="G327" s="453"/>
      <c r="H327" s="453"/>
      <c r="I327" s="453"/>
      <c r="J327" s="453"/>
      <c r="K327" s="453"/>
      <c r="L327" s="453"/>
      <c r="M327" s="453"/>
      <c r="N327" s="453"/>
      <c r="O327" s="453"/>
      <c r="P327" s="453"/>
      <c r="Q327" s="453"/>
      <c r="R327" s="453"/>
      <c r="S327" s="453"/>
      <c r="T327" s="453"/>
      <c r="U327" s="453"/>
      <c r="V327" s="453"/>
      <c r="W327" s="453"/>
      <c r="X327" s="453"/>
      <c r="Y327" s="453"/>
      <c r="Z327" s="489"/>
      <c r="AA327" s="489"/>
      <c r="AB327" s="490"/>
      <c r="AC327" s="453"/>
      <c r="AD327" s="453">
        <v>80000</v>
      </c>
      <c r="AE327" s="453"/>
      <c r="AF327" s="453"/>
      <c r="AG327" s="453"/>
      <c r="AH327" s="453"/>
      <c r="AI327" s="453"/>
      <c r="AJ327" s="453"/>
      <c r="AK327" s="453"/>
      <c r="AL327" s="453"/>
      <c r="AM327" s="453"/>
      <c r="AN327" s="453"/>
      <c r="AO327" s="453"/>
      <c r="AP327" s="453"/>
      <c r="AQ327" s="453"/>
      <c r="AR327" s="453"/>
      <c r="AS327" s="453"/>
      <c r="AT327" s="453"/>
      <c r="AU327" s="453"/>
      <c r="AV327" s="453"/>
      <c r="AW327" s="453"/>
      <c r="AX327" s="453"/>
      <c r="AY327" s="453"/>
      <c r="AZ327" s="453"/>
      <c r="BA327" s="532"/>
      <c r="BB327" s="502"/>
      <c r="BC327" s="503"/>
      <c r="BD327" s="453"/>
      <c r="BE327" s="453"/>
      <c r="BF327" s="470"/>
      <c r="BG327" s="453"/>
      <c r="BH327" s="453"/>
      <c r="BI327" s="453"/>
      <c r="BJ327" s="453"/>
      <c r="BK327" s="453"/>
      <c r="BL327" s="453"/>
      <c r="BM327" s="502"/>
      <c r="BN327" s="490"/>
      <c r="BO327" s="470"/>
      <c r="BP327" s="490"/>
      <c r="BQ327" s="453"/>
      <c r="BR327" s="502"/>
      <c r="BS327" s="524"/>
      <c r="BT327" s="530"/>
    </row>
    <row r="328" s="435" customFormat="1" ht="18" customHeight="1" spans="1:72">
      <c r="A328" s="451" t="s">
        <v>4038</v>
      </c>
      <c r="B328" s="456">
        <v>44572</v>
      </c>
      <c r="C328" s="537">
        <v>1000009405</v>
      </c>
      <c r="D328" s="451"/>
      <c r="E328" s="457"/>
      <c r="F328" s="453"/>
      <c r="G328" s="453"/>
      <c r="H328" s="453"/>
      <c r="I328" s="453"/>
      <c r="J328" s="453"/>
      <c r="K328" s="453"/>
      <c r="L328" s="453"/>
      <c r="M328" s="453"/>
      <c r="N328" s="453"/>
      <c r="O328" s="453"/>
      <c r="P328" s="453"/>
      <c r="Q328" s="453"/>
      <c r="R328" s="453"/>
      <c r="S328" s="453"/>
      <c r="T328" s="453"/>
      <c r="U328" s="453"/>
      <c r="V328" s="453"/>
      <c r="W328" s="453"/>
      <c r="X328" s="453"/>
      <c r="Y328" s="453"/>
      <c r="Z328" s="489"/>
      <c r="AA328" s="489"/>
      <c r="AB328" s="490"/>
      <c r="AC328" s="453"/>
      <c r="AD328" s="453"/>
      <c r="AE328" s="453"/>
      <c r="AF328" s="453"/>
      <c r="AG328" s="453"/>
      <c r="AH328" s="453"/>
      <c r="AI328" s="453"/>
      <c r="AJ328" s="453"/>
      <c r="AK328" s="453"/>
      <c r="AL328" s="453"/>
      <c r="AM328" s="453"/>
      <c r="AN328" s="453"/>
      <c r="AO328" s="453">
        <v>130000</v>
      </c>
      <c r="AP328" s="453"/>
      <c r="AQ328" s="453"/>
      <c r="AR328" s="453"/>
      <c r="AS328" s="453"/>
      <c r="AT328" s="453"/>
      <c r="AU328" s="453"/>
      <c r="AV328" s="453"/>
      <c r="AW328" s="453"/>
      <c r="AX328" s="453"/>
      <c r="AY328" s="453"/>
      <c r="AZ328" s="453"/>
      <c r="BA328" s="532"/>
      <c r="BB328" s="502"/>
      <c r="BC328" s="503"/>
      <c r="BD328" s="453"/>
      <c r="BE328" s="453"/>
      <c r="BF328" s="470"/>
      <c r="BG328" s="453"/>
      <c r="BH328" s="453"/>
      <c r="BI328" s="453"/>
      <c r="BJ328" s="453"/>
      <c r="BK328" s="453"/>
      <c r="BL328" s="453"/>
      <c r="BM328" s="502"/>
      <c r="BN328" s="490"/>
      <c r="BO328" s="470"/>
      <c r="BP328" s="490"/>
      <c r="BQ328" s="453"/>
      <c r="BR328" s="502"/>
      <c r="BS328" s="524"/>
      <c r="BT328" s="530"/>
    </row>
    <row r="329" s="435" customFormat="1" ht="18" customHeight="1" spans="1:72">
      <c r="A329" s="451" t="s">
        <v>4038</v>
      </c>
      <c r="B329" s="456">
        <v>44572</v>
      </c>
      <c r="C329" s="537">
        <v>1000009406</v>
      </c>
      <c r="D329" s="451"/>
      <c r="E329" s="457"/>
      <c r="F329" s="453"/>
      <c r="G329" s="453"/>
      <c r="H329" s="453"/>
      <c r="I329" s="453"/>
      <c r="J329" s="453"/>
      <c r="K329" s="453"/>
      <c r="L329" s="453"/>
      <c r="M329" s="453"/>
      <c r="N329" s="453"/>
      <c r="O329" s="453"/>
      <c r="P329" s="453"/>
      <c r="Q329" s="453"/>
      <c r="R329" s="453"/>
      <c r="S329" s="453"/>
      <c r="T329" s="453"/>
      <c r="U329" s="453"/>
      <c r="V329" s="453"/>
      <c r="W329" s="453"/>
      <c r="X329" s="453"/>
      <c r="Y329" s="453"/>
      <c r="Z329" s="489"/>
      <c r="AA329" s="489"/>
      <c r="AB329" s="490"/>
      <c r="AC329" s="453"/>
      <c r="AD329" s="453"/>
      <c r="AE329" s="453"/>
      <c r="AF329" s="453"/>
      <c r="AG329" s="453"/>
      <c r="AH329" s="453"/>
      <c r="AI329" s="453">
        <v>10000</v>
      </c>
      <c r="AJ329" s="453"/>
      <c r="AK329" s="453"/>
      <c r="AL329" s="453"/>
      <c r="AM329" s="453"/>
      <c r="AN329" s="453"/>
      <c r="AO329" s="453"/>
      <c r="AP329" s="453"/>
      <c r="AQ329" s="453"/>
      <c r="AR329" s="453"/>
      <c r="AS329" s="453"/>
      <c r="AT329" s="453"/>
      <c r="AU329" s="453"/>
      <c r="AV329" s="453"/>
      <c r="AW329" s="453"/>
      <c r="AX329" s="453"/>
      <c r="AY329" s="453"/>
      <c r="AZ329" s="453"/>
      <c r="BA329" s="532"/>
      <c r="BB329" s="502"/>
      <c r="BC329" s="503"/>
      <c r="BD329" s="453"/>
      <c r="BE329" s="453"/>
      <c r="BF329" s="470"/>
      <c r="BG329" s="453"/>
      <c r="BH329" s="453"/>
      <c r="BI329" s="453"/>
      <c r="BJ329" s="453"/>
      <c r="BK329" s="453"/>
      <c r="BL329" s="453"/>
      <c r="BM329" s="502"/>
      <c r="BN329" s="490"/>
      <c r="BO329" s="470"/>
      <c r="BP329" s="490"/>
      <c r="BQ329" s="453"/>
      <c r="BR329" s="502"/>
      <c r="BS329" s="524"/>
      <c r="BT329" s="530"/>
    </row>
    <row r="330" s="435" customFormat="1" ht="18" customHeight="1" spans="1:72">
      <c r="A330" s="451" t="s">
        <v>4038</v>
      </c>
      <c r="B330" s="456">
        <v>44572</v>
      </c>
      <c r="C330" s="537">
        <v>1000009407</v>
      </c>
      <c r="D330" s="451"/>
      <c r="E330" s="457"/>
      <c r="F330" s="453"/>
      <c r="G330" s="453"/>
      <c r="H330" s="453"/>
      <c r="I330" s="453"/>
      <c r="J330" s="453"/>
      <c r="K330" s="453"/>
      <c r="L330" s="453">
        <v>2001</v>
      </c>
      <c r="M330" s="453"/>
      <c r="N330" s="453"/>
      <c r="O330" s="453"/>
      <c r="P330" s="453"/>
      <c r="Q330" s="453"/>
      <c r="R330" s="453"/>
      <c r="S330" s="453"/>
      <c r="T330" s="453"/>
      <c r="U330" s="453"/>
      <c r="V330" s="453"/>
      <c r="W330" s="453"/>
      <c r="X330" s="453"/>
      <c r="Y330" s="453"/>
      <c r="Z330" s="489"/>
      <c r="AA330" s="489"/>
      <c r="AB330" s="490"/>
      <c r="AC330" s="453"/>
      <c r="AD330" s="453"/>
      <c r="AE330" s="453"/>
      <c r="AF330" s="453"/>
      <c r="AG330" s="453"/>
      <c r="AH330" s="453"/>
      <c r="AI330" s="453"/>
      <c r="AJ330" s="453"/>
      <c r="AK330" s="453"/>
      <c r="AL330" s="453"/>
      <c r="AM330" s="453"/>
      <c r="AN330" s="453"/>
      <c r="AO330" s="453"/>
      <c r="AP330" s="453"/>
      <c r="AQ330" s="453"/>
      <c r="AR330" s="453"/>
      <c r="AS330" s="453"/>
      <c r="AT330" s="453"/>
      <c r="AU330" s="453"/>
      <c r="AV330" s="453"/>
      <c r="AW330" s="453"/>
      <c r="AX330" s="453"/>
      <c r="AY330" s="453"/>
      <c r="AZ330" s="453"/>
      <c r="BA330" s="532"/>
      <c r="BB330" s="502"/>
      <c r="BC330" s="503"/>
      <c r="BD330" s="453"/>
      <c r="BE330" s="453"/>
      <c r="BF330" s="470"/>
      <c r="BG330" s="453"/>
      <c r="BH330" s="453"/>
      <c r="BI330" s="453"/>
      <c r="BJ330" s="453"/>
      <c r="BK330" s="453"/>
      <c r="BL330" s="453"/>
      <c r="BM330" s="502"/>
      <c r="BN330" s="490"/>
      <c r="BO330" s="470"/>
      <c r="BP330" s="490"/>
      <c r="BQ330" s="453"/>
      <c r="BR330" s="502"/>
      <c r="BS330" s="524"/>
      <c r="BT330" s="530"/>
    </row>
    <row r="331" s="435" customFormat="1" ht="18" customHeight="1" spans="1:72">
      <c r="A331" s="451" t="s">
        <v>4038</v>
      </c>
      <c r="B331" s="456">
        <v>44572</v>
      </c>
      <c r="C331" s="537">
        <v>1000009408</v>
      </c>
      <c r="D331" s="451"/>
      <c r="E331" s="457"/>
      <c r="F331" s="453"/>
      <c r="G331" s="453"/>
      <c r="H331" s="453"/>
      <c r="I331" s="453"/>
      <c r="J331" s="453"/>
      <c r="K331" s="453"/>
      <c r="L331" s="453"/>
      <c r="M331" s="453">
        <v>1001</v>
      </c>
      <c r="N331" s="453"/>
      <c r="O331" s="453"/>
      <c r="P331" s="453"/>
      <c r="Q331" s="453"/>
      <c r="R331" s="453"/>
      <c r="S331" s="453"/>
      <c r="T331" s="453"/>
      <c r="U331" s="453"/>
      <c r="V331" s="453"/>
      <c r="W331" s="453"/>
      <c r="X331" s="453"/>
      <c r="Y331" s="453"/>
      <c r="Z331" s="489"/>
      <c r="AA331" s="489"/>
      <c r="AB331" s="490"/>
      <c r="AC331" s="453"/>
      <c r="AD331" s="453"/>
      <c r="AE331" s="453"/>
      <c r="AF331" s="453"/>
      <c r="AG331" s="453"/>
      <c r="AH331" s="453"/>
      <c r="AI331" s="453"/>
      <c r="AJ331" s="453"/>
      <c r="AK331" s="453"/>
      <c r="AL331" s="453"/>
      <c r="AM331" s="453"/>
      <c r="AN331" s="453"/>
      <c r="AO331" s="453"/>
      <c r="AP331" s="453"/>
      <c r="AQ331" s="453"/>
      <c r="AR331" s="453"/>
      <c r="AS331" s="453"/>
      <c r="AT331" s="453"/>
      <c r="AU331" s="453"/>
      <c r="AV331" s="453"/>
      <c r="AW331" s="453"/>
      <c r="AX331" s="453"/>
      <c r="AY331" s="453"/>
      <c r="AZ331" s="453"/>
      <c r="BA331" s="532"/>
      <c r="BB331" s="502"/>
      <c r="BC331" s="503"/>
      <c r="BD331" s="453"/>
      <c r="BE331" s="453"/>
      <c r="BF331" s="470"/>
      <c r="BG331" s="453"/>
      <c r="BH331" s="453"/>
      <c r="BI331" s="453"/>
      <c r="BJ331" s="453"/>
      <c r="BK331" s="453"/>
      <c r="BL331" s="453"/>
      <c r="BM331" s="502"/>
      <c r="BN331" s="490"/>
      <c r="BO331" s="470"/>
      <c r="BP331" s="490"/>
      <c r="BQ331" s="453"/>
      <c r="BR331" s="502"/>
      <c r="BS331" s="524"/>
      <c r="BT331" s="530"/>
    </row>
    <row r="332" s="435" customFormat="1" ht="18" customHeight="1" spans="1:72">
      <c r="A332" s="451" t="s">
        <v>4038</v>
      </c>
      <c r="B332" s="456">
        <v>44572</v>
      </c>
      <c r="C332" s="537">
        <v>1000009409</v>
      </c>
      <c r="D332" s="451"/>
      <c r="E332" s="457"/>
      <c r="F332" s="453"/>
      <c r="G332" s="453"/>
      <c r="H332" s="453"/>
      <c r="I332" s="453"/>
      <c r="J332" s="453"/>
      <c r="K332" s="453"/>
      <c r="L332" s="453"/>
      <c r="M332" s="453"/>
      <c r="N332" s="453">
        <v>2001</v>
      </c>
      <c r="O332" s="453"/>
      <c r="P332" s="453"/>
      <c r="Q332" s="453"/>
      <c r="R332" s="453"/>
      <c r="S332" s="453"/>
      <c r="T332" s="453"/>
      <c r="U332" s="453"/>
      <c r="V332" s="453"/>
      <c r="W332" s="453"/>
      <c r="X332" s="453"/>
      <c r="Y332" s="453"/>
      <c r="Z332" s="489"/>
      <c r="AA332" s="489"/>
      <c r="AB332" s="490"/>
      <c r="AC332" s="453"/>
      <c r="AD332" s="453"/>
      <c r="AE332" s="453"/>
      <c r="AF332" s="453"/>
      <c r="AG332" s="453"/>
      <c r="AH332" s="453"/>
      <c r="AI332" s="453"/>
      <c r="AJ332" s="453"/>
      <c r="AK332" s="453"/>
      <c r="AL332" s="453"/>
      <c r="AM332" s="453"/>
      <c r="AN332" s="453"/>
      <c r="AO332" s="453"/>
      <c r="AP332" s="453"/>
      <c r="AQ332" s="453"/>
      <c r="AR332" s="453"/>
      <c r="AS332" s="453"/>
      <c r="AT332" s="453"/>
      <c r="AU332" s="453"/>
      <c r="AV332" s="453"/>
      <c r="AW332" s="453"/>
      <c r="AX332" s="453"/>
      <c r="AY332" s="453"/>
      <c r="AZ332" s="453"/>
      <c r="BA332" s="532"/>
      <c r="BB332" s="502"/>
      <c r="BC332" s="503"/>
      <c r="BD332" s="453"/>
      <c r="BE332" s="453"/>
      <c r="BF332" s="470"/>
      <c r="BG332" s="453"/>
      <c r="BH332" s="453"/>
      <c r="BI332" s="453"/>
      <c r="BJ332" s="453"/>
      <c r="BK332" s="453"/>
      <c r="BL332" s="453"/>
      <c r="BM332" s="502"/>
      <c r="BN332" s="490"/>
      <c r="BO332" s="470"/>
      <c r="BP332" s="490"/>
      <c r="BQ332" s="453"/>
      <c r="BR332" s="502"/>
      <c r="BS332" s="524"/>
      <c r="BT332" s="530"/>
    </row>
    <row r="333" s="435" customFormat="1" ht="18" customHeight="1" spans="1:72">
      <c r="A333" s="451" t="s">
        <v>4038</v>
      </c>
      <c r="B333" s="456">
        <v>44572</v>
      </c>
      <c r="C333" s="526">
        <v>1000009410</v>
      </c>
      <c r="D333" s="451"/>
      <c r="E333" s="457"/>
      <c r="F333" s="453"/>
      <c r="G333" s="453"/>
      <c r="H333" s="453"/>
      <c r="I333" s="453"/>
      <c r="J333" s="453"/>
      <c r="K333" s="453"/>
      <c r="L333" s="453"/>
      <c r="M333" s="453"/>
      <c r="N333" s="453"/>
      <c r="O333" s="453"/>
      <c r="P333" s="453"/>
      <c r="Q333" s="453"/>
      <c r="R333" s="453"/>
      <c r="S333" s="453">
        <v>6000</v>
      </c>
      <c r="T333" s="453"/>
      <c r="U333" s="453"/>
      <c r="V333" s="453"/>
      <c r="W333" s="453"/>
      <c r="X333" s="453"/>
      <c r="Y333" s="453"/>
      <c r="Z333" s="489"/>
      <c r="AA333" s="489"/>
      <c r="AB333" s="490"/>
      <c r="AC333" s="453"/>
      <c r="AD333" s="453"/>
      <c r="AE333" s="453"/>
      <c r="AF333" s="453"/>
      <c r="AG333" s="453"/>
      <c r="AH333" s="453"/>
      <c r="AI333" s="453"/>
      <c r="AJ333" s="453"/>
      <c r="AK333" s="453"/>
      <c r="AL333" s="453"/>
      <c r="AM333" s="453"/>
      <c r="AN333" s="453"/>
      <c r="AO333" s="453"/>
      <c r="AP333" s="453"/>
      <c r="AQ333" s="453"/>
      <c r="AR333" s="453"/>
      <c r="AS333" s="453"/>
      <c r="AT333" s="453"/>
      <c r="AU333" s="453"/>
      <c r="AV333" s="453"/>
      <c r="AW333" s="453"/>
      <c r="AX333" s="453"/>
      <c r="AY333" s="453"/>
      <c r="AZ333" s="453"/>
      <c r="BA333" s="532"/>
      <c r="BB333" s="502"/>
      <c r="BC333" s="503"/>
      <c r="BD333" s="453"/>
      <c r="BE333" s="453"/>
      <c r="BF333" s="470"/>
      <c r="BG333" s="453"/>
      <c r="BH333" s="453"/>
      <c r="BI333" s="453"/>
      <c r="BJ333" s="453"/>
      <c r="BK333" s="453"/>
      <c r="BL333" s="453"/>
      <c r="BM333" s="502"/>
      <c r="BN333" s="490"/>
      <c r="BO333" s="470"/>
      <c r="BP333" s="490"/>
      <c r="BQ333" s="453"/>
      <c r="BR333" s="502"/>
      <c r="BS333" s="524"/>
      <c r="BT333" s="530"/>
    </row>
    <row r="334" s="435" customFormat="1" ht="18" customHeight="1" spans="1:72">
      <c r="A334" s="451" t="s">
        <v>4038</v>
      </c>
      <c r="B334" s="456">
        <v>44572</v>
      </c>
      <c r="C334" s="526">
        <v>1000009422</v>
      </c>
      <c r="D334" s="451"/>
      <c r="E334" s="457"/>
      <c r="F334" s="453"/>
      <c r="G334" s="453"/>
      <c r="H334" s="453"/>
      <c r="I334" s="453"/>
      <c r="J334" s="453"/>
      <c r="K334" s="453"/>
      <c r="L334" s="453"/>
      <c r="M334" s="453"/>
      <c r="N334" s="453"/>
      <c r="O334" s="453"/>
      <c r="P334" s="453"/>
      <c r="Q334" s="453"/>
      <c r="R334" s="453"/>
      <c r="S334" s="453"/>
      <c r="T334" s="453"/>
      <c r="U334" s="453"/>
      <c r="V334" s="453"/>
      <c r="W334" s="453"/>
      <c r="X334" s="453"/>
      <c r="Y334" s="453"/>
      <c r="Z334" s="489"/>
      <c r="AA334" s="489"/>
      <c r="AB334" s="490"/>
      <c r="AC334" s="453"/>
      <c r="AD334" s="453"/>
      <c r="AE334" s="453"/>
      <c r="AF334" s="453"/>
      <c r="AG334" s="453"/>
      <c r="AH334" s="453"/>
      <c r="AI334" s="453"/>
      <c r="AJ334" s="453"/>
      <c r="AK334" s="453"/>
      <c r="AL334" s="453"/>
      <c r="AM334" s="453"/>
      <c r="AN334" s="453"/>
      <c r="AO334" s="453"/>
      <c r="AP334" s="453"/>
      <c r="AQ334" s="453"/>
      <c r="AR334" s="453"/>
      <c r="AS334" s="453"/>
      <c r="AT334" s="453"/>
      <c r="AU334" s="453"/>
      <c r="AV334" s="453"/>
      <c r="AW334" s="453"/>
      <c r="AX334" s="453"/>
      <c r="AY334" s="453"/>
      <c r="AZ334" s="453"/>
      <c r="BA334" s="532">
        <v>7962</v>
      </c>
      <c r="BB334" s="502"/>
      <c r="BC334" s="503"/>
      <c r="BD334" s="453"/>
      <c r="BE334" s="453"/>
      <c r="BF334" s="470"/>
      <c r="BG334" s="453"/>
      <c r="BH334" s="453"/>
      <c r="BI334" s="453"/>
      <c r="BJ334" s="453"/>
      <c r="BK334" s="453"/>
      <c r="BL334" s="453"/>
      <c r="BM334" s="502"/>
      <c r="BN334" s="490"/>
      <c r="BO334" s="470"/>
      <c r="BP334" s="490"/>
      <c r="BQ334" s="453"/>
      <c r="BR334" s="502"/>
      <c r="BS334" s="524"/>
      <c r="BT334" s="530"/>
    </row>
    <row r="335" s="435" customFormat="1" ht="18" customHeight="1" spans="1:72">
      <c r="A335" s="451" t="s">
        <v>4038</v>
      </c>
      <c r="B335" s="456">
        <v>44572</v>
      </c>
      <c r="C335" s="526">
        <v>1000009423</v>
      </c>
      <c r="D335" s="451"/>
      <c r="E335" s="457"/>
      <c r="F335" s="453"/>
      <c r="G335" s="453"/>
      <c r="H335" s="453"/>
      <c r="I335" s="453"/>
      <c r="J335" s="453"/>
      <c r="K335" s="453"/>
      <c r="L335" s="453"/>
      <c r="M335" s="453"/>
      <c r="N335" s="453"/>
      <c r="O335" s="453"/>
      <c r="P335" s="453"/>
      <c r="Q335" s="453"/>
      <c r="R335" s="453"/>
      <c r="S335" s="453"/>
      <c r="T335" s="453"/>
      <c r="U335" s="453"/>
      <c r="V335" s="453"/>
      <c r="W335" s="453"/>
      <c r="X335" s="453"/>
      <c r="Y335" s="453"/>
      <c r="Z335" s="489"/>
      <c r="AA335" s="489"/>
      <c r="AB335" s="490"/>
      <c r="AC335" s="453"/>
      <c r="AD335" s="453"/>
      <c r="AE335" s="453"/>
      <c r="AF335" s="453"/>
      <c r="AG335" s="453"/>
      <c r="AH335" s="453"/>
      <c r="AI335" s="453"/>
      <c r="AJ335" s="453"/>
      <c r="AK335" s="453"/>
      <c r="AL335" s="453"/>
      <c r="AM335" s="453"/>
      <c r="AN335" s="453"/>
      <c r="AO335" s="453"/>
      <c r="AP335" s="453"/>
      <c r="AQ335" s="453"/>
      <c r="AR335" s="453"/>
      <c r="AS335" s="453"/>
      <c r="AT335" s="453"/>
      <c r="AU335" s="453"/>
      <c r="AV335" s="453"/>
      <c r="AW335" s="453"/>
      <c r="AX335" s="453"/>
      <c r="AY335" s="453"/>
      <c r="AZ335" s="453"/>
      <c r="BA335" s="532"/>
      <c r="BB335" s="502">
        <v>7962</v>
      </c>
      <c r="BC335" s="503"/>
      <c r="BD335" s="453"/>
      <c r="BE335" s="453"/>
      <c r="BF335" s="470"/>
      <c r="BG335" s="453"/>
      <c r="BH335" s="453"/>
      <c r="BI335" s="453"/>
      <c r="BJ335" s="453"/>
      <c r="BK335" s="453"/>
      <c r="BL335" s="453"/>
      <c r="BM335" s="502"/>
      <c r="BN335" s="490"/>
      <c r="BO335" s="470"/>
      <c r="BP335" s="490"/>
      <c r="BQ335" s="453"/>
      <c r="BR335" s="502"/>
      <c r="BS335" s="524"/>
      <c r="BT335" s="530"/>
    </row>
    <row r="336" s="435" customFormat="1" ht="18" customHeight="1" spans="1:72">
      <c r="A336" s="451" t="s">
        <v>4038</v>
      </c>
      <c r="B336" s="456">
        <v>44572</v>
      </c>
      <c r="C336" s="526" t="s">
        <v>4037</v>
      </c>
      <c r="D336" s="451"/>
      <c r="E336" s="457"/>
      <c r="F336" s="453"/>
      <c r="G336" s="453"/>
      <c r="H336" s="453"/>
      <c r="I336" s="453"/>
      <c r="J336" s="453"/>
      <c r="K336" s="453"/>
      <c r="L336" s="453"/>
      <c r="M336" s="453"/>
      <c r="N336" s="453"/>
      <c r="O336" s="453"/>
      <c r="P336" s="453"/>
      <c r="Q336" s="453"/>
      <c r="R336" s="453"/>
      <c r="S336" s="453"/>
      <c r="T336" s="453"/>
      <c r="U336" s="453"/>
      <c r="V336" s="453"/>
      <c r="W336" s="453"/>
      <c r="X336" s="453"/>
      <c r="Y336" s="453"/>
      <c r="Z336" s="489"/>
      <c r="AA336" s="489"/>
      <c r="AB336" s="490"/>
      <c r="AC336" s="453"/>
      <c r="AD336" s="453"/>
      <c r="AE336" s="453"/>
      <c r="AF336" s="453"/>
      <c r="AG336" s="453"/>
      <c r="AH336" s="453"/>
      <c r="AI336" s="453"/>
      <c r="AJ336" s="453"/>
      <c r="AK336" s="453"/>
      <c r="AL336" s="453"/>
      <c r="AM336" s="453"/>
      <c r="AN336" s="453"/>
      <c r="AO336" s="453"/>
      <c r="AP336" s="453"/>
      <c r="AQ336" s="453"/>
      <c r="AR336" s="453"/>
      <c r="AS336" s="453"/>
      <c r="AT336" s="453"/>
      <c r="AU336" s="453"/>
      <c r="AV336" s="453"/>
      <c r="AW336" s="453"/>
      <c r="AX336" s="453"/>
      <c r="AY336" s="453"/>
      <c r="AZ336" s="453"/>
      <c r="BA336" s="532"/>
      <c r="BB336" s="502"/>
      <c r="BC336" s="503"/>
      <c r="BD336" s="453"/>
      <c r="BE336" s="453"/>
      <c r="BF336" s="470"/>
      <c r="BG336" s="453"/>
      <c r="BH336" s="453"/>
      <c r="BI336" s="453"/>
      <c r="BJ336" s="453"/>
      <c r="BK336" s="453"/>
      <c r="BL336" s="453"/>
      <c r="BM336" s="502"/>
      <c r="BN336" s="490"/>
      <c r="BO336" s="470"/>
      <c r="BP336" s="490"/>
      <c r="BQ336" s="453"/>
      <c r="BR336" s="502"/>
      <c r="BS336" s="524"/>
      <c r="BT336" s="530"/>
    </row>
    <row r="337" s="435" customFormat="1" ht="18" customHeight="1" spans="1:72">
      <c r="A337" s="451" t="s">
        <v>4038</v>
      </c>
      <c r="B337" s="456">
        <v>44572</v>
      </c>
      <c r="C337" s="526" t="s">
        <v>4037</v>
      </c>
      <c r="D337" s="451"/>
      <c r="E337" s="457"/>
      <c r="F337" s="453"/>
      <c r="G337" s="453"/>
      <c r="H337" s="453"/>
      <c r="I337" s="453"/>
      <c r="J337" s="453"/>
      <c r="K337" s="453"/>
      <c r="L337" s="453"/>
      <c r="M337" s="453"/>
      <c r="N337" s="453"/>
      <c r="O337" s="453"/>
      <c r="P337" s="453"/>
      <c r="Q337" s="453"/>
      <c r="R337" s="453"/>
      <c r="S337" s="453"/>
      <c r="T337" s="453"/>
      <c r="U337" s="453"/>
      <c r="V337" s="453"/>
      <c r="W337" s="453"/>
      <c r="X337" s="453"/>
      <c r="Y337" s="453"/>
      <c r="Z337" s="489"/>
      <c r="AA337" s="489"/>
      <c r="AB337" s="490"/>
      <c r="AC337" s="453"/>
      <c r="AD337" s="453"/>
      <c r="AE337" s="453"/>
      <c r="AF337" s="453"/>
      <c r="AG337" s="453"/>
      <c r="AH337" s="453"/>
      <c r="AI337" s="453"/>
      <c r="AJ337" s="453"/>
      <c r="AK337" s="453"/>
      <c r="AL337" s="453"/>
      <c r="AM337" s="453"/>
      <c r="AN337" s="453"/>
      <c r="AO337" s="453"/>
      <c r="AP337" s="453"/>
      <c r="AQ337" s="453"/>
      <c r="AR337" s="453"/>
      <c r="AS337" s="453"/>
      <c r="AT337" s="453"/>
      <c r="AU337" s="453"/>
      <c r="AV337" s="453"/>
      <c r="AW337" s="453"/>
      <c r="AX337" s="453"/>
      <c r="AY337" s="453"/>
      <c r="AZ337" s="453"/>
      <c r="BA337" s="532"/>
      <c r="BB337" s="502"/>
      <c r="BC337" s="503"/>
      <c r="BD337" s="453"/>
      <c r="BE337" s="453"/>
      <c r="BF337" s="470"/>
      <c r="BG337" s="453"/>
      <c r="BH337" s="453"/>
      <c r="BI337" s="453"/>
      <c r="BJ337" s="453"/>
      <c r="BK337" s="453"/>
      <c r="BL337" s="453"/>
      <c r="BM337" s="502"/>
      <c r="BN337" s="490"/>
      <c r="BO337" s="470"/>
      <c r="BP337" s="490"/>
      <c r="BQ337" s="453"/>
      <c r="BR337" s="502"/>
      <c r="BS337" s="524"/>
      <c r="BT337" s="530"/>
    </row>
    <row r="338" s="435" customFormat="1" ht="18" customHeight="1" spans="1:72">
      <c r="A338" s="451" t="s">
        <v>4038</v>
      </c>
      <c r="B338" s="456">
        <v>44572</v>
      </c>
      <c r="C338" s="526" t="s">
        <v>4037</v>
      </c>
      <c r="D338" s="451"/>
      <c r="E338" s="457"/>
      <c r="F338" s="453"/>
      <c r="G338" s="453"/>
      <c r="H338" s="453"/>
      <c r="I338" s="453"/>
      <c r="J338" s="453"/>
      <c r="K338" s="453"/>
      <c r="L338" s="453"/>
      <c r="M338" s="453"/>
      <c r="N338" s="453"/>
      <c r="O338" s="453"/>
      <c r="P338" s="453"/>
      <c r="Q338" s="453"/>
      <c r="R338" s="453"/>
      <c r="S338" s="453"/>
      <c r="T338" s="453"/>
      <c r="U338" s="453"/>
      <c r="V338" s="453"/>
      <c r="W338" s="453"/>
      <c r="X338" s="453"/>
      <c r="Y338" s="453"/>
      <c r="Z338" s="489"/>
      <c r="AA338" s="489"/>
      <c r="AB338" s="490"/>
      <c r="AC338" s="453"/>
      <c r="AD338" s="453"/>
      <c r="AE338" s="453"/>
      <c r="AF338" s="453"/>
      <c r="AG338" s="453"/>
      <c r="AH338" s="453"/>
      <c r="AI338" s="453"/>
      <c r="AJ338" s="453"/>
      <c r="AK338" s="453"/>
      <c r="AL338" s="453"/>
      <c r="AM338" s="453"/>
      <c r="AN338" s="453"/>
      <c r="AO338" s="453"/>
      <c r="AP338" s="453"/>
      <c r="AQ338" s="453"/>
      <c r="AR338" s="453"/>
      <c r="AS338" s="453"/>
      <c r="AT338" s="453"/>
      <c r="AU338" s="453"/>
      <c r="AV338" s="453"/>
      <c r="AW338" s="453"/>
      <c r="AX338" s="453"/>
      <c r="AY338" s="453"/>
      <c r="AZ338" s="453"/>
      <c r="BA338" s="532"/>
      <c r="BB338" s="502"/>
      <c r="BC338" s="503"/>
      <c r="BD338" s="453"/>
      <c r="BE338" s="453"/>
      <c r="BF338" s="470"/>
      <c r="BG338" s="453"/>
      <c r="BH338" s="453"/>
      <c r="BI338" s="453"/>
      <c r="BJ338" s="453"/>
      <c r="BK338" s="453"/>
      <c r="BL338" s="453"/>
      <c r="BM338" s="502"/>
      <c r="BN338" s="490"/>
      <c r="BO338" s="470"/>
      <c r="BP338" s="490"/>
      <c r="BQ338" s="453"/>
      <c r="BR338" s="502"/>
      <c r="BS338" s="524"/>
      <c r="BT338" s="530"/>
    </row>
    <row r="339" s="435" customFormat="1" ht="18" customHeight="1" spans="1:72">
      <c r="A339" s="451" t="s">
        <v>4038</v>
      </c>
      <c r="B339" s="456">
        <v>44572</v>
      </c>
      <c r="C339" s="526" t="s">
        <v>4037</v>
      </c>
      <c r="D339" s="451"/>
      <c r="E339" s="457"/>
      <c r="F339" s="453"/>
      <c r="G339" s="453"/>
      <c r="H339" s="453"/>
      <c r="I339" s="453"/>
      <c r="J339" s="453"/>
      <c r="K339" s="453"/>
      <c r="L339" s="453"/>
      <c r="M339" s="453"/>
      <c r="N339" s="453"/>
      <c r="O339" s="453"/>
      <c r="P339" s="453"/>
      <c r="Q339" s="453"/>
      <c r="R339" s="453"/>
      <c r="S339" s="453"/>
      <c r="T339" s="453"/>
      <c r="U339" s="453"/>
      <c r="V339" s="453"/>
      <c r="W339" s="453"/>
      <c r="X339" s="453"/>
      <c r="Y339" s="453"/>
      <c r="Z339" s="489"/>
      <c r="AA339" s="489"/>
      <c r="AB339" s="490"/>
      <c r="AC339" s="453"/>
      <c r="AD339" s="453"/>
      <c r="AE339" s="453"/>
      <c r="AF339" s="453"/>
      <c r="AG339" s="453"/>
      <c r="AH339" s="453"/>
      <c r="AI339" s="453"/>
      <c r="AJ339" s="453"/>
      <c r="AK339" s="453"/>
      <c r="AL339" s="453"/>
      <c r="AM339" s="453"/>
      <c r="AN339" s="453"/>
      <c r="AO339" s="453"/>
      <c r="AP339" s="453"/>
      <c r="AQ339" s="453"/>
      <c r="AR339" s="453"/>
      <c r="AS339" s="453"/>
      <c r="AT339" s="453"/>
      <c r="AU339" s="453"/>
      <c r="AV339" s="453"/>
      <c r="AW339" s="453"/>
      <c r="AX339" s="453"/>
      <c r="AY339" s="453"/>
      <c r="AZ339" s="453"/>
      <c r="BA339" s="532"/>
      <c r="BB339" s="502"/>
      <c r="BC339" s="503"/>
      <c r="BD339" s="453"/>
      <c r="BE339" s="453"/>
      <c r="BF339" s="470"/>
      <c r="BG339" s="453"/>
      <c r="BH339" s="453"/>
      <c r="BI339" s="453"/>
      <c r="BJ339" s="453"/>
      <c r="BK339" s="453"/>
      <c r="BL339" s="453"/>
      <c r="BM339" s="502"/>
      <c r="BN339" s="490"/>
      <c r="BO339" s="470"/>
      <c r="BP339" s="490"/>
      <c r="BQ339" s="453"/>
      <c r="BR339" s="502"/>
      <c r="BS339" s="524"/>
      <c r="BT339" s="530"/>
    </row>
    <row r="340" s="435" customFormat="1" ht="18" customHeight="1" spans="1:72">
      <c r="A340" s="451" t="s">
        <v>4038</v>
      </c>
      <c r="B340" s="456">
        <v>44578</v>
      </c>
      <c r="C340" s="526">
        <v>1000009470</v>
      </c>
      <c r="D340" s="451"/>
      <c r="E340" s="457"/>
      <c r="F340" s="453"/>
      <c r="G340" s="453"/>
      <c r="H340" s="453"/>
      <c r="I340" s="453"/>
      <c r="J340" s="453"/>
      <c r="K340" s="453"/>
      <c r="L340" s="453"/>
      <c r="M340" s="453"/>
      <c r="N340" s="453"/>
      <c r="O340" s="453"/>
      <c r="P340" s="453"/>
      <c r="Q340" s="453"/>
      <c r="R340" s="453"/>
      <c r="S340" s="453"/>
      <c r="T340" s="453"/>
      <c r="U340" s="453"/>
      <c r="V340" s="453"/>
      <c r="W340" s="453"/>
      <c r="X340" s="453"/>
      <c r="Y340" s="453"/>
      <c r="Z340" s="489"/>
      <c r="AA340" s="489"/>
      <c r="AB340" s="490"/>
      <c r="AC340" s="453"/>
      <c r="AD340" s="453"/>
      <c r="AE340" s="453"/>
      <c r="AF340" s="453"/>
      <c r="AG340" s="453"/>
      <c r="AH340" s="453"/>
      <c r="AI340" s="453"/>
      <c r="AJ340" s="453"/>
      <c r="AK340" s="453"/>
      <c r="AL340" s="453"/>
      <c r="AM340" s="453"/>
      <c r="AN340" s="453"/>
      <c r="AO340" s="453"/>
      <c r="AP340" s="453"/>
      <c r="AQ340" s="453"/>
      <c r="AR340" s="453"/>
      <c r="AS340" s="453"/>
      <c r="AT340" s="453"/>
      <c r="AU340" s="453"/>
      <c r="AV340" s="453"/>
      <c r="AW340" s="453"/>
      <c r="AX340" s="453"/>
      <c r="AY340" s="453"/>
      <c r="AZ340" s="453"/>
      <c r="BA340" s="532">
        <v>1280</v>
      </c>
      <c r="BB340" s="502"/>
      <c r="BC340" s="503"/>
      <c r="BD340" s="453"/>
      <c r="BE340" s="453"/>
      <c r="BF340" s="470"/>
      <c r="BG340" s="453"/>
      <c r="BH340" s="453"/>
      <c r="BI340" s="453"/>
      <c r="BJ340" s="453"/>
      <c r="BK340" s="453"/>
      <c r="BL340" s="453"/>
      <c r="BM340" s="502"/>
      <c r="BN340" s="490"/>
      <c r="BO340" s="470"/>
      <c r="BP340" s="490"/>
      <c r="BQ340" s="453"/>
      <c r="BR340" s="502"/>
      <c r="BS340" s="524"/>
      <c r="BT340" s="530"/>
    </row>
    <row r="341" s="435" customFormat="1" ht="18" customHeight="1" spans="1:72">
      <c r="A341" s="451" t="s">
        <v>4038</v>
      </c>
      <c r="B341" s="456">
        <v>44578</v>
      </c>
      <c r="C341" s="526">
        <v>1000009471</v>
      </c>
      <c r="D341" s="451"/>
      <c r="E341" s="457"/>
      <c r="F341" s="453"/>
      <c r="G341" s="453"/>
      <c r="H341" s="453"/>
      <c r="I341" s="453"/>
      <c r="J341" s="453"/>
      <c r="K341" s="453"/>
      <c r="L341" s="453"/>
      <c r="M341" s="453"/>
      <c r="N341" s="453"/>
      <c r="O341" s="453"/>
      <c r="P341" s="453"/>
      <c r="Q341" s="453"/>
      <c r="R341" s="453"/>
      <c r="S341" s="453"/>
      <c r="T341" s="453"/>
      <c r="U341" s="453"/>
      <c r="V341" s="453"/>
      <c r="W341" s="453"/>
      <c r="X341" s="453"/>
      <c r="Y341" s="453"/>
      <c r="Z341" s="489"/>
      <c r="AA341" s="489"/>
      <c r="AB341" s="490"/>
      <c r="AC341" s="453"/>
      <c r="AD341" s="453"/>
      <c r="AE341" s="453"/>
      <c r="AF341" s="453"/>
      <c r="AG341" s="453"/>
      <c r="AH341" s="453"/>
      <c r="AI341" s="453"/>
      <c r="AJ341" s="453"/>
      <c r="AK341" s="453"/>
      <c r="AL341" s="453"/>
      <c r="AM341" s="453"/>
      <c r="AN341" s="453"/>
      <c r="AO341" s="453"/>
      <c r="AP341" s="453"/>
      <c r="AQ341" s="453"/>
      <c r="AR341" s="453"/>
      <c r="AS341" s="453"/>
      <c r="AT341" s="453"/>
      <c r="AU341" s="453"/>
      <c r="AV341" s="453"/>
      <c r="AW341" s="453"/>
      <c r="AX341" s="453"/>
      <c r="AY341" s="453"/>
      <c r="AZ341" s="453"/>
      <c r="BA341" s="532"/>
      <c r="BB341" s="502">
        <v>1280</v>
      </c>
      <c r="BC341" s="503"/>
      <c r="BD341" s="453"/>
      <c r="BE341" s="453"/>
      <c r="BF341" s="470"/>
      <c r="BG341" s="453"/>
      <c r="BH341" s="453"/>
      <c r="BI341" s="453"/>
      <c r="BJ341" s="453"/>
      <c r="BK341" s="453"/>
      <c r="BL341" s="453"/>
      <c r="BM341" s="502"/>
      <c r="BN341" s="490"/>
      <c r="BO341" s="470"/>
      <c r="BP341" s="490"/>
      <c r="BQ341" s="453"/>
      <c r="BR341" s="502"/>
      <c r="BS341" s="524"/>
      <c r="BT341" s="530"/>
    </row>
    <row r="342" s="435" customFormat="1" ht="18" customHeight="1" spans="1:72">
      <c r="A342" s="451" t="s">
        <v>4038</v>
      </c>
      <c r="B342" s="456">
        <v>44581</v>
      </c>
      <c r="C342" s="526">
        <v>1000009540</v>
      </c>
      <c r="D342" s="451"/>
      <c r="E342" s="457"/>
      <c r="F342" s="453"/>
      <c r="G342" s="453"/>
      <c r="H342" s="453"/>
      <c r="I342" s="453"/>
      <c r="J342" s="453"/>
      <c r="K342" s="453"/>
      <c r="L342" s="453"/>
      <c r="M342" s="453"/>
      <c r="N342" s="453"/>
      <c r="O342" s="453"/>
      <c r="P342" s="453"/>
      <c r="Q342" s="453"/>
      <c r="R342" s="453"/>
      <c r="S342" s="453"/>
      <c r="T342" s="453"/>
      <c r="U342" s="453"/>
      <c r="V342" s="453"/>
      <c r="W342" s="453"/>
      <c r="X342" s="453"/>
      <c r="Y342" s="453"/>
      <c r="Z342" s="489"/>
      <c r="AA342" s="489"/>
      <c r="AB342" s="490"/>
      <c r="AC342" s="453"/>
      <c r="AD342" s="453"/>
      <c r="AE342" s="453"/>
      <c r="AF342" s="453"/>
      <c r="AG342" s="453"/>
      <c r="AH342" s="453"/>
      <c r="AI342" s="453"/>
      <c r="AJ342" s="453"/>
      <c r="AK342" s="453"/>
      <c r="AL342" s="453"/>
      <c r="AM342" s="453"/>
      <c r="AN342" s="453"/>
      <c r="AO342" s="453"/>
      <c r="AP342" s="453"/>
      <c r="AQ342" s="453"/>
      <c r="AR342" s="453"/>
      <c r="AS342" s="453"/>
      <c r="AT342" s="453"/>
      <c r="AU342" s="453"/>
      <c r="AV342" s="453"/>
      <c r="AW342" s="453"/>
      <c r="AX342" s="453"/>
      <c r="AY342" s="453"/>
      <c r="AZ342" s="453"/>
      <c r="BA342" s="532">
        <v>30400</v>
      </c>
      <c r="BB342" s="502"/>
      <c r="BC342" s="503"/>
      <c r="BD342" s="453"/>
      <c r="BE342" s="453"/>
      <c r="BF342" s="470"/>
      <c r="BG342" s="453"/>
      <c r="BH342" s="453"/>
      <c r="BI342" s="453"/>
      <c r="BJ342" s="453"/>
      <c r="BK342" s="453"/>
      <c r="BL342" s="453"/>
      <c r="BM342" s="502"/>
      <c r="BN342" s="490"/>
      <c r="BO342" s="470"/>
      <c r="BP342" s="490"/>
      <c r="BQ342" s="453"/>
      <c r="BR342" s="502"/>
      <c r="BS342" s="524"/>
      <c r="BT342" s="530"/>
    </row>
    <row r="343" s="435" customFormat="1" ht="18" customHeight="1" spans="1:72">
      <c r="A343" s="451" t="s">
        <v>4038</v>
      </c>
      <c r="B343" s="456">
        <v>44581</v>
      </c>
      <c r="C343" s="526">
        <v>1000009541</v>
      </c>
      <c r="D343" s="451"/>
      <c r="E343" s="457"/>
      <c r="F343" s="453"/>
      <c r="G343" s="453"/>
      <c r="H343" s="453"/>
      <c r="I343" s="453"/>
      <c r="J343" s="453"/>
      <c r="K343" s="453"/>
      <c r="L343" s="453"/>
      <c r="M343" s="453"/>
      <c r="N343" s="453"/>
      <c r="O343" s="453"/>
      <c r="P343" s="453"/>
      <c r="Q343" s="453"/>
      <c r="R343" s="453"/>
      <c r="S343" s="453"/>
      <c r="T343" s="453"/>
      <c r="U343" s="453"/>
      <c r="V343" s="453"/>
      <c r="W343" s="453"/>
      <c r="X343" s="453"/>
      <c r="Y343" s="453"/>
      <c r="Z343" s="489"/>
      <c r="AA343" s="489"/>
      <c r="AB343" s="490"/>
      <c r="AC343" s="453"/>
      <c r="AD343" s="453"/>
      <c r="AE343" s="453"/>
      <c r="AF343" s="453"/>
      <c r="AG343" s="453"/>
      <c r="AH343" s="453"/>
      <c r="AI343" s="453"/>
      <c r="AJ343" s="453"/>
      <c r="AK343" s="453"/>
      <c r="AL343" s="453"/>
      <c r="AM343" s="453"/>
      <c r="AN343" s="453"/>
      <c r="AO343" s="453"/>
      <c r="AP343" s="453"/>
      <c r="AQ343" s="453"/>
      <c r="AR343" s="453"/>
      <c r="AS343" s="453"/>
      <c r="AT343" s="453"/>
      <c r="AU343" s="453"/>
      <c r="AV343" s="453"/>
      <c r="AW343" s="453"/>
      <c r="AX343" s="453"/>
      <c r="AY343" s="453"/>
      <c r="AZ343" s="453"/>
      <c r="BA343" s="532"/>
      <c r="BB343" s="502">
        <v>24320</v>
      </c>
      <c r="BC343" s="503"/>
      <c r="BD343" s="453"/>
      <c r="BE343" s="453"/>
      <c r="BF343" s="470"/>
      <c r="BG343" s="453"/>
      <c r="BH343" s="453"/>
      <c r="BI343" s="453"/>
      <c r="BJ343" s="453"/>
      <c r="BK343" s="453"/>
      <c r="BL343" s="453"/>
      <c r="BM343" s="502"/>
      <c r="BN343" s="490"/>
      <c r="BO343" s="470"/>
      <c r="BP343" s="490"/>
      <c r="BQ343" s="453"/>
      <c r="BR343" s="502"/>
      <c r="BS343" s="524"/>
      <c r="BT343" s="530"/>
    </row>
    <row r="344" s="435" customFormat="1" ht="18" customHeight="1" spans="1:72">
      <c r="A344" s="451" t="s">
        <v>4038</v>
      </c>
      <c r="B344" s="456">
        <v>44586</v>
      </c>
      <c r="C344" s="526">
        <v>1000009590</v>
      </c>
      <c r="D344" s="451"/>
      <c r="E344" s="457"/>
      <c r="F344" s="453"/>
      <c r="G344" s="453"/>
      <c r="H344" s="453"/>
      <c r="I344" s="453"/>
      <c r="J344" s="453"/>
      <c r="K344" s="453"/>
      <c r="L344" s="453"/>
      <c r="M344" s="453"/>
      <c r="N344" s="453"/>
      <c r="O344" s="453"/>
      <c r="P344" s="453"/>
      <c r="Q344" s="453"/>
      <c r="R344" s="453"/>
      <c r="S344" s="453"/>
      <c r="T344" s="453"/>
      <c r="U344" s="453"/>
      <c r="V344" s="453"/>
      <c r="W344" s="453"/>
      <c r="X344" s="453"/>
      <c r="Y344" s="453"/>
      <c r="Z344" s="489"/>
      <c r="AA344" s="489"/>
      <c r="AB344" s="490"/>
      <c r="AC344" s="453"/>
      <c r="AD344" s="453"/>
      <c r="AE344" s="453"/>
      <c r="AF344" s="453"/>
      <c r="AG344" s="453"/>
      <c r="AH344" s="453"/>
      <c r="AI344" s="453"/>
      <c r="AJ344" s="453"/>
      <c r="AK344" s="453"/>
      <c r="AL344" s="453"/>
      <c r="AM344" s="453"/>
      <c r="AN344" s="453"/>
      <c r="AO344" s="453"/>
      <c r="AP344" s="453"/>
      <c r="AQ344" s="453"/>
      <c r="AR344" s="453"/>
      <c r="AS344" s="453"/>
      <c r="AT344" s="453"/>
      <c r="AU344" s="453"/>
      <c r="AV344" s="453"/>
      <c r="AW344" s="453"/>
      <c r="AX344" s="453"/>
      <c r="AY344" s="453"/>
      <c r="AZ344" s="453"/>
      <c r="BA344" s="532"/>
      <c r="BB344" s="502"/>
      <c r="BC344" s="503"/>
      <c r="BD344" s="453"/>
      <c r="BE344" s="453"/>
      <c r="BF344" s="470"/>
      <c r="BG344" s="453"/>
      <c r="BH344" s="453"/>
      <c r="BI344" s="453"/>
      <c r="BJ344" s="453"/>
      <c r="BK344" s="453"/>
      <c r="BL344" s="453"/>
      <c r="BM344" s="502"/>
      <c r="BN344" s="490"/>
      <c r="BO344" s="470"/>
      <c r="BP344" s="490"/>
      <c r="BQ344" s="453"/>
      <c r="BR344" s="502"/>
      <c r="BS344" s="524"/>
      <c r="BT344" s="530"/>
    </row>
    <row r="345" s="435" customFormat="1" ht="18" customHeight="1" spans="1:72">
      <c r="A345" s="451" t="s">
        <v>4038</v>
      </c>
      <c r="B345" s="456">
        <v>44586</v>
      </c>
      <c r="C345" s="526">
        <v>1000009591</v>
      </c>
      <c r="D345" s="451"/>
      <c r="E345" s="457"/>
      <c r="F345" s="453"/>
      <c r="G345" s="453"/>
      <c r="H345" s="453"/>
      <c r="I345" s="453"/>
      <c r="J345" s="453"/>
      <c r="K345" s="453"/>
      <c r="L345" s="453"/>
      <c r="M345" s="453"/>
      <c r="N345" s="453"/>
      <c r="O345" s="453"/>
      <c r="P345" s="453"/>
      <c r="Q345" s="453"/>
      <c r="R345" s="453"/>
      <c r="S345" s="453"/>
      <c r="T345" s="453"/>
      <c r="U345" s="453"/>
      <c r="V345" s="453"/>
      <c r="W345" s="453"/>
      <c r="X345" s="453"/>
      <c r="Y345" s="453"/>
      <c r="Z345" s="489"/>
      <c r="AA345" s="489"/>
      <c r="AB345" s="490"/>
      <c r="AC345" s="453"/>
      <c r="AD345" s="453"/>
      <c r="AE345" s="453"/>
      <c r="AF345" s="453"/>
      <c r="AG345" s="453"/>
      <c r="AH345" s="453"/>
      <c r="AI345" s="453"/>
      <c r="AJ345" s="453"/>
      <c r="AK345" s="453"/>
      <c r="AL345" s="453"/>
      <c r="AM345" s="453"/>
      <c r="AN345" s="453"/>
      <c r="AO345" s="453"/>
      <c r="AP345" s="453"/>
      <c r="AQ345" s="453"/>
      <c r="AR345" s="453"/>
      <c r="AS345" s="453"/>
      <c r="AT345" s="453"/>
      <c r="AU345" s="453"/>
      <c r="AV345" s="453"/>
      <c r="AW345" s="453"/>
      <c r="AX345" s="453"/>
      <c r="AY345" s="453"/>
      <c r="AZ345" s="453"/>
      <c r="BA345" s="532"/>
      <c r="BB345" s="502"/>
      <c r="BC345" s="503"/>
      <c r="BD345" s="453"/>
      <c r="BE345" s="453"/>
      <c r="BF345" s="470"/>
      <c r="BG345" s="453"/>
      <c r="BH345" s="453"/>
      <c r="BI345" s="453"/>
      <c r="BJ345" s="453"/>
      <c r="BK345" s="453"/>
      <c r="BL345" s="453"/>
      <c r="BM345" s="502"/>
      <c r="BN345" s="490"/>
      <c r="BO345" s="470"/>
      <c r="BP345" s="490"/>
      <c r="BQ345" s="453"/>
      <c r="BR345" s="502"/>
      <c r="BS345" s="524"/>
      <c r="BT345" s="530"/>
    </row>
    <row r="346" s="435" customFormat="1" ht="18" customHeight="1" spans="1:72">
      <c r="A346" s="451" t="s">
        <v>4038</v>
      </c>
      <c r="B346" s="456">
        <v>44586</v>
      </c>
      <c r="C346" s="526">
        <v>1000009592</v>
      </c>
      <c r="D346" s="451"/>
      <c r="E346" s="457"/>
      <c r="F346" s="453"/>
      <c r="G346" s="453"/>
      <c r="H346" s="453"/>
      <c r="I346" s="453"/>
      <c r="J346" s="453"/>
      <c r="K346" s="453"/>
      <c r="L346" s="453"/>
      <c r="M346" s="453"/>
      <c r="N346" s="453"/>
      <c r="O346" s="453"/>
      <c r="P346" s="453"/>
      <c r="Q346" s="453"/>
      <c r="R346" s="453"/>
      <c r="S346" s="453"/>
      <c r="T346" s="453"/>
      <c r="U346" s="453"/>
      <c r="V346" s="453"/>
      <c r="W346" s="453"/>
      <c r="X346" s="453"/>
      <c r="Y346" s="453"/>
      <c r="Z346" s="489"/>
      <c r="AA346" s="489"/>
      <c r="AB346" s="490"/>
      <c r="AC346" s="453"/>
      <c r="AD346" s="453"/>
      <c r="AE346" s="453"/>
      <c r="AF346" s="453"/>
      <c r="AG346" s="453"/>
      <c r="AH346" s="453"/>
      <c r="AI346" s="453"/>
      <c r="AJ346" s="453"/>
      <c r="AK346" s="453"/>
      <c r="AL346" s="453"/>
      <c r="AM346" s="453"/>
      <c r="AN346" s="453"/>
      <c r="AO346" s="453"/>
      <c r="AP346" s="453"/>
      <c r="AQ346" s="453"/>
      <c r="AR346" s="453"/>
      <c r="AS346" s="453"/>
      <c r="AT346" s="453"/>
      <c r="AU346" s="453"/>
      <c r="AV346" s="453"/>
      <c r="AW346" s="453"/>
      <c r="AX346" s="453"/>
      <c r="AY346" s="453"/>
      <c r="AZ346" s="453"/>
      <c r="BA346" s="532"/>
      <c r="BB346" s="502"/>
      <c r="BC346" s="503"/>
      <c r="BD346" s="453"/>
      <c r="BE346" s="453"/>
      <c r="BF346" s="470"/>
      <c r="BG346" s="453"/>
      <c r="BH346" s="453"/>
      <c r="BI346" s="453"/>
      <c r="BJ346" s="453"/>
      <c r="BK346" s="453"/>
      <c r="BL346" s="453"/>
      <c r="BM346" s="502"/>
      <c r="BN346" s="490"/>
      <c r="BO346" s="470"/>
      <c r="BP346" s="490"/>
      <c r="BQ346" s="453"/>
      <c r="BR346" s="502"/>
      <c r="BS346" s="524"/>
      <c r="BT346" s="530"/>
    </row>
    <row r="347" s="435" customFormat="1" ht="18" customHeight="1" spans="1:72">
      <c r="A347" s="451" t="s">
        <v>4038</v>
      </c>
      <c r="B347" s="456">
        <v>44609</v>
      </c>
      <c r="C347" s="526">
        <v>1000009760</v>
      </c>
      <c r="D347" s="451"/>
      <c r="E347" s="457"/>
      <c r="F347" s="453"/>
      <c r="G347" s="453"/>
      <c r="H347" s="453"/>
      <c r="I347" s="453"/>
      <c r="J347" s="453"/>
      <c r="K347" s="453"/>
      <c r="L347" s="453"/>
      <c r="M347" s="453"/>
      <c r="N347" s="453"/>
      <c r="O347" s="453"/>
      <c r="P347" s="453"/>
      <c r="Q347" s="453"/>
      <c r="R347" s="453"/>
      <c r="S347" s="453"/>
      <c r="T347" s="453"/>
      <c r="U347" s="453"/>
      <c r="V347" s="453"/>
      <c r="W347" s="453"/>
      <c r="X347" s="453"/>
      <c r="Y347" s="453"/>
      <c r="Z347" s="489"/>
      <c r="AA347" s="489"/>
      <c r="AB347" s="490"/>
      <c r="AC347" s="453"/>
      <c r="AD347" s="453"/>
      <c r="AE347" s="453"/>
      <c r="AF347" s="453"/>
      <c r="AG347" s="453"/>
      <c r="AH347" s="453"/>
      <c r="AI347" s="453"/>
      <c r="AJ347" s="453"/>
      <c r="AK347" s="453"/>
      <c r="AL347" s="453"/>
      <c r="AM347" s="453"/>
      <c r="AN347" s="453"/>
      <c r="AO347" s="453"/>
      <c r="AP347" s="453"/>
      <c r="AQ347" s="453"/>
      <c r="AR347" s="453"/>
      <c r="AS347" s="453"/>
      <c r="AT347" s="453"/>
      <c r="AU347" s="453"/>
      <c r="AV347" s="453"/>
      <c r="AW347" s="453"/>
      <c r="AX347" s="453"/>
      <c r="AY347" s="453"/>
      <c r="AZ347" s="453"/>
      <c r="BA347" s="532"/>
      <c r="BB347" s="502"/>
      <c r="BC347" s="503"/>
      <c r="BD347" s="453"/>
      <c r="BE347" s="453"/>
      <c r="BF347" s="470"/>
      <c r="BG347" s="453"/>
      <c r="BH347" s="453"/>
      <c r="BI347" s="453"/>
      <c r="BJ347" s="453"/>
      <c r="BK347" s="453"/>
      <c r="BL347" s="453"/>
      <c r="BM347" s="502"/>
      <c r="BN347" s="490"/>
      <c r="BO347" s="470"/>
      <c r="BP347" s="490"/>
      <c r="BQ347" s="453"/>
      <c r="BR347" s="502"/>
      <c r="BS347" s="524"/>
      <c r="BT347" s="530"/>
    </row>
    <row r="348" s="435" customFormat="1" ht="18" customHeight="1" spans="1:72">
      <c r="A348" s="451" t="s">
        <v>4038</v>
      </c>
      <c r="B348" s="456">
        <v>44609</v>
      </c>
      <c r="C348" s="526">
        <v>1000010193</v>
      </c>
      <c r="D348" s="451"/>
      <c r="E348" s="457"/>
      <c r="F348" s="453"/>
      <c r="G348" s="453"/>
      <c r="H348" s="453"/>
      <c r="I348" s="453"/>
      <c r="J348" s="453"/>
      <c r="K348" s="453"/>
      <c r="L348" s="453"/>
      <c r="M348" s="453"/>
      <c r="N348" s="453"/>
      <c r="O348" s="453"/>
      <c r="P348" s="453"/>
      <c r="Q348" s="453"/>
      <c r="R348" s="453"/>
      <c r="S348" s="453"/>
      <c r="T348" s="453"/>
      <c r="U348" s="453"/>
      <c r="V348" s="453"/>
      <c r="W348" s="453"/>
      <c r="X348" s="453"/>
      <c r="Y348" s="453"/>
      <c r="Z348" s="489"/>
      <c r="AA348" s="489"/>
      <c r="AB348" s="490"/>
      <c r="AC348" s="453"/>
      <c r="AD348" s="453"/>
      <c r="AE348" s="453"/>
      <c r="AF348" s="453"/>
      <c r="AG348" s="453"/>
      <c r="AH348" s="453"/>
      <c r="AI348" s="453"/>
      <c r="AJ348" s="453"/>
      <c r="AK348" s="453"/>
      <c r="AL348" s="453"/>
      <c r="AM348" s="453"/>
      <c r="AN348" s="453"/>
      <c r="AO348" s="453"/>
      <c r="AP348" s="453"/>
      <c r="AQ348" s="453"/>
      <c r="AR348" s="453"/>
      <c r="AS348" s="453"/>
      <c r="AT348" s="453"/>
      <c r="AU348" s="453"/>
      <c r="AV348" s="453"/>
      <c r="AW348" s="453"/>
      <c r="AX348" s="453"/>
      <c r="AY348" s="453"/>
      <c r="AZ348" s="453"/>
      <c r="BA348" s="532"/>
      <c r="BB348" s="502"/>
      <c r="BC348" s="503"/>
      <c r="BD348" s="453"/>
      <c r="BE348" s="453"/>
      <c r="BF348" s="470"/>
      <c r="BG348" s="453"/>
      <c r="BH348" s="453"/>
      <c r="BI348" s="453"/>
      <c r="BJ348" s="453"/>
      <c r="BK348" s="453"/>
      <c r="BL348" s="453"/>
      <c r="BM348" s="502"/>
      <c r="BN348" s="490"/>
      <c r="BO348" s="470"/>
      <c r="BP348" s="490"/>
      <c r="BQ348" s="453"/>
      <c r="BR348" s="502"/>
      <c r="BS348" s="524"/>
      <c r="BT348" s="530"/>
    </row>
    <row r="349" s="435" customFormat="1" ht="18" customHeight="1" spans="1:72">
      <c r="A349" s="451" t="s">
        <v>4038</v>
      </c>
      <c r="B349" s="456">
        <v>44609</v>
      </c>
      <c r="C349" s="526">
        <v>1000009761</v>
      </c>
      <c r="D349" s="451"/>
      <c r="E349" s="457"/>
      <c r="F349" s="453"/>
      <c r="G349" s="453"/>
      <c r="H349" s="453"/>
      <c r="I349" s="453"/>
      <c r="J349" s="453"/>
      <c r="K349" s="453"/>
      <c r="L349" s="453"/>
      <c r="M349" s="453"/>
      <c r="N349" s="453"/>
      <c r="O349" s="453"/>
      <c r="P349" s="453"/>
      <c r="Q349" s="453"/>
      <c r="R349" s="453"/>
      <c r="S349" s="453"/>
      <c r="T349" s="453"/>
      <c r="U349" s="453"/>
      <c r="V349" s="453"/>
      <c r="W349" s="453"/>
      <c r="X349" s="453"/>
      <c r="Y349" s="453"/>
      <c r="Z349" s="489"/>
      <c r="AA349" s="489"/>
      <c r="AB349" s="490"/>
      <c r="AC349" s="453"/>
      <c r="AD349" s="453"/>
      <c r="AE349" s="453"/>
      <c r="AF349" s="453"/>
      <c r="AG349" s="453"/>
      <c r="AH349" s="453"/>
      <c r="AI349" s="453"/>
      <c r="AJ349" s="453"/>
      <c r="AK349" s="453"/>
      <c r="AL349" s="453"/>
      <c r="AM349" s="453"/>
      <c r="AN349" s="453"/>
      <c r="AO349" s="453"/>
      <c r="AP349" s="453"/>
      <c r="AQ349" s="453"/>
      <c r="AR349" s="453"/>
      <c r="AS349" s="453"/>
      <c r="AT349" s="453"/>
      <c r="AU349" s="453"/>
      <c r="AV349" s="453"/>
      <c r="AW349" s="453"/>
      <c r="AX349" s="453"/>
      <c r="AY349" s="453"/>
      <c r="AZ349" s="453"/>
      <c r="BA349" s="532"/>
      <c r="BB349" s="502"/>
      <c r="BC349" s="503"/>
      <c r="BD349" s="453"/>
      <c r="BE349" s="453"/>
      <c r="BF349" s="470"/>
      <c r="BG349" s="453"/>
      <c r="BH349" s="453"/>
      <c r="BI349" s="453"/>
      <c r="BJ349" s="453"/>
      <c r="BK349" s="453"/>
      <c r="BL349" s="453"/>
      <c r="BM349" s="502"/>
      <c r="BN349" s="490"/>
      <c r="BO349" s="470"/>
      <c r="BP349" s="490"/>
      <c r="BQ349" s="453"/>
      <c r="BR349" s="502"/>
      <c r="BS349" s="524"/>
      <c r="BT349" s="530"/>
    </row>
    <row r="350" s="435" customFormat="1" ht="18" customHeight="1" spans="1:72">
      <c r="A350" s="451" t="s">
        <v>4038</v>
      </c>
      <c r="B350" s="456">
        <v>44609</v>
      </c>
      <c r="C350" s="526">
        <v>1000010196</v>
      </c>
      <c r="D350" s="451"/>
      <c r="E350" s="457"/>
      <c r="F350" s="453"/>
      <c r="G350" s="453"/>
      <c r="H350" s="453"/>
      <c r="I350" s="453"/>
      <c r="J350" s="453"/>
      <c r="K350" s="453"/>
      <c r="L350" s="453"/>
      <c r="M350" s="453"/>
      <c r="N350" s="453"/>
      <c r="O350" s="453"/>
      <c r="P350" s="453"/>
      <c r="Q350" s="453"/>
      <c r="R350" s="453"/>
      <c r="S350" s="453"/>
      <c r="T350" s="453"/>
      <c r="U350" s="453"/>
      <c r="V350" s="453"/>
      <c r="W350" s="453"/>
      <c r="X350" s="453"/>
      <c r="Y350" s="453"/>
      <c r="Z350" s="489"/>
      <c r="AA350" s="489"/>
      <c r="AB350" s="490"/>
      <c r="AC350" s="453"/>
      <c r="AD350" s="453"/>
      <c r="AE350" s="453"/>
      <c r="AF350" s="453"/>
      <c r="AG350" s="453"/>
      <c r="AH350" s="453"/>
      <c r="AI350" s="453"/>
      <c r="AJ350" s="453"/>
      <c r="AK350" s="453"/>
      <c r="AL350" s="453"/>
      <c r="AM350" s="453"/>
      <c r="AN350" s="453"/>
      <c r="AO350" s="453"/>
      <c r="AP350" s="453"/>
      <c r="AQ350" s="453"/>
      <c r="AR350" s="453"/>
      <c r="AS350" s="453"/>
      <c r="AT350" s="453"/>
      <c r="AU350" s="453"/>
      <c r="AV350" s="453"/>
      <c r="AW350" s="453"/>
      <c r="AX350" s="453"/>
      <c r="AY350" s="453"/>
      <c r="AZ350" s="453"/>
      <c r="BA350" s="532"/>
      <c r="BB350" s="502"/>
      <c r="BC350" s="503"/>
      <c r="BD350" s="453"/>
      <c r="BE350" s="453"/>
      <c r="BF350" s="470"/>
      <c r="BG350" s="453"/>
      <c r="BH350" s="453"/>
      <c r="BI350" s="453"/>
      <c r="BJ350" s="453"/>
      <c r="BK350" s="453"/>
      <c r="BL350" s="453"/>
      <c r="BM350" s="502"/>
      <c r="BN350" s="490"/>
      <c r="BO350" s="470"/>
      <c r="BP350" s="490"/>
      <c r="BQ350" s="453"/>
      <c r="BR350" s="502"/>
      <c r="BS350" s="524"/>
      <c r="BT350" s="530"/>
    </row>
    <row r="351" s="435" customFormat="1" ht="18" customHeight="1" spans="1:72">
      <c r="A351" s="451" t="s">
        <v>4038</v>
      </c>
      <c r="B351" s="456">
        <v>44644</v>
      </c>
      <c r="C351" s="526">
        <v>1000010189</v>
      </c>
      <c r="D351" s="451"/>
      <c r="E351" s="457"/>
      <c r="F351" s="453"/>
      <c r="G351" s="453"/>
      <c r="H351" s="453"/>
      <c r="I351" s="453"/>
      <c r="J351" s="453"/>
      <c r="K351" s="453"/>
      <c r="L351" s="453"/>
      <c r="M351" s="453"/>
      <c r="N351" s="453"/>
      <c r="O351" s="453"/>
      <c r="P351" s="453"/>
      <c r="Q351" s="453"/>
      <c r="R351" s="453"/>
      <c r="S351" s="453"/>
      <c r="T351" s="453"/>
      <c r="U351" s="453"/>
      <c r="V351" s="453"/>
      <c r="W351" s="453"/>
      <c r="X351" s="453"/>
      <c r="Y351" s="453"/>
      <c r="Z351" s="489"/>
      <c r="AA351" s="489"/>
      <c r="AB351" s="490"/>
      <c r="AC351" s="453"/>
      <c r="AD351" s="453"/>
      <c r="AE351" s="453"/>
      <c r="AF351" s="453"/>
      <c r="AG351" s="453"/>
      <c r="AH351" s="453"/>
      <c r="AI351" s="453"/>
      <c r="AJ351" s="453"/>
      <c r="AK351" s="453"/>
      <c r="AL351" s="453"/>
      <c r="AM351" s="453"/>
      <c r="AN351" s="453"/>
      <c r="AO351" s="453"/>
      <c r="AP351" s="453"/>
      <c r="AQ351" s="453"/>
      <c r="AR351" s="453"/>
      <c r="AS351" s="453"/>
      <c r="AT351" s="453"/>
      <c r="AU351" s="453"/>
      <c r="AV351" s="453"/>
      <c r="AW351" s="453"/>
      <c r="AX351" s="453"/>
      <c r="AY351" s="453"/>
      <c r="AZ351" s="453"/>
      <c r="BA351" s="532"/>
      <c r="BB351" s="502"/>
      <c r="BC351" s="503"/>
      <c r="BD351" s="453"/>
      <c r="BE351" s="453"/>
      <c r="BF351" s="470"/>
      <c r="BG351" s="453"/>
      <c r="BH351" s="453"/>
      <c r="BI351" s="453"/>
      <c r="BJ351" s="453"/>
      <c r="BK351" s="453"/>
      <c r="BL351" s="453"/>
      <c r="BM351" s="502"/>
      <c r="BN351" s="490"/>
      <c r="BO351" s="470"/>
      <c r="BP351" s="490"/>
      <c r="BQ351" s="453"/>
      <c r="BR351" s="502"/>
      <c r="BS351" s="524"/>
      <c r="BT351" s="530"/>
    </row>
    <row r="352" s="435" customFormat="1" ht="18" customHeight="1" spans="1:72">
      <c r="A352" s="451" t="s">
        <v>4038</v>
      </c>
      <c r="B352" s="456">
        <v>44644</v>
      </c>
      <c r="C352" s="526">
        <v>1000010194</v>
      </c>
      <c r="D352" s="451"/>
      <c r="E352" s="457"/>
      <c r="F352" s="453"/>
      <c r="G352" s="453"/>
      <c r="H352" s="453"/>
      <c r="I352" s="453"/>
      <c r="J352" s="453"/>
      <c r="K352" s="453"/>
      <c r="L352" s="453"/>
      <c r="M352" s="453"/>
      <c r="N352" s="453"/>
      <c r="O352" s="453"/>
      <c r="P352" s="453"/>
      <c r="Q352" s="453"/>
      <c r="R352" s="453"/>
      <c r="S352" s="453"/>
      <c r="T352" s="453"/>
      <c r="U352" s="453"/>
      <c r="V352" s="453"/>
      <c r="W352" s="453"/>
      <c r="X352" s="453"/>
      <c r="Y352" s="453"/>
      <c r="Z352" s="489"/>
      <c r="AA352" s="489"/>
      <c r="AB352" s="490"/>
      <c r="AC352" s="453"/>
      <c r="AD352" s="453"/>
      <c r="AE352" s="453"/>
      <c r="AF352" s="453"/>
      <c r="AG352" s="453"/>
      <c r="AH352" s="453"/>
      <c r="AI352" s="453"/>
      <c r="AJ352" s="453"/>
      <c r="AK352" s="453"/>
      <c r="AL352" s="453"/>
      <c r="AM352" s="453"/>
      <c r="AN352" s="453"/>
      <c r="AO352" s="453"/>
      <c r="AP352" s="453"/>
      <c r="AQ352" s="453"/>
      <c r="AR352" s="453"/>
      <c r="AS352" s="453"/>
      <c r="AT352" s="453"/>
      <c r="AU352" s="453"/>
      <c r="AV352" s="453"/>
      <c r="AW352" s="453"/>
      <c r="AX352" s="453"/>
      <c r="AY352" s="453"/>
      <c r="AZ352" s="453"/>
      <c r="BA352" s="532"/>
      <c r="BB352" s="502"/>
      <c r="BC352" s="503"/>
      <c r="BD352" s="453"/>
      <c r="BE352" s="453"/>
      <c r="BF352" s="470"/>
      <c r="BG352" s="453"/>
      <c r="BH352" s="453"/>
      <c r="BI352" s="453"/>
      <c r="BJ352" s="453"/>
      <c r="BK352" s="453"/>
      <c r="BL352" s="453"/>
      <c r="BM352" s="502"/>
      <c r="BN352" s="490"/>
      <c r="BO352" s="470"/>
      <c r="BP352" s="490"/>
      <c r="BQ352" s="453"/>
      <c r="BR352" s="502"/>
      <c r="BS352" s="524"/>
      <c r="BT352" s="530"/>
    </row>
    <row r="353" s="435" customFormat="1" ht="18" customHeight="1" spans="1:72">
      <c r="A353" s="451" t="s">
        <v>4038</v>
      </c>
      <c r="B353" s="456">
        <v>44644</v>
      </c>
      <c r="C353" s="526">
        <v>1000010190</v>
      </c>
      <c r="D353" s="451"/>
      <c r="E353" s="457"/>
      <c r="F353" s="453"/>
      <c r="G353" s="453"/>
      <c r="H353" s="453"/>
      <c r="I353" s="453"/>
      <c r="J353" s="453"/>
      <c r="K353" s="453"/>
      <c r="L353" s="453"/>
      <c r="M353" s="453"/>
      <c r="N353" s="453"/>
      <c r="O353" s="453"/>
      <c r="P353" s="453"/>
      <c r="Q353" s="453"/>
      <c r="R353" s="453"/>
      <c r="S353" s="453"/>
      <c r="T353" s="453"/>
      <c r="U353" s="453"/>
      <c r="V353" s="453"/>
      <c r="W353" s="453"/>
      <c r="X353" s="453"/>
      <c r="Y353" s="453"/>
      <c r="Z353" s="489"/>
      <c r="AA353" s="489"/>
      <c r="AB353" s="490"/>
      <c r="AC353" s="453"/>
      <c r="AD353" s="453"/>
      <c r="AE353" s="453"/>
      <c r="AF353" s="453"/>
      <c r="AG353" s="453"/>
      <c r="AH353" s="453"/>
      <c r="AI353" s="453"/>
      <c r="AJ353" s="453"/>
      <c r="AK353" s="453"/>
      <c r="AL353" s="453"/>
      <c r="AM353" s="453"/>
      <c r="AN353" s="453"/>
      <c r="AO353" s="453"/>
      <c r="AP353" s="453"/>
      <c r="AQ353" s="453"/>
      <c r="AR353" s="453"/>
      <c r="AS353" s="453"/>
      <c r="AT353" s="453"/>
      <c r="AU353" s="453"/>
      <c r="AV353" s="453"/>
      <c r="AW353" s="453"/>
      <c r="AX353" s="453"/>
      <c r="AY353" s="453"/>
      <c r="AZ353" s="453"/>
      <c r="BA353" s="532"/>
      <c r="BB353" s="502"/>
      <c r="BC353" s="503"/>
      <c r="BD353" s="453"/>
      <c r="BE353" s="453"/>
      <c r="BF353" s="470"/>
      <c r="BG353" s="453"/>
      <c r="BH353" s="453"/>
      <c r="BI353" s="453"/>
      <c r="BJ353" s="453"/>
      <c r="BK353" s="453"/>
      <c r="BL353" s="453"/>
      <c r="BM353" s="502"/>
      <c r="BN353" s="490"/>
      <c r="BO353" s="470"/>
      <c r="BP353" s="490"/>
      <c r="BQ353" s="453"/>
      <c r="BR353" s="502"/>
      <c r="BS353" s="524"/>
      <c r="BT353" s="530"/>
    </row>
    <row r="354" s="435" customFormat="1" ht="18" customHeight="1" spans="1:72">
      <c r="A354" s="451" t="s">
        <v>4038</v>
      </c>
      <c r="B354" s="456">
        <v>44644</v>
      </c>
      <c r="C354" s="526">
        <v>1000010197</v>
      </c>
      <c r="D354" s="451"/>
      <c r="E354" s="457"/>
      <c r="F354" s="453"/>
      <c r="G354" s="453"/>
      <c r="H354" s="453"/>
      <c r="I354" s="453"/>
      <c r="J354" s="453"/>
      <c r="K354" s="453"/>
      <c r="L354" s="453"/>
      <c r="M354" s="453"/>
      <c r="N354" s="453"/>
      <c r="O354" s="453"/>
      <c r="P354" s="453"/>
      <c r="Q354" s="453"/>
      <c r="R354" s="453"/>
      <c r="S354" s="453"/>
      <c r="T354" s="453"/>
      <c r="U354" s="453"/>
      <c r="V354" s="453"/>
      <c r="W354" s="453"/>
      <c r="X354" s="453"/>
      <c r="Y354" s="453"/>
      <c r="Z354" s="489"/>
      <c r="AA354" s="489"/>
      <c r="AB354" s="490"/>
      <c r="AC354" s="453"/>
      <c r="AD354" s="453"/>
      <c r="AE354" s="453"/>
      <c r="AF354" s="453"/>
      <c r="AG354" s="453"/>
      <c r="AH354" s="453"/>
      <c r="AI354" s="453"/>
      <c r="AJ354" s="453"/>
      <c r="AK354" s="453"/>
      <c r="AL354" s="453"/>
      <c r="AM354" s="453"/>
      <c r="AN354" s="453"/>
      <c r="AO354" s="453"/>
      <c r="AP354" s="453"/>
      <c r="AQ354" s="453"/>
      <c r="AR354" s="453"/>
      <c r="AS354" s="453"/>
      <c r="AT354" s="453"/>
      <c r="AU354" s="453"/>
      <c r="AV354" s="453"/>
      <c r="AW354" s="453"/>
      <c r="AX354" s="453"/>
      <c r="AY354" s="453"/>
      <c r="AZ354" s="453"/>
      <c r="BA354" s="532"/>
      <c r="BB354" s="502"/>
      <c r="BC354" s="503"/>
      <c r="BD354" s="453"/>
      <c r="BE354" s="453"/>
      <c r="BF354" s="470"/>
      <c r="BG354" s="453"/>
      <c r="BH354" s="453"/>
      <c r="BI354" s="453"/>
      <c r="BJ354" s="453"/>
      <c r="BK354" s="453"/>
      <c r="BL354" s="453"/>
      <c r="BM354" s="502"/>
      <c r="BN354" s="490"/>
      <c r="BO354" s="470"/>
      <c r="BP354" s="490"/>
      <c r="BQ354" s="453"/>
      <c r="BR354" s="502"/>
      <c r="BS354" s="524"/>
      <c r="BT354" s="530"/>
    </row>
    <row r="355" s="435" customFormat="1" ht="18" customHeight="1" spans="1:72">
      <c r="A355" s="451" t="s">
        <v>4038</v>
      </c>
      <c r="B355" s="456">
        <v>44644</v>
      </c>
      <c r="C355" s="526">
        <v>1000010191</v>
      </c>
      <c r="D355" s="451"/>
      <c r="E355" s="457"/>
      <c r="F355" s="453"/>
      <c r="G355" s="453"/>
      <c r="H355" s="453"/>
      <c r="I355" s="453"/>
      <c r="J355" s="453"/>
      <c r="K355" s="453"/>
      <c r="L355" s="453"/>
      <c r="M355" s="453"/>
      <c r="N355" s="453"/>
      <c r="O355" s="453"/>
      <c r="P355" s="453"/>
      <c r="Q355" s="453"/>
      <c r="R355" s="453"/>
      <c r="S355" s="453"/>
      <c r="T355" s="453"/>
      <c r="U355" s="453"/>
      <c r="V355" s="453"/>
      <c r="W355" s="453"/>
      <c r="X355" s="453"/>
      <c r="Y355" s="453"/>
      <c r="Z355" s="489"/>
      <c r="AA355" s="489"/>
      <c r="AB355" s="490"/>
      <c r="AC355" s="453"/>
      <c r="AD355" s="453"/>
      <c r="AE355" s="453"/>
      <c r="AF355" s="453"/>
      <c r="AG355" s="453"/>
      <c r="AH355" s="453"/>
      <c r="AI355" s="453"/>
      <c r="AJ355" s="453"/>
      <c r="AK355" s="453"/>
      <c r="AL355" s="453"/>
      <c r="AM355" s="453"/>
      <c r="AN355" s="453"/>
      <c r="AO355" s="453"/>
      <c r="AP355" s="453"/>
      <c r="AQ355" s="453"/>
      <c r="AR355" s="453"/>
      <c r="AS355" s="453"/>
      <c r="AT355" s="453"/>
      <c r="AU355" s="453"/>
      <c r="AV355" s="453"/>
      <c r="AW355" s="453"/>
      <c r="AX355" s="453"/>
      <c r="AY355" s="453"/>
      <c r="AZ355" s="453"/>
      <c r="BA355" s="532"/>
      <c r="BB355" s="502"/>
      <c r="BC355" s="503"/>
      <c r="BD355" s="453"/>
      <c r="BE355" s="453"/>
      <c r="BF355" s="470"/>
      <c r="BG355" s="453"/>
      <c r="BH355" s="453"/>
      <c r="BI355" s="453"/>
      <c r="BJ355" s="453"/>
      <c r="BK355" s="453"/>
      <c r="BL355" s="453"/>
      <c r="BM355" s="502"/>
      <c r="BN355" s="490"/>
      <c r="BO355" s="470"/>
      <c r="BP355" s="490"/>
      <c r="BQ355" s="453"/>
      <c r="BR355" s="502"/>
      <c r="BS355" s="524"/>
      <c r="BT355" s="530"/>
    </row>
    <row r="356" s="435" customFormat="1" ht="18" customHeight="1" spans="1:72">
      <c r="A356" s="451" t="s">
        <v>4038</v>
      </c>
      <c r="B356" s="456">
        <v>44644</v>
      </c>
      <c r="C356" s="526">
        <v>1000010195</v>
      </c>
      <c r="D356" s="451"/>
      <c r="E356" s="457"/>
      <c r="F356" s="453"/>
      <c r="G356" s="453"/>
      <c r="H356" s="453"/>
      <c r="I356" s="453"/>
      <c r="J356" s="453"/>
      <c r="K356" s="453"/>
      <c r="L356" s="453"/>
      <c r="M356" s="453"/>
      <c r="N356" s="453"/>
      <c r="O356" s="453"/>
      <c r="P356" s="453"/>
      <c r="Q356" s="453"/>
      <c r="R356" s="453"/>
      <c r="S356" s="453"/>
      <c r="T356" s="453"/>
      <c r="U356" s="453"/>
      <c r="V356" s="453"/>
      <c r="W356" s="453"/>
      <c r="X356" s="453"/>
      <c r="Y356" s="453"/>
      <c r="Z356" s="489"/>
      <c r="AA356" s="489"/>
      <c r="AB356" s="490"/>
      <c r="AC356" s="453"/>
      <c r="AD356" s="453"/>
      <c r="AE356" s="453"/>
      <c r="AF356" s="453"/>
      <c r="AG356" s="453"/>
      <c r="AH356" s="453"/>
      <c r="AI356" s="453"/>
      <c r="AJ356" s="453"/>
      <c r="AK356" s="453"/>
      <c r="AL356" s="453"/>
      <c r="AM356" s="453"/>
      <c r="AN356" s="453"/>
      <c r="AO356" s="453"/>
      <c r="AP356" s="453"/>
      <c r="AQ356" s="453"/>
      <c r="AR356" s="453"/>
      <c r="AS356" s="453"/>
      <c r="AT356" s="453"/>
      <c r="AU356" s="453"/>
      <c r="AV356" s="453"/>
      <c r="AW356" s="453"/>
      <c r="AX356" s="453"/>
      <c r="AY356" s="453"/>
      <c r="AZ356" s="453"/>
      <c r="BA356" s="532"/>
      <c r="BB356" s="502"/>
      <c r="BC356" s="503"/>
      <c r="BD356" s="453"/>
      <c r="BE356" s="453"/>
      <c r="BF356" s="470"/>
      <c r="BG356" s="453"/>
      <c r="BH356" s="453"/>
      <c r="BI356" s="453"/>
      <c r="BJ356" s="453"/>
      <c r="BK356" s="453"/>
      <c r="BL356" s="453"/>
      <c r="BM356" s="502"/>
      <c r="BN356" s="490"/>
      <c r="BO356" s="470"/>
      <c r="BP356" s="490"/>
      <c r="BQ356" s="453"/>
      <c r="BR356" s="502"/>
      <c r="BS356" s="524"/>
      <c r="BT356" s="530"/>
    </row>
    <row r="357" s="435" customFormat="1" ht="18" customHeight="1" spans="1:72">
      <c r="A357" s="451" t="s">
        <v>4038</v>
      </c>
      <c r="B357" s="456">
        <v>44644</v>
      </c>
      <c r="C357" s="526">
        <v>1000010192</v>
      </c>
      <c r="D357" s="451"/>
      <c r="E357" s="457"/>
      <c r="F357" s="453"/>
      <c r="G357" s="453"/>
      <c r="H357" s="453"/>
      <c r="I357" s="453"/>
      <c r="J357" s="453"/>
      <c r="K357" s="453"/>
      <c r="L357" s="453"/>
      <c r="M357" s="453"/>
      <c r="N357" s="453"/>
      <c r="O357" s="453"/>
      <c r="P357" s="453"/>
      <c r="Q357" s="453"/>
      <c r="R357" s="453"/>
      <c r="S357" s="453"/>
      <c r="T357" s="453"/>
      <c r="U357" s="453"/>
      <c r="V357" s="453"/>
      <c r="W357" s="453"/>
      <c r="X357" s="453"/>
      <c r="Y357" s="453"/>
      <c r="Z357" s="489"/>
      <c r="AA357" s="489"/>
      <c r="AB357" s="490"/>
      <c r="AC357" s="453"/>
      <c r="AD357" s="453"/>
      <c r="AE357" s="453"/>
      <c r="AF357" s="453"/>
      <c r="AG357" s="453"/>
      <c r="AH357" s="453"/>
      <c r="AI357" s="453"/>
      <c r="AJ357" s="453"/>
      <c r="AK357" s="453"/>
      <c r="AL357" s="453"/>
      <c r="AM357" s="453"/>
      <c r="AN357" s="453"/>
      <c r="AO357" s="453"/>
      <c r="AP357" s="453"/>
      <c r="AQ357" s="453"/>
      <c r="AR357" s="453"/>
      <c r="AS357" s="453"/>
      <c r="AT357" s="453"/>
      <c r="AU357" s="453"/>
      <c r="AV357" s="453"/>
      <c r="AW357" s="453"/>
      <c r="AX357" s="453"/>
      <c r="AY357" s="453"/>
      <c r="AZ357" s="453"/>
      <c r="BA357" s="532"/>
      <c r="BB357" s="502"/>
      <c r="BC357" s="503"/>
      <c r="BD357" s="453"/>
      <c r="BE357" s="453"/>
      <c r="BF357" s="470"/>
      <c r="BG357" s="453"/>
      <c r="BH357" s="453"/>
      <c r="BI357" s="453"/>
      <c r="BJ357" s="453"/>
      <c r="BK357" s="453"/>
      <c r="BL357" s="453"/>
      <c r="BM357" s="502"/>
      <c r="BN357" s="490"/>
      <c r="BO357" s="470"/>
      <c r="BP357" s="490"/>
      <c r="BQ357" s="453"/>
      <c r="BR357" s="502"/>
      <c r="BS357" s="524"/>
      <c r="BT357" s="530"/>
    </row>
    <row r="358" s="435" customFormat="1" ht="18" customHeight="1" spans="1:72">
      <c r="A358" s="451" t="s">
        <v>4038</v>
      </c>
      <c r="B358" s="456">
        <v>44644</v>
      </c>
      <c r="C358" s="526">
        <v>1000010198</v>
      </c>
      <c r="D358" s="451"/>
      <c r="E358" s="457"/>
      <c r="F358" s="453"/>
      <c r="G358" s="453"/>
      <c r="H358" s="453"/>
      <c r="I358" s="453"/>
      <c r="J358" s="453"/>
      <c r="K358" s="453"/>
      <c r="L358" s="453"/>
      <c r="M358" s="453"/>
      <c r="N358" s="453"/>
      <c r="O358" s="453"/>
      <c r="P358" s="453"/>
      <c r="Q358" s="453"/>
      <c r="R358" s="453"/>
      <c r="S358" s="453"/>
      <c r="T358" s="453"/>
      <c r="U358" s="453"/>
      <c r="V358" s="453"/>
      <c r="W358" s="453"/>
      <c r="X358" s="453"/>
      <c r="Y358" s="453"/>
      <c r="Z358" s="489"/>
      <c r="AA358" s="489"/>
      <c r="AB358" s="490"/>
      <c r="AC358" s="453"/>
      <c r="AD358" s="453"/>
      <c r="AE358" s="453"/>
      <c r="AF358" s="453"/>
      <c r="AG358" s="453"/>
      <c r="AH358" s="453"/>
      <c r="AI358" s="453"/>
      <c r="AJ358" s="453"/>
      <c r="AK358" s="453"/>
      <c r="AL358" s="453"/>
      <c r="AM358" s="453"/>
      <c r="AN358" s="453"/>
      <c r="AO358" s="453"/>
      <c r="AP358" s="453"/>
      <c r="AQ358" s="453"/>
      <c r="AR358" s="453"/>
      <c r="AS358" s="453"/>
      <c r="AT358" s="453"/>
      <c r="AU358" s="453"/>
      <c r="AV358" s="453"/>
      <c r="AW358" s="453"/>
      <c r="AX358" s="453"/>
      <c r="AY358" s="453"/>
      <c r="AZ358" s="453"/>
      <c r="BA358" s="532"/>
      <c r="BB358" s="502"/>
      <c r="BC358" s="503"/>
      <c r="BD358" s="453"/>
      <c r="BE358" s="453"/>
      <c r="BF358" s="470"/>
      <c r="BG358" s="453"/>
      <c r="BH358" s="453"/>
      <c r="BI358" s="453"/>
      <c r="BJ358" s="453"/>
      <c r="BK358" s="453"/>
      <c r="BL358" s="453"/>
      <c r="BM358" s="502"/>
      <c r="BN358" s="490"/>
      <c r="BO358" s="470"/>
      <c r="BP358" s="490"/>
      <c r="BQ358" s="453"/>
      <c r="BR358" s="502"/>
      <c r="BS358" s="524"/>
      <c r="BT358" s="530"/>
    </row>
    <row r="359" s="435" customFormat="1" ht="18" customHeight="1" spans="1:72">
      <c r="A359" s="451" t="s">
        <v>4038</v>
      </c>
      <c r="B359" s="456">
        <v>44652</v>
      </c>
      <c r="C359" s="526">
        <v>1000010263</v>
      </c>
      <c r="D359" s="451"/>
      <c r="E359" s="457"/>
      <c r="F359" s="453"/>
      <c r="G359" s="453"/>
      <c r="H359" s="453"/>
      <c r="I359" s="453"/>
      <c r="J359" s="453"/>
      <c r="K359" s="453"/>
      <c r="L359" s="453">
        <v>70000</v>
      </c>
      <c r="M359" s="453"/>
      <c r="N359" s="453"/>
      <c r="O359" s="453"/>
      <c r="P359" s="453"/>
      <c r="Q359" s="453"/>
      <c r="R359" s="453"/>
      <c r="S359" s="453"/>
      <c r="T359" s="453"/>
      <c r="U359" s="453"/>
      <c r="V359" s="453"/>
      <c r="W359" s="453"/>
      <c r="X359" s="453"/>
      <c r="Y359" s="453"/>
      <c r="Z359" s="489"/>
      <c r="AA359" s="489"/>
      <c r="AB359" s="490"/>
      <c r="AC359" s="453"/>
      <c r="AD359" s="453"/>
      <c r="AE359" s="453"/>
      <c r="AF359" s="453"/>
      <c r="AG359" s="453"/>
      <c r="AH359" s="453"/>
      <c r="AI359" s="453"/>
      <c r="AJ359" s="453"/>
      <c r="AK359" s="453"/>
      <c r="AL359" s="453"/>
      <c r="AM359" s="453"/>
      <c r="AN359" s="453"/>
      <c r="AO359" s="453"/>
      <c r="AP359" s="453"/>
      <c r="AQ359" s="453"/>
      <c r="AR359" s="453"/>
      <c r="AS359" s="453"/>
      <c r="AT359" s="453"/>
      <c r="AU359" s="453"/>
      <c r="AV359" s="453"/>
      <c r="AW359" s="453"/>
      <c r="AX359" s="453"/>
      <c r="AY359" s="453"/>
      <c r="AZ359" s="453"/>
      <c r="BA359" s="532"/>
      <c r="BB359" s="502"/>
      <c r="BC359" s="503"/>
      <c r="BD359" s="453"/>
      <c r="BE359" s="453"/>
      <c r="BF359" s="470"/>
      <c r="BG359" s="453"/>
      <c r="BH359" s="453"/>
      <c r="BI359" s="453"/>
      <c r="BJ359" s="453"/>
      <c r="BK359" s="453"/>
      <c r="BL359" s="453"/>
      <c r="BM359" s="502"/>
      <c r="BN359" s="490"/>
      <c r="BO359" s="470"/>
      <c r="BP359" s="490"/>
      <c r="BQ359" s="453"/>
      <c r="BR359" s="502"/>
      <c r="BS359" s="524"/>
      <c r="BT359" s="530"/>
    </row>
    <row r="360" s="435" customFormat="1" ht="18" customHeight="1" spans="1:72">
      <c r="A360" s="451" t="s">
        <v>4038</v>
      </c>
      <c r="B360" s="456">
        <v>44652</v>
      </c>
      <c r="C360" s="526">
        <v>1000010264</v>
      </c>
      <c r="D360" s="451"/>
      <c r="E360" s="457"/>
      <c r="F360" s="453"/>
      <c r="G360" s="453"/>
      <c r="H360" s="453"/>
      <c r="I360" s="453"/>
      <c r="J360" s="453"/>
      <c r="K360" s="453"/>
      <c r="L360" s="453"/>
      <c r="M360" s="453">
        <v>30000</v>
      </c>
      <c r="N360" s="453"/>
      <c r="O360" s="453"/>
      <c r="P360" s="453"/>
      <c r="Q360" s="453"/>
      <c r="R360" s="453"/>
      <c r="S360" s="453"/>
      <c r="T360" s="453"/>
      <c r="U360" s="453"/>
      <c r="V360" s="453"/>
      <c r="W360" s="453"/>
      <c r="X360" s="453"/>
      <c r="Y360" s="453"/>
      <c r="Z360" s="489"/>
      <c r="AA360" s="489"/>
      <c r="AB360" s="490"/>
      <c r="AC360" s="453"/>
      <c r="AD360" s="453"/>
      <c r="AE360" s="453"/>
      <c r="AF360" s="453"/>
      <c r="AG360" s="453"/>
      <c r="AH360" s="453"/>
      <c r="AI360" s="453"/>
      <c r="AJ360" s="453"/>
      <c r="AK360" s="453"/>
      <c r="AL360" s="453"/>
      <c r="AM360" s="453"/>
      <c r="AN360" s="453"/>
      <c r="AO360" s="453"/>
      <c r="AP360" s="453"/>
      <c r="AQ360" s="453"/>
      <c r="AR360" s="453"/>
      <c r="AS360" s="453"/>
      <c r="AT360" s="453"/>
      <c r="AU360" s="453"/>
      <c r="AV360" s="453"/>
      <c r="AW360" s="453"/>
      <c r="AX360" s="453"/>
      <c r="AY360" s="453"/>
      <c r="AZ360" s="453"/>
      <c r="BA360" s="532"/>
      <c r="BB360" s="502"/>
      <c r="BC360" s="503"/>
      <c r="BD360" s="453"/>
      <c r="BE360" s="453"/>
      <c r="BF360" s="470"/>
      <c r="BG360" s="453"/>
      <c r="BH360" s="453"/>
      <c r="BI360" s="453"/>
      <c r="BJ360" s="453"/>
      <c r="BK360" s="453"/>
      <c r="BL360" s="453"/>
      <c r="BM360" s="502"/>
      <c r="BN360" s="490"/>
      <c r="BO360" s="470"/>
      <c r="BP360" s="490"/>
      <c r="BQ360" s="453"/>
      <c r="BR360" s="502"/>
      <c r="BS360" s="524"/>
      <c r="BT360" s="530"/>
    </row>
    <row r="361" s="435" customFormat="1" ht="18" customHeight="1" spans="1:72">
      <c r="A361" s="451" t="s">
        <v>4038</v>
      </c>
      <c r="B361" s="456">
        <v>44652</v>
      </c>
      <c r="C361" s="526">
        <v>1000010265</v>
      </c>
      <c r="D361" s="451"/>
      <c r="E361" s="457"/>
      <c r="F361" s="453"/>
      <c r="G361" s="453"/>
      <c r="H361" s="453"/>
      <c r="I361" s="453"/>
      <c r="J361" s="453"/>
      <c r="K361" s="453"/>
      <c r="L361" s="453"/>
      <c r="M361" s="453"/>
      <c r="N361" s="453">
        <v>40000</v>
      </c>
      <c r="O361" s="453"/>
      <c r="P361" s="453"/>
      <c r="Q361" s="453"/>
      <c r="R361" s="453"/>
      <c r="S361" s="453"/>
      <c r="T361" s="453"/>
      <c r="U361" s="453"/>
      <c r="V361" s="453"/>
      <c r="W361" s="453"/>
      <c r="X361" s="453"/>
      <c r="Y361" s="453"/>
      <c r="Z361" s="489"/>
      <c r="AA361" s="489"/>
      <c r="AB361" s="490"/>
      <c r="AC361" s="453"/>
      <c r="AD361" s="453"/>
      <c r="AE361" s="453"/>
      <c r="AF361" s="453"/>
      <c r="AG361" s="453"/>
      <c r="AH361" s="453"/>
      <c r="AI361" s="453"/>
      <c r="AJ361" s="453"/>
      <c r="AK361" s="453"/>
      <c r="AL361" s="453"/>
      <c r="AM361" s="453"/>
      <c r="AN361" s="453"/>
      <c r="AO361" s="453"/>
      <c r="AP361" s="453"/>
      <c r="AQ361" s="453"/>
      <c r="AR361" s="453"/>
      <c r="AS361" s="453"/>
      <c r="AT361" s="453"/>
      <c r="AU361" s="453"/>
      <c r="AV361" s="453"/>
      <c r="AW361" s="453"/>
      <c r="AX361" s="453"/>
      <c r="AY361" s="453"/>
      <c r="AZ361" s="453"/>
      <c r="BA361" s="532"/>
      <c r="BB361" s="502"/>
      <c r="BC361" s="503"/>
      <c r="BD361" s="453"/>
      <c r="BE361" s="453"/>
      <c r="BF361" s="470"/>
      <c r="BG361" s="453"/>
      <c r="BH361" s="453"/>
      <c r="BI361" s="453"/>
      <c r="BJ361" s="453"/>
      <c r="BK361" s="453"/>
      <c r="BL361" s="453"/>
      <c r="BM361" s="502"/>
      <c r="BN361" s="490"/>
      <c r="BO361" s="470"/>
      <c r="BP361" s="490"/>
      <c r="BQ361" s="453"/>
      <c r="BR361" s="502"/>
      <c r="BS361" s="524"/>
      <c r="BT361" s="530"/>
    </row>
    <row r="362" s="435" customFormat="1" ht="18" customHeight="1" spans="1:72">
      <c r="A362" s="451" t="s">
        <v>4038</v>
      </c>
      <c r="B362" s="456">
        <v>44652</v>
      </c>
      <c r="C362" s="526">
        <v>1000010266</v>
      </c>
      <c r="D362" s="451"/>
      <c r="E362" s="457"/>
      <c r="F362" s="453"/>
      <c r="G362" s="453"/>
      <c r="H362" s="453"/>
      <c r="I362" s="453"/>
      <c r="J362" s="453"/>
      <c r="K362" s="453"/>
      <c r="L362" s="453"/>
      <c r="M362" s="453"/>
      <c r="N362" s="453"/>
      <c r="O362" s="453"/>
      <c r="P362" s="453"/>
      <c r="Q362" s="453"/>
      <c r="R362" s="453"/>
      <c r="S362" s="453">
        <v>140000</v>
      </c>
      <c r="T362" s="453"/>
      <c r="U362" s="453"/>
      <c r="V362" s="453"/>
      <c r="W362" s="453"/>
      <c r="X362" s="453"/>
      <c r="Y362" s="453"/>
      <c r="Z362" s="489"/>
      <c r="AA362" s="489"/>
      <c r="AB362" s="490"/>
      <c r="AC362" s="453"/>
      <c r="AD362" s="453"/>
      <c r="AE362" s="453"/>
      <c r="AF362" s="453"/>
      <c r="AG362" s="453"/>
      <c r="AH362" s="453"/>
      <c r="AI362" s="453"/>
      <c r="AJ362" s="453"/>
      <c r="AK362" s="453"/>
      <c r="AL362" s="453"/>
      <c r="AM362" s="453"/>
      <c r="AN362" s="453"/>
      <c r="AO362" s="453"/>
      <c r="AP362" s="453"/>
      <c r="AQ362" s="453"/>
      <c r="AR362" s="453"/>
      <c r="AS362" s="453"/>
      <c r="AT362" s="453"/>
      <c r="AU362" s="453"/>
      <c r="AV362" s="453"/>
      <c r="AW362" s="453"/>
      <c r="AX362" s="453"/>
      <c r="AY362" s="453"/>
      <c r="AZ362" s="453"/>
      <c r="BA362" s="532"/>
      <c r="BB362" s="502"/>
      <c r="BC362" s="503"/>
      <c r="BD362" s="453"/>
      <c r="BE362" s="453"/>
      <c r="BF362" s="470"/>
      <c r="BG362" s="453"/>
      <c r="BH362" s="453"/>
      <c r="BI362" s="453"/>
      <c r="BJ362" s="453"/>
      <c r="BK362" s="453"/>
      <c r="BL362" s="453"/>
      <c r="BM362" s="502"/>
      <c r="BN362" s="490"/>
      <c r="BO362" s="470"/>
      <c r="BP362" s="490"/>
      <c r="BQ362" s="453"/>
      <c r="BR362" s="502"/>
      <c r="BS362" s="524"/>
      <c r="BT362" s="530"/>
    </row>
    <row r="363" s="435" customFormat="1" ht="18" customHeight="1" spans="1:72">
      <c r="A363" s="451" t="s">
        <v>4038</v>
      </c>
      <c r="B363" s="456">
        <v>44652</v>
      </c>
      <c r="C363" s="526">
        <v>1000010267</v>
      </c>
      <c r="D363" s="451"/>
      <c r="E363" s="457"/>
      <c r="F363" s="453"/>
      <c r="G363" s="453"/>
      <c r="H363" s="453"/>
      <c r="I363" s="453"/>
      <c r="J363" s="453"/>
      <c r="K363" s="453"/>
      <c r="L363" s="453"/>
      <c r="M363" s="453"/>
      <c r="N363" s="453"/>
      <c r="O363" s="453"/>
      <c r="P363" s="453"/>
      <c r="Q363" s="453"/>
      <c r="R363" s="453"/>
      <c r="S363" s="453"/>
      <c r="T363" s="453"/>
      <c r="U363" s="453"/>
      <c r="V363" s="453"/>
      <c r="W363" s="453"/>
      <c r="X363" s="453"/>
      <c r="Y363" s="453"/>
      <c r="Z363" s="489"/>
      <c r="AA363" s="489"/>
      <c r="AB363" s="490"/>
      <c r="AC363" s="453"/>
      <c r="AD363" s="453"/>
      <c r="AE363" s="453"/>
      <c r="AF363" s="453"/>
      <c r="AG363" s="453"/>
      <c r="AH363" s="453"/>
      <c r="AI363" s="453">
        <v>50000</v>
      </c>
      <c r="AJ363" s="453"/>
      <c r="AK363" s="453"/>
      <c r="AL363" s="453"/>
      <c r="AM363" s="453"/>
      <c r="AN363" s="453"/>
      <c r="AO363" s="453"/>
      <c r="AP363" s="453"/>
      <c r="AQ363" s="453"/>
      <c r="AR363" s="453"/>
      <c r="AS363" s="453"/>
      <c r="AT363" s="453"/>
      <c r="AU363" s="453"/>
      <c r="AV363" s="453"/>
      <c r="AW363" s="453"/>
      <c r="AX363" s="453"/>
      <c r="AY363" s="453"/>
      <c r="AZ363" s="453"/>
      <c r="BA363" s="532"/>
      <c r="BB363" s="502"/>
      <c r="BC363" s="503"/>
      <c r="BD363" s="453"/>
      <c r="BE363" s="453"/>
      <c r="BF363" s="470"/>
      <c r="BG363" s="453"/>
      <c r="BH363" s="453"/>
      <c r="BI363" s="453"/>
      <c r="BJ363" s="453"/>
      <c r="BK363" s="453"/>
      <c r="BL363" s="453"/>
      <c r="BM363" s="502"/>
      <c r="BN363" s="490"/>
      <c r="BO363" s="470"/>
      <c r="BP363" s="490"/>
      <c r="BQ363" s="453"/>
      <c r="BR363" s="502"/>
      <c r="BS363" s="524"/>
      <c r="BT363" s="530"/>
    </row>
    <row r="364" s="435" customFormat="1" ht="18" customHeight="1" spans="1:72">
      <c r="A364" s="451" t="s">
        <v>4038</v>
      </c>
      <c r="B364" s="456">
        <v>44652</v>
      </c>
      <c r="C364" s="526">
        <v>1000010268</v>
      </c>
      <c r="D364" s="451"/>
      <c r="E364" s="457"/>
      <c r="F364" s="453"/>
      <c r="G364" s="453"/>
      <c r="H364" s="453"/>
      <c r="I364" s="453"/>
      <c r="J364" s="453"/>
      <c r="K364" s="453"/>
      <c r="L364" s="453"/>
      <c r="M364" s="453"/>
      <c r="N364" s="453"/>
      <c r="O364" s="453"/>
      <c r="P364" s="453"/>
      <c r="Q364" s="453"/>
      <c r="R364" s="453"/>
      <c r="S364" s="453"/>
      <c r="T364" s="453"/>
      <c r="U364" s="453"/>
      <c r="V364" s="453"/>
      <c r="W364" s="453"/>
      <c r="X364" s="453"/>
      <c r="Y364" s="453"/>
      <c r="Z364" s="489"/>
      <c r="AA364" s="489"/>
      <c r="AB364" s="490"/>
      <c r="AC364" s="453"/>
      <c r="AD364" s="453"/>
      <c r="AE364" s="453"/>
      <c r="AF364" s="453"/>
      <c r="AG364" s="453"/>
      <c r="AH364" s="453"/>
      <c r="AI364" s="453"/>
      <c r="AJ364" s="453"/>
      <c r="AK364" s="453"/>
      <c r="AL364" s="453"/>
      <c r="AM364" s="453"/>
      <c r="AN364" s="453"/>
      <c r="AO364" s="453"/>
      <c r="AP364" s="453"/>
      <c r="AQ364" s="453"/>
      <c r="AR364" s="453">
        <v>20000</v>
      </c>
      <c r="AS364" s="453"/>
      <c r="AT364" s="453"/>
      <c r="AU364" s="453"/>
      <c r="AV364" s="453"/>
      <c r="AW364" s="453"/>
      <c r="AX364" s="453"/>
      <c r="AY364" s="453"/>
      <c r="AZ364" s="453"/>
      <c r="BA364" s="532"/>
      <c r="BB364" s="502"/>
      <c r="BC364" s="503"/>
      <c r="BD364" s="453"/>
      <c r="BE364" s="453"/>
      <c r="BF364" s="470"/>
      <c r="BG364" s="453"/>
      <c r="BH364" s="453"/>
      <c r="BI364" s="453"/>
      <c r="BJ364" s="453"/>
      <c r="BK364" s="453"/>
      <c r="BL364" s="453"/>
      <c r="BM364" s="502"/>
      <c r="BN364" s="490"/>
      <c r="BO364" s="470"/>
      <c r="BP364" s="490"/>
      <c r="BQ364" s="453"/>
      <c r="BR364" s="502"/>
      <c r="BS364" s="524"/>
      <c r="BT364" s="530"/>
    </row>
    <row r="365" s="435" customFormat="1" ht="18" customHeight="1" spans="1:72">
      <c r="A365" s="451" t="s">
        <v>4038</v>
      </c>
      <c r="B365" s="456">
        <v>44652</v>
      </c>
      <c r="C365" s="526">
        <v>1000010269</v>
      </c>
      <c r="D365" s="451"/>
      <c r="E365" s="457"/>
      <c r="F365" s="453"/>
      <c r="G365" s="453"/>
      <c r="H365" s="453"/>
      <c r="I365" s="453"/>
      <c r="J365" s="453"/>
      <c r="K365" s="453"/>
      <c r="L365" s="453"/>
      <c r="M365" s="453"/>
      <c r="N365" s="453"/>
      <c r="O365" s="453"/>
      <c r="P365" s="453"/>
      <c r="Q365" s="453"/>
      <c r="R365" s="453"/>
      <c r="S365" s="453"/>
      <c r="T365" s="453"/>
      <c r="U365" s="453"/>
      <c r="V365" s="453"/>
      <c r="W365" s="453"/>
      <c r="X365" s="453"/>
      <c r="Y365" s="453"/>
      <c r="Z365" s="489"/>
      <c r="AA365" s="489"/>
      <c r="AB365" s="490"/>
      <c r="AC365" s="453"/>
      <c r="AD365" s="453"/>
      <c r="AE365" s="453"/>
      <c r="AF365" s="453"/>
      <c r="AG365" s="453"/>
      <c r="AH365" s="453"/>
      <c r="AI365" s="453"/>
      <c r="AJ365" s="453"/>
      <c r="AK365" s="453"/>
      <c r="AL365" s="453"/>
      <c r="AM365" s="453"/>
      <c r="AN365" s="453"/>
      <c r="AO365" s="453"/>
      <c r="AP365" s="453"/>
      <c r="AQ365" s="453"/>
      <c r="AR365" s="453"/>
      <c r="AS365" s="453"/>
      <c r="AT365" s="453"/>
      <c r="AU365" s="453"/>
      <c r="AV365" s="453"/>
      <c r="AW365" s="453"/>
      <c r="AX365" s="453"/>
      <c r="AY365" s="453"/>
      <c r="AZ365" s="453"/>
      <c r="BA365" s="532"/>
      <c r="BB365" s="502"/>
      <c r="BC365" s="503"/>
      <c r="BD365" s="453"/>
      <c r="BE365" s="453"/>
      <c r="BF365" s="470"/>
      <c r="BG365" s="453"/>
      <c r="BH365" s="453"/>
      <c r="BI365" s="453"/>
      <c r="BJ365" s="453"/>
      <c r="BK365" s="453"/>
      <c r="BL365" s="453"/>
      <c r="BM365" s="502"/>
      <c r="BN365" s="490"/>
      <c r="BO365" s="470"/>
      <c r="BP365" s="490"/>
      <c r="BQ365" s="453"/>
      <c r="BR365" s="502"/>
      <c r="BS365" s="524"/>
      <c r="BT365" s="530"/>
    </row>
    <row r="366" s="435" customFormat="1" ht="18" customHeight="1" spans="1:72">
      <c r="A366" s="451" t="s">
        <v>4038</v>
      </c>
      <c r="B366" s="456">
        <v>44652</v>
      </c>
      <c r="C366" s="526">
        <v>1000010319</v>
      </c>
      <c r="D366" s="451"/>
      <c r="E366" s="457"/>
      <c r="F366" s="453"/>
      <c r="G366" s="453"/>
      <c r="H366" s="453"/>
      <c r="I366" s="453"/>
      <c r="J366" s="453"/>
      <c r="K366" s="453"/>
      <c r="L366" s="453"/>
      <c r="M366" s="453"/>
      <c r="N366" s="453"/>
      <c r="O366" s="453"/>
      <c r="P366" s="453"/>
      <c r="Q366" s="453"/>
      <c r="R366" s="453"/>
      <c r="S366" s="453"/>
      <c r="T366" s="453"/>
      <c r="U366" s="453"/>
      <c r="V366" s="453"/>
      <c r="W366" s="453"/>
      <c r="X366" s="453"/>
      <c r="Y366" s="453"/>
      <c r="Z366" s="489"/>
      <c r="AA366" s="489"/>
      <c r="AB366" s="490"/>
      <c r="AC366" s="453"/>
      <c r="AD366" s="453">
        <v>330000</v>
      </c>
      <c r="AE366" s="453"/>
      <c r="AF366" s="453"/>
      <c r="AG366" s="453"/>
      <c r="AH366" s="453"/>
      <c r="AI366" s="453"/>
      <c r="AJ366" s="453"/>
      <c r="AK366" s="453"/>
      <c r="AL366" s="453"/>
      <c r="AM366" s="453"/>
      <c r="AN366" s="453"/>
      <c r="AO366" s="453"/>
      <c r="AP366" s="453"/>
      <c r="AQ366" s="453"/>
      <c r="AR366" s="453"/>
      <c r="AS366" s="453"/>
      <c r="AT366" s="453"/>
      <c r="AU366" s="453"/>
      <c r="AV366" s="453"/>
      <c r="AW366" s="453"/>
      <c r="AX366" s="453"/>
      <c r="AY366" s="453"/>
      <c r="AZ366" s="453"/>
      <c r="BA366" s="532"/>
      <c r="BB366" s="502"/>
      <c r="BC366" s="503"/>
      <c r="BD366" s="453"/>
      <c r="BE366" s="453"/>
      <c r="BF366" s="470"/>
      <c r="BG366" s="453"/>
      <c r="BH366" s="453"/>
      <c r="BI366" s="453"/>
      <c r="BJ366" s="453"/>
      <c r="BK366" s="453"/>
      <c r="BL366" s="453"/>
      <c r="BM366" s="502"/>
      <c r="BN366" s="490"/>
      <c r="BO366" s="470"/>
      <c r="BP366" s="490"/>
      <c r="BQ366" s="453"/>
      <c r="BR366" s="502"/>
      <c r="BS366" s="524"/>
      <c r="BT366" s="530"/>
    </row>
    <row r="367" s="435" customFormat="1" ht="18" customHeight="1" spans="1:72">
      <c r="A367" s="451" t="s">
        <v>4038</v>
      </c>
      <c r="B367" s="456">
        <v>44652</v>
      </c>
      <c r="C367" s="526">
        <v>1000010320</v>
      </c>
      <c r="D367" s="451"/>
      <c r="E367" s="457"/>
      <c r="F367" s="453"/>
      <c r="G367" s="453"/>
      <c r="H367" s="453"/>
      <c r="I367" s="453"/>
      <c r="J367" s="453"/>
      <c r="K367" s="453"/>
      <c r="L367" s="453"/>
      <c r="M367" s="453"/>
      <c r="N367" s="453"/>
      <c r="O367" s="453"/>
      <c r="P367" s="453"/>
      <c r="Q367" s="453"/>
      <c r="R367" s="453"/>
      <c r="S367" s="453"/>
      <c r="T367" s="453"/>
      <c r="U367" s="453"/>
      <c r="V367" s="453"/>
      <c r="W367" s="453"/>
      <c r="X367" s="453"/>
      <c r="Y367" s="453"/>
      <c r="Z367" s="489"/>
      <c r="AA367" s="489"/>
      <c r="AB367" s="490"/>
      <c r="AC367" s="453"/>
      <c r="AD367" s="453"/>
      <c r="AE367" s="453"/>
      <c r="AF367" s="453"/>
      <c r="AG367" s="453"/>
      <c r="AH367" s="453"/>
      <c r="AI367" s="453"/>
      <c r="AJ367" s="453"/>
      <c r="AK367" s="453"/>
      <c r="AL367" s="453"/>
      <c r="AM367" s="453"/>
      <c r="AN367" s="453"/>
      <c r="AO367" s="453">
        <v>460000</v>
      </c>
      <c r="AP367" s="453"/>
      <c r="AQ367" s="453"/>
      <c r="AR367" s="453"/>
      <c r="AS367" s="453"/>
      <c r="AT367" s="453"/>
      <c r="AU367" s="453"/>
      <c r="AV367" s="453"/>
      <c r="AW367" s="453"/>
      <c r="AX367" s="453"/>
      <c r="AY367" s="453"/>
      <c r="AZ367" s="453"/>
      <c r="BA367" s="532"/>
      <c r="BB367" s="502"/>
      <c r="BC367" s="503"/>
      <c r="BD367" s="453"/>
      <c r="BE367" s="453"/>
      <c r="BF367" s="470"/>
      <c r="BG367" s="453"/>
      <c r="BH367" s="453"/>
      <c r="BI367" s="453"/>
      <c r="BJ367" s="453"/>
      <c r="BK367" s="453"/>
      <c r="BL367" s="453"/>
      <c r="BM367" s="502"/>
      <c r="BN367" s="490"/>
      <c r="BO367" s="470"/>
      <c r="BP367" s="490"/>
      <c r="BQ367" s="453"/>
      <c r="BR367" s="502"/>
      <c r="BS367" s="524"/>
      <c r="BT367" s="530"/>
    </row>
    <row r="368" s="435" customFormat="1" ht="18" customHeight="1" spans="1:72">
      <c r="A368" s="451" t="s">
        <v>4038</v>
      </c>
      <c r="B368" s="456">
        <v>44673</v>
      </c>
      <c r="C368" s="526">
        <v>1000010536</v>
      </c>
      <c r="D368" s="451"/>
      <c r="E368" s="457"/>
      <c r="F368" s="453"/>
      <c r="G368" s="453"/>
      <c r="H368" s="453"/>
      <c r="I368" s="453"/>
      <c r="J368" s="453"/>
      <c r="K368" s="453"/>
      <c r="L368" s="453"/>
      <c r="M368" s="453"/>
      <c r="N368" s="453"/>
      <c r="O368" s="453"/>
      <c r="P368" s="453"/>
      <c r="Q368" s="453"/>
      <c r="R368" s="453"/>
      <c r="S368" s="453"/>
      <c r="T368" s="453"/>
      <c r="U368" s="453"/>
      <c r="V368" s="453"/>
      <c r="W368" s="453"/>
      <c r="X368" s="453"/>
      <c r="Y368" s="453"/>
      <c r="Z368" s="489"/>
      <c r="AA368" s="489"/>
      <c r="AB368" s="490"/>
      <c r="AC368" s="453"/>
      <c r="AD368" s="453"/>
      <c r="AE368" s="453"/>
      <c r="AF368" s="453"/>
      <c r="AG368" s="453"/>
      <c r="AH368" s="453"/>
      <c r="AI368" s="453"/>
      <c r="AJ368" s="453"/>
      <c r="AK368" s="453"/>
      <c r="AL368" s="453"/>
      <c r="AM368" s="453"/>
      <c r="AN368" s="453"/>
      <c r="AO368" s="453"/>
      <c r="AP368" s="453"/>
      <c r="AQ368" s="453"/>
      <c r="AR368" s="453"/>
      <c r="AS368" s="453"/>
      <c r="AT368" s="453"/>
      <c r="AU368" s="453"/>
      <c r="AV368" s="453"/>
      <c r="AW368" s="453"/>
      <c r="AX368" s="453"/>
      <c r="AY368" s="453"/>
      <c r="AZ368" s="453"/>
      <c r="BA368" s="532"/>
      <c r="BB368" s="502"/>
      <c r="BC368" s="503"/>
      <c r="BD368" s="453"/>
      <c r="BE368" s="453"/>
      <c r="BF368" s="470"/>
      <c r="BG368" s="453"/>
      <c r="BH368" s="453"/>
      <c r="BI368" s="453"/>
      <c r="BJ368" s="453"/>
      <c r="BK368" s="453"/>
      <c r="BL368" s="453"/>
      <c r="BM368" s="502"/>
      <c r="BN368" s="490"/>
      <c r="BO368" s="470"/>
      <c r="BP368" s="490"/>
      <c r="BQ368" s="453"/>
      <c r="BR368" s="502"/>
      <c r="BS368" s="524"/>
      <c r="BT368" s="530"/>
    </row>
    <row r="369" s="435" customFormat="1" ht="18" customHeight="1" spans="1:72">
      <c r="A369" s="451" t="s">
        <v>4038</v>
      </c>
      <c r="B369" s="456">
        <v>44673</v>
      </c>
      <c r="C369" s="526">
        <v>1000010537</v>
      </c>
      <c r="D369" s="451"/>
      <c r="E369" s="457"/>
      <c r="F369" s="453"/>
      <c r="G369" s="453"/>
      <c r="H369" s="453"/>
      <c r="I369" s="453"/>
      <c r="J369" s="453"/>
      <c r="K369" s="453"/>
      <c r="L369" s="453"/>
      <c r="M369" s="453"/>
      <c r="N369" s="453"/>
      <c r="O369" s="453"/>
      <c r="P369" s="453"/>
      <c r="Q369" s="453"/>
      <c r="R369" s="453"/>
      <c r="S369" s="453"/>
      <c r="T369" s="453"/>
      <c r="U369" s="453"/>
      <c r="V369" s="453"/>
      <c r="W369" s="453"/>
      <c r="X369" s="453"/>
      <c r="Y369" s="453"/>
      <c r="Z369" s="489"/>
      <c r="AA369" s="489"/>
      <c r="AB369" s="490"/>
      <c r="AC369" s="453"/>
      <c r="AD369" s="453"/>
      <c r="AE369" s="453"/>
      <c r="AF369" s="453"/>
      <c r="AG369" s="453"/>
      <c r="AH369" s="453"/>
      <c r="AI369" s="453"/>
      <c r="AJ369" s="453"/>
      <c r="AK369" s="453"/>
      <c r="AL369" s="453"/>
      <c r="AM369" s="453"/>
      <c r="AN369" s="453"/>
      <c r="AO369" s="453"/>
      <c r="AP369" s="453"/>
      <c r="AQ369" s="453"/>
      <c r="AR369" s="453"/>
      <c r="AS369" s="453"/>
      <c r="AT369" s="453"/>
      <c r="AU369" s="453"/>
      <c r="AV369" s="453"/>
      <c r="AW369" s="453"/>
      <c r="AX369" s="453"/>
      <c r="AY369" s="453"/>
      <c r="AZ369" s="453"/>
      <c r="BA369" s="532"/>
      <c r="BB369" s="502"/>
      <c r="BC369" s="503"/>
      <c r="BD369" s="453"/>
      <c r="BE369" s="453"/>
      <c r="BF369" s="470"/>
      <c r="BG369" s="453"/>
      <c r="BH369" s="453"/>
      <c r="BI369" s="453"/>
      <c r="BJ369" s="453"/>
      <c r="BK369" s="453"/>
      <c r="BL369" s="453"/>
      <c r="BM369" s="502"/>
      <c r="BN369" s="490"/>
      <c r="BO369" s="470"/>
      <c r="BP369" s="490"/>
      <c r="BQ369" s="453"/>
      <c r="BR369" s="502"/>
      <c r="BS369" s="524"/>
      <c r="BT369" s="530"/>
    </row>
    <row r="370" s="435" customFormat="1" ht="18" customHeight="1" spans="1:72">
      <c r="A370" s="451" t="s">
        <v>4038</v>
      </c>
      <c r="B370" s="456">
        <v>44673</v>
      </c>
      <c r="C370" s="526">
        <v>1000010538</v>
      </c>
      <c r="D370" s="451"/>
      <c r="E370" s="457"/>
      <c r="F370" s="453"/>
      <c r="G370" s="453"/>
      <c r="H370" s="453"/>
      <c r="I370" s="453"/>
      <c r="J370" s="453"/>
      <c r="K370" s="453"/>
      <c r="L370" s="453"/>
      <c r="M370" s="453"/>
      <c r="N370" s="453"/>
      <c r="O370" s="453"/>
      <c r="P370" s="453"/>
      <c r="Q370" s="453"/>
      <c r="R370" s="453"/>
      <c r="S370" s="453"/>
      <c r="T370" s="453"/>
      <c r="U370" s="453"/>
      <c r="V370" s="453"/>
      <c r="W370" s="453"/>
      <c r="X370" s="453"/>
      <c r="Y370" s="453"/>
      <c r="Z370" s="489"/>
      <c r="AA370" s="489"/>
      <c r="AB370" s="490"/>
      <c r="AC370" s="453"/>
      <c r="AD370" s="453"/>
      <c r="AE370" s="453"/>
      <c r="AF370" s="453"/>
      <c r="AG370" s="453"/>
      <c r="AH370" s="453"/>
      <c r="AI370" s="453"/>
      <c r="AJ370" s="453"/>
      <c r="AK370" s="453"/>
      <c r="AL370" s="453"/>
      <c r="AM370" s="453"/>
      <c r="AN370" s="453"/>
      <c r="AO370" s="453"/>
      <c r="AP370" s="453"/>
      <c r="AQ370" s="453"/>
      <c r="AR370" s="453"/>
      <c r="AS370" s="453"/>
      <c r="AT370" s="453"/>
      <c r="AU370" s="453"/>
      <c r="AV370" s="453"/>
      <c r="AW370" s="453"/>
      <c r="AX370" s="453"/>
      <c r="AY370" s="453"/>
      <c r="AZ370" s="453"/>
      <c r="BA370" s="532"/>
      <c r="BB370" s="502"/>
      <c r="BC370" s="503"/>
      <c r="BD370" s="453"/>
      <c r="BE370" s="453"/>
      <c r="BF370" s="470"/>
      <c r="BG370" s="453"/>
      <c r="BH370" s="453"/>
      <c r="BI370" s="453"/>
      <c r="BJ370" s="453"/>
      <c r="BK370" s="453"/>
      <c r="BL370" s="453"/>
      <c r="BM370" s="502"/>
      <c r="BN370" s="490"/>
      <c r="BO370" s="470"/>
      <c r="BP370" s="490"/>
      <c r="BQ370" s="453"/>
      <c r="BR370" s="502"/>
      <c r="BS370" s="524"/>
      <c r="BT370" s="530"/>
    </row>
    <row r="371" s="435" customFormat="1" ht="18" customHeight="1" spans="1:72">
      <c r="A371" s="451" t="s">
        <v>4038</v>
      </c>
      <c r="B371" s="456">
        <v>44673</v>
      </c>
      <c r="C371" s="526">
        <v>1000010539</v>
      </c>
      <c r="D371" s="451"/>
      <c r="E371" s="457"/>
      <c r="F371" s="453"/>
      <c r="G371" s="453"/>
      <c r="H371" s="453"/>
      <c r="I371" s="453"/>
      <c r="J371" s="453"/>
      <c r="K371" s="453"/>
      <c r="L371" s="453"/>
      <c r="M371" s="453"/>
      <c r="N371" s="453"/>
      <c r="O371" s="453"/>
      <c r="P371" s="453"/>
      <c r="Q371" s="453"/>
      <c r="R371" s="453"/>
      <c r="S371" s="453"/>
      <c r="T371" s="453"/>
      <c r="U371" s="453"/>
      <c r="V371" s="453"/>
      <c r="W371" s="453"/>
      <c r="X371" s="453"/>
      <c r="Y371" s="453"/>
      <c r="Z371" s="489"/>
      <c r="AA371" s="489"/>
      <c r="AB371" s="490"/>
      <c r="AC371" s="453"/>
      <c r="AD371" s="453"/>
      <c r="AE371" s="453"/>
      <c r="AF371" s="453"/>
      <c r="AG371" s="453"/>
      <c r="AH371" s="453"/>
      <c r="AI371" s="453"/>
      <c r="AJ371" s="453"/>
      <c r="AK371" s="453"/>
      <c r="AL371" s="453"/>
      <c r="AM371" s="453"/>
      <c r="AN371" s="453"/>
      <c r="AO371" s="453"/>
      <c r="AP371" s="453"/>
      <c r="AQ371" s="453"/>
      <c r="AR371" s="453"/>
      <c r="AS371" s="453"/>
      <c r="AT371" s="453"/>
      <c r="AU371" s="453"/>
      <c r="AV371" s="453"/>
      <c r="AW371" s="453"/>
      <c r="AX371" s="453"/>
      <c r="AY371" s="453"/>
      <c r="AZ371" s="453"/>
      <c r="BA371" s="532"/>
      <c r="BB371" s="502"/>
      <c r="BC371" s="503"/>
      <c r="BD371" s="453"/>
      <c r="BE371" s="453"/>
      <c r="BF371" s="470"/>
      <c r="BG371" s="453"/>
      <c r="BH371" s="453"/>
      <c r="BI371" s="453"/>
      <c r="BJ371" s="453"/>
      <c r="BK371" s="453"/>
      <c r="BL371" s="453"/>
      <c r="BM371" s="502"/>
      <c r="BN371" s="490"/>
      <c r="BO371" s="470"/>
      <c r="BP371" s="490"/>
      <c r="BQ371" s="453"/>
      <c r="BR371" s="502"/>
      <c r="BS371" s="524"/>
      <c r="BT371" s="530"/>
    </row>
    <row r="372" s="435" customFormat="1" ht="18" customHeight="1" spans="1:72">
      <c r="A372" s="451" t="s">
        <v>4038</v>
      </c>
      <c r="B372" s="456">
        <v>44678</v>
      </c>
      <c r="C372" s="526">
        <v>1000010580</v>
      </c>
      <c r="D372" s="451"/>
      <c r="E372" s="457"/>
      <c r="F372" s="453"/>
      <c r="G372" s="453"/>
      <c r="H372" s="453"/>
      <c r="I372" s="453"/>
      <c r="J372" s="453"/>
      <c r="K372" s="453"/>
      <c r="L372" s="453"/>
      <c r="M372" s="453"/>
      <c r="N372" s="453"/>
      <c r="O372" s="453"/>
      <c r="P372" s="453"/>
      <c r="Q372" s="453"/>
      <c r="R372" s="453"/>
      <c r="S372" s="453"/>
      <c r="T372" s="453"/>
      <c r="U372" s="453"/>
      <c r="V372" s="453"/>
      <c r="W372" s="453"/>
      <c r="X372" s="453"/>
      <c r="Y372" s="453"/>
      <c r="Z372" s="489"/>
      <c r="AA372" s="489"/>
      <c r="AB372" s="490"/>
      <c r="AC372" s="453"/>
      <c r="AD372" s="453"/>
      <c r="AE372" s="453"/>
      <c r="AF372" s="453"/>
      <c r="AG372" s="453"/>
      <c r="AH372" s="453"/>
      <c r="AI372" s="453"/>
      <c r="AJ372" s="453"/>
      <c r="AK372" s="453"/>
      <c r="AL372" s="453"/>
      <c r="AM372" s="453"/>
      <c r="AN372" s="453"/>
      <c r="AO372" s="453"/>
      <c r="AP372" s="453"/>
      <c r="AQ372" s="453"/>
      <c r="AR372" s="453"/>
      <c r="AS372" s="453"/>
      <c r="AT372" s="453"/>
      <c r="AU372" s="453"/>
      <c r="AV372" s="453"/>
      <c r="AW372" s="453"/>
      <c r="AX372" s="453"/>
      <c r="AY372" s="453"/>
      <c r="AZ372" s="453"/>
      <c r="BA372" s="532"/>
      <c r="BB372" s="502"/>
      <c r="BC372" s="503"/>
      <c r="BD372" s="453"/>
      <c r="BE372" s="453"/>
      <c r="BF372" s="470"/>
      <c r="BG372" s="453"/>
      <c r="BH372" s="453"/>
      <c r="BI372" s="453"/>
      <c r="BJ372" s="453"/>
      <c r="BK372" s="453"/>
      <c r="BL372" s="453"/>
      <c r="BM372" s="502"/>
      <c r="BN372" s="490"/>
      <c r="BO372" s="470"/>
      <c r="BP372" s="490"/>
      <c r="BQ372" s="453"/>
      <c r="BR372" s="502"/>
      <c r="BS372" s="524"/>
      <c r="BT372" s="530"/>
    </row>
    <row r="373" s="435" customFormat="1" ht="18" customHeight="1" spans="1:72">
      <c r="A373" s="451" t="s">
        <v>4038</v>
      </c>
      <c r="B373" s="456">
        <v>44678</v>
      </c>
      <c r="C373" s="526">
        <v>1000010581</v>
      </c>
      <c r="D373" s="451"/>
      <c r="E373" s="457"/>
      <c r="F373" s="453"/>
      <c r="G373" s="453"/>
      <c r="H373" s="453"/>
      <c r="I373" s="453"/>
      <c r="J373" s="453"/>
      <c r="K373" s="453"/>
      <c r="L373" s="453"/>
      <c r="M373" s="453"/>
      <c r="N373" s="453"/>
      <c r="O373" s="453"/>
      <c r="P373" s="453"/>
      <c r="Q373" s="453"/>
      <c r="R373" s="453"/>
      <c r="S373" s="453"/>
      <c r="T373" s="453"/>
      <c r="U373" s="453"/>
      <c r="V373" s="453"/>
      <c r="W373" s="453"/>
      <c r="X373" s="453"/>
      <c r="Y373" s="453"/>
      <c r="Z373" s="489"/>
      <c r="AA373" s="489"/>
      <c r="AB373" s="490"/>
      <c r="AC373" s="453"/>
      <c r="AD373" s="453"/>
      <c r="AE373" s="453"/>
      <c r="AF373" s="453"/>
      <c r="AG373" s="453"/>
      <c r="AH373" s="453"/>
      <c r="AI373" s="453"/>
      <c r="AJ373" s="453"/>
      <c r="AK373" s="453"/>
      <c r="AL373" s="453"/>
      <c r="AM373" s="453"/>
      <c r="AN373" s="453"/>
      <c r="AO373" s="453"/>
      <c r="AP373" s="453"/>
      <c r="AQ373" s="453"/>
      <c r="AR373" s="453"/>
      <c r="AS373" s="453"/>
      <c r="AT373" s="453"/>
      <c r="AU373" s="453"/>
      <c r="AV373" s="453"/>
      <c r="AW373" s="453"/>
      <c r="AX373" s="453"/>
      <c r="AY373" s="453"/>
      <c r="AZ373" s="453"/>
      <c r="BA373" s="532"/>
      <c r="BB373" s="502"/>
      <c r="BC373" s="503"/>
      <c r="BD373" s="453"/>
      <c r="BE373" s="453"/>
      <c r="BF373" s="470"/>
      <c r="BG373" s="453"/>
      <c r="BH373" s="453"/>
      <c r="BI373" s="453"/>
      <c r="BJ373" s="453"/>
      <c r="BK373" s="453"/>
      <c r="BL373" s="453"/>
      <c r="BM373" s="502"/>
      <c r="BN373" s="490"/>
      <c r="BO373" s="470"/>
      <c r="BP373" s="490"/>
      <c r="BQ373" s="453"/>
      <c r="BR373" s="502"/>
      <c r="BS373" s="524"/>
      <c r="BT373" s="530"/>
    </row>
    <row r="374" s="435" customFormat="1" ht="18" customHeight="1" spans="1:72">
      <c r="A374" s="451" t="s">
        <v>4038</v>
      </c>
      <c r="B374" s="456">
        <v>44678</v>
      </c>
      <c r="C374" s="526">
        <v>1000010582</v>
      </c>
      <c r="D374" s="451"/>
      <c r="E374" s="457"/>
      <c r="F374" s="453"/>
      <c r="G374" s="453"/>
      <c r="H374" s="453"/>
      <c r="I374" s="453"/>
      <c r="J374" s="453"/>
      <c r="K374" s="453"/>
      <c r="L374" s="453"/>
      <c r="M374" s="453"/>
      <c r="N374" s="453"/>
      <c r="O374" s="453"/>
      <c r="P374" s="453"/>
      <c r="Q374" s="453"/>
      <c r="R374" s="453"/>
      <c r="S374" s="453"/>
      <c r="T374" s="453"/>
      <c r="U374" s="453"/>
      <c r="V374" s="453"/>
      <c r="W374" s="453"/>
      <c r="X374" s="453"/>
      <c r="Y374" s="453"/>
      <c r="Z374" s="489"/>
      <c r="AA374" s="489"/>
      <c r="AB374" s="490"/>
      <c r="AC374" s="453"/>
      <c r="AD374" s="453"/>
      <c r="AE374" s="453"/>
      <c r="AF374" s="453"/>
      <c r="AG374" s="453"/>
      <c r="AH374" s="453"/>
      <c r="AI374" s="453"/>
      <c r="AJ374" s="453"/>
      <c r="AK374" s="453"/>
      <c r="AL374" s="453"/>
      <c r="AM374" s="453"/>
      <c r="AN374" s="453"/>
      <c r="AO374" s="453"/>
      <c r="AP374" s="453"/>
      <c r="AQ374" s="453"/>
      <c r="AR374" s="453"/>
      <c r="AS374" s="453"/>
      <c r="AT374" s="453"/>
      <c r="AU374" s="453"/>
      <c r="AV374" s="453"/>
      <c r="AW374" s="453"/>
      <c r="AX374" s="453"/>
      <c r="AY374" s="453"/>
      <c r="AZ374" s="453"/>
      <c r="BA374" s="532"/>
      <c r="BB374" s="502"/>
      <c r="BC374" s="503"/>
      <c r="BD374" s="453"/>
      <c r="BE374" s="453"/>
      <c r="BF374" s="470"/>
      <c r="BG374" s="453"/>
      <c r="BH374" s="453"/>
      <c r="BI374" s="453"/>
      <c r="BJ374" s="453"/>
      <c r="BK374" s="453"/>
      <c r="BL374" s="453"/>
      <c r="BM374" s="502"/>
      <c r="BN374" s="490"/>
      <c r="BO374" s="470"/>
      <c r="BP374" s="490"/>
      <c r="BQ374" s="453"/>
      <c r="BR374" s="502"/>
      <c r="BS374" s="524"/>
      <c r="BT374" s="530"/>
    </row>
    <row r="375" s="435" customFormat="1" ht="18" customHeight="1" spans="1:72">
      <c r="A375" s="451" t="s">
        <v>4038</v>
      </c>
      <c r="B375" s="456">
        <v>44678</v>
      </c>
      <c r="C375" s="526">
        <v>1000010583</v>
      </c>
      <c r="D375" s="451"/>
      <c r="E375" s="457"/>
      <c r="F375" s="453"/>
      <c r="G375" s="453"/>
      <c r="H375" s="453"/>
      <c r="I375" s="453"/>
      <c r="J375" s="453"/>
      <c r="K375" s="453"/>
      <c r="L375" s="453"/>
      <c r="M375" s="453"/>
      <c r="N375" s="453"/>
      <c r="O375" s="453"/>
      <c r="P375" s="453"/>
      <c r="Q375" s="453"/>
      <c r="R375" s="453"/>
      <c r="S375" s="453"/>
      <c r="T375" s="453"/>
      <c r="U375" s="453"/>
      <c r="V375" s="453"/>
      <c r="W375" s="453"/>
      <c r="X375" s="453"/>
      <c r="Y375" s="453"/>
      <c r="Z375" s="489"/>
      <c r="AA375" s="489"/>
      <c r="AB375" s="490"/>
      <c r="AC375" s="453"/>
      <c r="AD375" s="453"/>
      <c r="AE375" s="453"/>
      <c r="AF375" s="453"/>
      <c r="AG375" s="453"/>
      <c r="AH375" s="453"/>
      <c r="AI375" s="453"/>
      <c r="AJ375" s="453"/>
      <c r="AK375" s="453"/>
      <c r="AL375" s="453"/>
      <c r="AM375" s="453"/>
      <c r="AN375" s="453"/>
      <c r="AO375" s="453"/>
      <c r="AP375" s="453"/>
      <c r="AQ375" s="453"/>
      <c r="AR375" s="453"/>
      <c r="AS375" s="453"/>
      <c r="AT375" s="453"/>
      <c r="AU375" s="453"/>
      <c r="AV375" s="453"/>
      <c r="AW375" s="453"/>
      <c r="AX375" s="453"/>
      <c r="AY375" s="453"/>
      <c r="AZ375" s="453"/>
      <c r="BA375" s="532"/>
      <c r="BB375" s="502"/>
      <c r="BC375" s="503"/>
      <c r="BD375" s="453"/>
      <c r="BE375" s="453"/>
      <c r="BF375" s="470"/>
      <c r="BG375" s="453"/>
      <c r="BH375" s="453"/>
      <c r="BI375" s="453"/>
      <c r="BJ375" s="453"/>
      <c r="BK375" s="453"/>
      <c r="BL375" s="453"/>
      <c r="BM375" s="502"/>
      <c r="BN375" s="490"/>
      <c r="BO375" s="470"/>
      <c r="BP375" s="490"/>
      <c r="BQ375" s="453"/>
      <c r="BR375" s="502"/>
      <c r="BS375" s="524"/>
      <c r="BT375" s="530"/>
    </row>
    <row r="376" s="435" customFormat="1" ht="18" customHeight="1" spans="1:72">
      <c r="A376" s="451" t="s">
        <v>4038</v>
      </c>
      <c r="B376" s="456">
        <v>44694</v>
      </c>
      <c r="C376" s="526">
        <v>1000010772</v>
      </c>
      <c r="D376" s="451"/>
      <c r="E376" s="457"/>
      <c r="F376" s="453"/>
      <c r="G376" s="453"/>
      <c r="H376" s="453"/>
      <c r="I376" s="453"/>
      <c r="J376" s="453"/>
      <c r="K376" s="453"/>
      <c r="L376" s="453"/>
      <c r="M376" s="453"/>
      <c r="N376" s="453"/>
      <c r="O376" s="453"/>
      <c r="P376" s="453"/>
      <c r="Q376" s="453"/>
      <c r="R376" s="453"/>
      <c r="S376" s="453"/>
      <c r="T376" s="453"/>
      <c r="U376" s="453"/>
      <c r="V376" s="453"/>
      <c r="W376" s="453"/>
      <c r="X376" s="453"/>
      <c r="Y376" s="453"/>
      <c r="Z376" s="489"/>
      <c r="AA376" s="489"/>
      <c r="AB376" s="490"/>
      <c r="AC376" s="453"/>
      <c r="AD376" s="453"/>
      <c r="AE376" s="453"/>
      <c r="AF376" s="453"/>
      <c r="AG376" s="453"/>
      <c r="AH376" s="453"/>
      <c r="AI376" s="453"/>
      <c r="AJ376" s="453"/>
      <c r="AK376" s="453"/>
      <c r="AL376" s="453"/>
      <c r="AM376" s="453"/>
      <c r="AN376" s="453"/>
      <c r="AO376" s="453"/>
      <c r="AP376" s="453"/>
      <c r="AQ376" s="453"/>
      <c r="AR376" s="453"/>
      <c r="AS376" s="453"/>
      <c r="AT376" s="453"/>
      <c r="AU376" s="453"/>
      <c r="AV376" s="453"/>
      <c r="AW376" s="453"/>
      <c r="AX376" s="453"/>
      <c r="AY376" s="453"/>
      <c r="AZ376" s="453"/>
      <c r="BA376" s="532"/>
      <c r="BB376" s="502"/>
      <c r="BC376" s="503"/>
      <c r="BD376" s="453"/>
      <c r="BE376" s="453"/>
      <c r="BF376" s="470"/>
      <c r="BG376" s="453"/>
      <c r="BH376" s="453"/>
      <c r="BI376" s="453"/>
      <c r="BJ376" s="453"/>
      <c r="BK376" s="453"/>
      <c r="BL376" s="453"/>
      <c r="BM376" s="502"/>
      <c r="BN376" s="490"/>
      <c r="BO376" s="470"/>
      <c r="BP376" s="490"/>
      <c r="BQ376" s="453"/>
      <c r="BR376" s="502"/>
      <c r="BS376" s="524"/>
      <c r="BT376" s="530"/>
    </row>
    <row r="377" s="435" customFormat="1" ht="18" customHeight="1" spans="1:72">
      <c r="A377" s="451" t="s">
        <v>4038</v>
      </c>
      <c r="B377" s="456">
        <v>44694</v>
      </c>
      <c r="C377" s="526">
        <v>1000010773</v>
      </c>
      <c r="D377" s="451"/>
      <c r="E377" s="457"/>
      <c r="F377" s="453"/>
      <c r="G377" s="453"/>
      <c r="H377" s="453"/>
      <c r="I377" s="453"/>
      <c r="J377" s="453"/>
      <c r="K377" s="453"/>
      <c r="L377" s="453"/>
      <c r="M377" s="453"/>
      <c r="N377" s="453"/>
      <c r="O377" s="453"/>
      <c r="P377" s="453"/>
      <c r="Q377" s="453"/>
      <c r="R377" s="453"/>
      <c r="S377" s="453"/>
      <c r="T377" s="453"/>
      <c r="U377" s="453"/>
      <c r="V377" s="453"/>
      <c r="W377" s="453"/>
      <c r="X377" s="453"/>
      <c r="Y377" s="453"/>
      <c r="Z377" s="489"/>
      <c r="AA377" s="489"/>
      <c r="AB377" s="490"/>
      <c r="AC377" s="453"/>
      <c r="AD377" s="453"/>
      <c r="AE377" s="453"/>
      <c r="AF377" s="453"/>
      <c r="AG377" s="453"/>
      <c r="AH377" s="453"/>
      <c r="AI377" s="453"/>
      <c r="AJ377" s="453"/>
      <c r="AK377" s="453"/>
      <c r="AL377" s="453"/>
      <c r="AM377" s="453"/>
      <c r="AN377" s="453"/>
      <c r="AO377" s="453"/>
      <c r="AP377" s="453"/>
      <c r="AQ377" s="453"/>
      <c r="AR377" s="453"/>
      <c r="AS377" s="453"/>
      <c r="AT377" s="453"/>
      <c r="AU377" s="453"/>
      <c r="AV377" s="453"/>
      <c r="AW377" s="453"/>
      <c r="AX377" s="453"/>
      <c r="AY377" s="453"/>
      <c r="AZ377" s="453"/>
      <c r="BA377" s="532"/>
      <c r="BB377" s="502"/>
      <c r="BC377" s="503"/>
      <c r="BD377" s="453"/>
      <c r="BE377" s="453"/>
      <c r="BF377" s="470"/>
      <c r="BG377" s="453"/>
      <c r="BH377" s="453"/>
      <c r="BI377" s="453"/>
      <c r="BJ377" s="453"/>
      <c r="BK377" s="453"/>
      <c r="BL377" s="453"/>
      <c r="BM377" s="502"/>
      <c r="BN377" s="490"/>
      <c r="BO377" s="470"/>
      <c r="BP377" s="490"/>
      <c r="BQ377" s="453"/>
      <c r="BR377" s="502"/>
      <c r="BS377" s="524"/>
      <c r="BT377" s="530"/>
    </row>
    <row r="378" s="435" customFormat="1" ht="18" customHeight="1" spans="1:72">
      <c r="A378" s="451" t="s">
        <v>4038</v>
      </c>
      <c r="B378" s="456">
        <v>44694</v>
      </c>
      <c r="C378" s="526">
        <v>1000010774</v>
      </c>
      <c r="D378" s="451"/>
      <c r="E378" s="457"/>
      <c r="F378" s="453"/>
      <c r="G378" s="453"/>
      <c r="H378" s="453"/>
      <c r="I378" s="453"/>
      <c r="J378" s="453"/>
      <c r="K378" s="453"/>
      <c r="L378" s="453"/>
      <c r="M378" s="453"/>
      <c r="N378" s="453"/>
      <c r="O378" s="453"/>
      <c r="P378" s="453"/>
      <c r="Q378" s="453"/>
      <c r="R378" s="453"/>
      <c r="S378" s="453"/>
      <c r="T378" s="453"/>
      <c r="U378" s="453"/>
      <c r="V378" s="453"/>
      <c r="W378" s="453"/>
      <c r="X378" s="453"/>
      <c r="Y378" s="453"/>
      <c r="Z378" s="489"/>
      <c r="AA378" s="489"/>
      <c r="AB378" s="490"/>
      <c r="AC378" s="453"/>
      <c r="AD378" s="453"/>
      <c r="AE378" s="453"/>
      <c r="AF378" s="453"/>
      <c r="AG378" s="453"/>
      <c r="AH378" s="453"/>
      <c r="AI378" s="453"/>
      <c r="AJ378" s="453"/>
      <c r="AK378" s="453"/>
      <c r="AL378" s="453"/>
      <c r="AM378" s="453"/>
      <c r="AN378" s="453"/>
      <c r="AO378" s="453"/>
      <c r="AP378" s="453"/>
      <c r="AQ378" s="453"/>
      <c r="AR378" s="453"/>
      <c r="AS378" s="453"/>
      <c r="AT378" s="453"/>
      <c r="AU378" s="453"/>
      <c r="AV378" s="453"/>
      <c r="AW378" s="453"/>
      <c r="AX378" s="453"/>
      <c r="AY378" s="453"/>
      <c r="AZ378" s="453"/>
      <c r="BA378" s="532"/>
      <c r="BB378" s="502"/>
      <c r="BC378" s="503"/>
      <c r="BD378" s="453"/>
      <c r="BE378" s="453"/>
      <c r="BF378" s="470"/>
      <c r="BG378" s="453"/>
      <c r="BH378" s="453"/>
      <c r="BI378" s="453"/>
      <c r="BJ378" s="453"/>
      <c r="BK378" s="453"/>
      <c r="BL378" s="453"/>
      <c r="BM378" s="502"/>
      <c r="BN378" s="490"/>
      <c r="BO378" s="470"/>
      <c r="BP378" s="490"/>
      <c r="BQ378" s="453"/>
      <c r="BR378" s="502"/>
      <c r="BS378" s="524"/>
      <c r="BT378" s="530"/>
    </row>
    <row r="379" s="435" customFormat="1" ht="18" customHeight="1" spans="1:72">
      <c r="A379" s="451" t="s">
        <v>4038</v>
      </c>
      <c r="B379" s="456">
        <v>44694</v>
      </c>
      <c r="C379" s="526">
        <v>1000010775</v>
      </c>
      <c r="D379" s="451"/>
      <c r="E379" s="457"/>
      <c r="F379" s="453"/>
      <c r="G379" s="453"/>
      <c r="H379" s="453"/>
      <c r="I379" s="453"/>
      <c r="J379" s="453"/>
      <c r="K379" s="453"/>
      <c r="L379" s="453"/>
      <c r="M379" s="453"/>
      <c r="N379" s="453"/>
      <c r="O379" s="453"/>
      <c r="P379" s="453"/>
      <c r="Q379" s="453"/>
      <c r="R379" s="453"/>
      <c r="S379" s="453"/>
      <c r="T379" s="453"/>
      <c r="U379" s="453"/>
      <c r="V379" s="453"/>
      <c r="W379" s="453"/>
      <c r="X379" s="453"/>
      <c r="Y379" s="453"/>
      <c r="Z379" s="489"/>
      <c r="AA379" s="489"/>
      <c r="AB379" s="490"/>
      <c r="AC379" s="453"/>
      <c r="AD379" s="453"/>
      <c r="AE379" s="453"/>
      <c r="AF379" s="453"/>
      <c r="AG379" s="453"/>
      <c r="AH379" s="453"/>
      <c r="AI379" s="453"/>
      <c r="AJ379" s="453"/>
      <c r="AK379" s="453"/>
      <c r="AL379" s="453"/>
      <c r="AM379" s="453"/>
      <c r="AN379" s="453"/>
      <c r="AO379" s="453"/>
      <c r="AP379" s="453"/>
      <c r="AQ379" s="453"/>
      <c r="AR379" s="453"/>
      <c r="AS379" s="453"/>
      <c r="AT379" s="453"/>
      <c r="AU379" s="453"/>
      <c r="AV379" s="453"/>
      <c r="AW379" s="453"/>
      <c r="AX379" s="453"/>
      <c r="AY379" s="453"/>
      <c r="AZ379" s="453"/>
      <c r="BA379" s="532"/>
      <c r="BB379" s="502"/>
      <c r="BC379" s="503"/>
      <c r="BD379" s="453"/>
      <c r="BE379" s="453"/>
      <c r="BF379" s="470"/>
      <c r="BG379" s="453"/>
      <c r="BH379" s="453"/>
      <c r="BI379" s="453"/>
      <c r="BJ379" s="453"/>
      <c r="BK379" s="453"/>
      <c r="BL379" s="453"/>
      <c r="BM379" s="502"/>
      <c r="BN379" s="490"/>
      <c r="BO379" s="470"/>
      <c r="BP379" s="490"/>
      <c r="BQ379" s="453"/>
      <c r="BR379" s="502"/>
      <c r="BS379" s="524"/>
      <c r="BT379" s="530"/>
    </row>
    <row r="380" s="435" customFormat="1" ht="18" customHeight="1" spans="1:72">
      <c r="A380" s="451" t="s">
        <v>4038</v>
      </c>
      <c r="B380" s="456">
        <v>44700</v>
      </c>
      <c r="C380" s="534">
        <v>1000010864</v>
      </c>
      <c r="D380" s="451"/>
      <c r="E380" s="457"/>
      <c r="F380" s="453"/>
      <c r="G380" s="453"/>
      <c r="H380" s="453"/>
      <c r="I380" s="453"/>
      <c r="J380" s="453"/>
      <c r="K380" s="453"/>
      <c r="L380" s="453">
        <v>1000</v>
      </c>
      <c r="M380" s="453"/>
      <c r="N380" s="453"/>
      <c r="O380" s="453"/>
      <c r="P380" s="453"/>
      <c r="Q380" s="453"/>
      <c r="R380" s="453"/>
      <c r="S380" s="453"/>
      <c r="T380" s="453"/>
      <c r="U380" s="453"/>
      <c r="V380" s="453"/>
      <c r="W380" s="453"/>
      <c r="X380" s="453"/>
      <c r="Y380" s="453"/>
      <c r="Z380" s="489"/>
      <c r="AA380" s="489"/>
      <c r="AB380" s="490"/>
      <c r="AC380" s="453"/>
      <c r="AD380" s="453"/>
      <c r="AE380" s="453"/>
      <c r="AF380" s="453"/>
      <c r="AG380" s="453"/>
      <c r="AH380" s="453"/>
      <c r="AI380" s="453"/>
      <c r="AJ380" s="453"/>
      <c r="AK380" s="453"/>
      <c r="AL380" s="453"/>
      <c r="AM380" s="453"/>
      <c r="AN380" s="453"/>
      <c r="AO380" s="453"/>
      <c r="AP380" s="453"/>
      <c r="AQ380" s="453"/>
      <c r="AR380" s="453"/>
      <c r="AS380" s="453"/>
      <c r="AT380" s="453"/>
      <c r="AU380" s="453"/>
      <c r="AV380" s="453"/>
      <c r="AW380" s="453"/>
      <c r="AX380" s="453"/>
      <c r="AY380" s="453"/>
      <c r="AZ380" s="453"/>
      <c r="BA380" s="532"/>
      <c r="BB380" s="502"/>
      <c r="BC380" s="503"/>
      <c r="BD380" s="453"/>
      <c r="BE380" s="453"/>
      <c r="BF380" s="470"/>
      <c r="BG380" s="453"/>
      <c r="BH380" s="453"/>
      <c r="BI380" s="453"/>
      <c r="BJ380" s="453"/>
      <c r="BK380" s="453"/>
      <c r="BL380" s="453"/>
      <c r="BM380" s="502"/>
      <c r="BN380" s="490"/>
      <c r="BO380" s="470"/>
      <c r="BP380" s="490"/>
      <c r="BQ380" s="453"/>
      <c r="BR380" s="502"/>
      <c r="BS380" s="524"/>
      <c r="BT380" s="530"/>
    </row>
    <row r="381" s="435" customFormat="1" ht="18" customHeight="1" spans="1:72">
      <c r="A381" s="451" t="s">
        <v>4038</v>
      </c>
      <c r="B381" s="456">
        <v>44700</v>
      </c>
      <c r="C381" s="534">
        <v>1000010865</v>
      </c>
      <c r="D381" s="451"/>
      <c r="E381" s="457"/>
      <c r="F381" s="453"/>
      <c r="G381" s="453"/>
      <c r="H381" s="453"/>
      <c r="I381" s="453"/>
      <c r="J381" s="453"/>
      <c r="K381" s="453"/>
      <c r="L381" s="453"/>
      <c r="M381" s="453"/>
      <c r="N381" s="453"/>
      <c r="O381" s="453"/>
      <c r="P381" s="453"/>
      <c r="Q381" s="453"/>
      <c r="R381" s="453"/>
      <c r="S381" s="453"/>
      <c r="T381" s="453"/>
      <c r="U381" s="453"/>
      <c r="V381" s="453"/>
      <c r="W381" s="453"/>
      <c r="X381" s="453"/>
      <c r="Y381" s="453"/>
      <c r="Z381" s="489"/>
      <c r="AA381" s="489"/>
      <c r="AB381" s="490"/>
      <c r="AC381" s="453"/>
      <c r="AD381" s="453"/>
      <c r="AE381" s="453"/>
      <c r="AF381" s="453"/>
      <c r="AG381" s="453"/>
      <c r="AH381" s="453"/>
      <c r="AI381" s="453">
        <v>2400</v>
      </c>
      <c r="AJ381" s="453"/>
      <c r="AK381" s="453"/>
      <c r="AL381" s="453"/>
      <c r="AM381" s="453"/>
      <c r="AN381" s="453"/>
      <c r="AO381" s="453"/>
      <c r="AP381" s="453"/>
      <c r="AQ381" s="453"/>
      <c r="AR381" s="453"/>
      <c r="AS381" s="453"/>
      <c r="AT381" s="453"/>
      <c r="AU381" s="453"/>
      <c r="AV381" s="453"/>
      <c r="AW381" s="453"/>
      <c r="AX381" s="453"/>
      <c r="AY381" s="453"/>
      <c r="AZ381" s="453"/>
      <c r="BA381" s="532"/>
      <c r="BB381" s="502"/>
      <c r="BC381" s="503"/>
      <c r="BD381" s="453"/>
      <c r="BE381" s="453"/>
      <c r="BF381" s="470"/>
      <c r="BG381" s="453"/>
      <c r="BH381" s="453"/>
      <c r="BI381" s="453"/>
      <c r="BJ381" s="453"/>
      <c r="BK381" s="453"/>
      <c r="BL381" s="453"/>
      <c r="BM381" s="502"/>
      <c r="BN381" s="490"/>
      <c r="BO381" s="470"/>
      <c r="BP381" s="490"/>
      <c r="BQ381" s="453"/>
      <c r="BR381" s="502"/>
      <c r="BS381" s="524"/>
      <c r="BT381" s="530"/>
    </row>
    <row r="382" s="435" customFormat="1" ht="18" customHeight="1" spans="1:72">
      <c r="A382" s="451" t="s">
        <v>4038</v>
      </c>
      <c r="B382" s="456">
        <v>44700</v>
      </c>
      <c r="C382" s="534">
        <v>1000010866</v>
      </c>
      <c r="D382" s="451"/>
      <c r="E382" s="457"/>
      <c r="F382" s="453"/>
      <c r="G382" s="453"/>
      <c r="H382" s="453"/>
      <c r="I382" s="453"/>
      <c r="J382" s="453"/>
      <c r="K382" s="453"/>
      <c r="L382" s="453"/>
      <c r="M382" s="453"/>
      <c r="N382" s="453"/>
      <c r="O382" s="453"/>
      <c r="P382" s="453"/>
      <c r="Q382" s="453"/>
      <c r="R382" s="453"/>
      <c r="S382" s="453"/>
      <c r="T382" s="453"/>
      <c r="U382" s="453"/>
      <c r="V382" s="453"/>
      <c r="W382" s="453"/>
      <c r="X382" s="453"/>
      <c r="Y382" s="453"/>
      <c r="Z382" s="489"/>
      <c r="AA382" s="489"/>
      <c r="AB382" s="490"/>
      <c r="AC382" s="453"/>
      <c r="AD382" s="453"/>
      <c r="AE382" s="453"/>
      <c r="AF382" s="453"/>
      <c r="AG382" s="453"/>
      <c r="AH382" s="453"/>
      <c r="AI382" s="453"/>
      <c r="AJ382" s="453"/>
      <c r="AK382" s="453"/>
      <c r="AL382" s="453"/>
      <c r="AM382" s="453"/>
      <c r="AN382" s="453"/>
      <c r="AO382" s="453"/>
      <c r="AP382" s="453"/>
      <c r="AQ382" s="453"/>
      <c r="AR382" s="453">
        <v>40000</v>
      </c>
      <c r="AS382" s="453"/>
      <c r="AT382" s="453"/>
      <c r="AU382" s="453"/>
      <c r="AV382" s="453"/>
      <c r="AW382" s="453"/>
      <c r="AX382" s="453"/>
      <c r="AY382" s="453"/>
      <c r="AZ382" s="453"/>
      <c r="BA382" s="532"/>
      <c r="BB382" s="502"/>
      <c r="BC382" s="503"/>
      <c r="BD382" s="453"/>
      <c r="BE382" s="453"/>
      <c r="BF382" s="470"/>
      <c r="BG382" s="453"/>
      <c r="BH382" s="453"/>
      <c r="BI382" s="453"/>
      <c r="BJ382" s="453"/>
      <c r="BK382" s="453"/>
      <c r="BL382" s="453"/>
      <c r="BM382" s="502"/>
      <c r="BN382" s="490"/>
      <c r="BO382" s="470"/>
      <c r="BP382" s="490"/>
      <c r="BQ382" s="453"/>
      <c r="BR382" s="502"/>
      <c r="BS382" s="524"/>
      <c r="BT382" s="530"/>
    </row>
    <row r="383" s="435" customFormat="1" ht="18" customHeight="1" spans="1:72">
      <c r="A383" s="451" t="s">
        <v>4038</v>
      </c>
      <c r="B383" s="456">
        <v>44700</v>
      </c>
      <c r="C383" s="534">
        <v>1000010867</v>
      </c>
      <c r="D383" s="451"/>
      <c r="E383" s="457"/>
      <c r="F383" s="453"/>
      <c r="G383" s="453"/>
      <c r="H383" s="453"/>
      <c r="I383" s="453"/>
      <c r="J383" s="453"/>
      <c r="K383" s="453"/>
      <c r="L383" s="453"/>
      <c r="M383" s="453"/>
      <c r="N383" s="453"/>
      <c r="O383" s="453"/>
      <c r="P383" s="453"/>
      <c r="Q383" s="453"/>
      <c r="R383" s="453"/>
      <c r="S383" s="453"/>
      <c r="T383" s="453"/>
      <c r="U383" s="453"/>
      <c r="V383" s="453"/>
      <c r="W383" s="453"/>
      <c r="X383" s="453"/>
      <c r="Y383" s="453"/>
      <c r="Z383" s="489"/>
      <c r="AA383" s="489"/>
      <c r="AB383" s="490"/>
      <c r="AC383" s="453"/>
      <c r="AD383" s="453">
        <v>75000</v>
      </c>
      <c r="AE383" s="453"/>
      <c r="AF383" s="453"/>
      <c r="AG383" s="453"/>
      <c r="AH383" s="453"/>
      <c r="AI383" s="453"/>
      <c r="AJ383" s="453"/>
      <c r="AK383" s="453"/>
      <c r="AL383" s="453"/>
      <c r="AM383" s="453"/>
      <c r="AN383" s="453"/>
      <c r="AO383" s="453"/>
      <c r="AP383" s="453"/>
      <c r="AQ383" s="453"/>
      <c r="AR383" s="453"/>
      <c r="AS383" s="453"/>
      <c r="AT383" s="453"/>
      <c r="AU383" s="453"/>
      <c r="AV383" s="453"/>
      <c r="AW383" s="453"/>
      <c r="AX383" s="453"/>
      <c r="AY383" s="453"/>
      <c r="AZ383" s="453"/>
      <c r="BA383" s="532"/>
      <c r="BB383" s="502"/>
      <c r="BC383" s="503"/>
      <c r="BD383" s="453"/>
      <c r="BE383" s="453"/>
      <c r="BF383" s="470"/>
      <c r="BG383" s="453"/>
      <c r="BH383" s="453"/>
      <c r="BI383" s="453"/>
      <c r="BJ383" s="453"/>
      <c r="BK383" s="453"/>
      <c r="BL383" s="453"/>
      <c r="BM383" s="502"/>
      <c r="BN383" s="490"/>
      <c r="BO383" s="470"/>
      <c r="BP383" s="490"/>
      <c r="BQ383" s="453"/>
      <c r="BR383" s="502"/>
      <c r="BS383" s="524"/>
      <c r="BT383" s="530"/>
    </row>
    <row r="384" s="435" customFormat="1" ht="18" customHeight="1" spans="1:72">
      <c r="A384" s="451" t="s">
        <v>4038</v>
      </c>
      <c r="B384" s="456">
        <v>44700</v>
      </c>
      <c r="C384" s="534">
        <v>1000010868</v>
      </c>
      <c r="D384" s="451"/>
      <c r="E384" s="457"/>
      <c r="F384" s="453"/>
      <c r="G384" s="453"/>
      <c r="H384" s="453"/>
      <c r="I384" s="453"/>
      <c r="J384" s="453"/>
      <c r="K384" s="453"/>
      <c r="L384" s="453"/>
      <c r="M384" s="453"/>
      <c r="N384" s="453"/>
      <c r="O384" s="453"/>
      <c r="P384" s="453"/>
      <c r="Q384" s="453"/>
      <c r="R384" s="453"/>
      <c r="S384" s="453"/>
      <c r="T384" s="453"/>
      <c r="U384" s="453"/>
      <c r="V384" s="453"/>
      <c r="W384" s="453"/>
      <c r="X384" s="453"/>
      <c r="Y384" s="453"/>
      <c r="Z384" s="489"/>
      <c r="AA384" s="489"/>
      <c r="AB384" s="490"/>
      <c r="AC384" s="453"/>
      <c r="AD384" s="453"/>
      <c r="AE384" s="453"/>
      <c r="AF384" s="453"/>
      <c r="AG384" s="453"/>
      <c r="AH384" s="453"/>
      <c r="AI384" s="453"/>
      <c r="AJ384" s="453"/>
      <c r="AK384" s="453"/>
      <c r="AL384" s="453"/>
      <c r="AM384" s="453"/>
      <c r="AN384" s="453"/>
      <c r="AO384" s="453">
        <v>79000</v>
      </c>
      <c r="AP384" s="453"/>
      <c r="AQ384" s="453"/>
      <c r="AR384" s="453"/>
      <c r="AS384" s="453"/>
      <c r="AT384" s="453"/>
      <c r="AU384" s="453"/>
      <c r="AV384" s="453"/>
      <c r="AW384" s="453"/>
      <c r="AX384" s="453"/>
      <c r="AY384" s="453"/>
      <c r="AZ384" s="453"/>
      <c r="BA384" s="532"/>
      <c r="BB384" s="502"/>
      <c r="BC384" s="503"/>
      <c r="BD384" s="453"/>
      <c r="BE384" s="453"/>
      <c r="BF384" s="470"/>
      <c r="BG384" s="453"/>
      <c r="BH384" s="453"/>
      <c r="BI384" s="453"/>
      <c r="BJ384" s="453"/>
      <c r="BK384" s="453"/>
      <c r="BL384" s="453"/>
      <c r="BM384" s="502"/>
      <c r="BN384" s="490"/>
      <c r="BO384" s="470"/>
      <c r="BP384" s="490"/>
      <c r="BQ384" s="453"/>
      <c r="BR384" s="502"/>
      <c r="BS384" s="524"/>
      <c r="BT384" s="530"/>
    </row>
    <row r="385" s="435" customFormat="1" ht="18" customHeight="1" spans="1:72">
      <c r="A385" s="451" t="s">
        <v>4038</v>
      </c>
      <c r="B385" s="456">
        <v>44700</v>
      </c>
      <c r="C385" s="534">
        <v>1000010869</v>
      </c>
      <c r="D385" s="451"/>
      <c r="E385" s="457"/>
      <c r="F385" s="453"/>
      <c r="G385" s="453"/>
      <c r="H385" s="453"/>
      <c r="I385" s="453"/>
      <c r="J385" s="453"/>
      <c r="K385" s="453"/>
      <c r="L385" s="453"/>
      <c r="M385" s="453"/>
      <c r="N385" s="453"/>
      <c r="O385" s="453"/>
      <c r="P385" s="453"/>
      <c r="Q385" s="453"/>
      <c r="R385" s="453"/>
      <c r="S385" s="453"/>
      <c r="T385" s="453"/>
      <c r="U385" s="453"/>
      <c r="V385" s="453"/>
      <c r="W385" s="453"/>
      <c r="X385" s="453"/>
      <c r="Y385" s="453"/>
      <c r="Z385" s="489"/>
      <c r="AA385" s="489"/>
      <c r="AB385" s="490"/>
      <c r="AC385" s="453"/>
      <c r="AD385" s="453"/>
      <c r="AE385" s="453"/>
      <c r="AF385" s="453"/>
      <c r="AG385" s="453"/>
      <c r="AH385" s="453"/>
      <c r="AI385" s="453"/>
      <c r="AJ385" s="453"/>
      <c r="AK385" s="453"/>
      <c r="AL385" s="453"/>
      <c r="AM385" s="453"/>
      <c r="AN385" s="453"/>
      <c r="AO385" s="453"/>
      <c r="AP385" s="453"/>
      <c r="AQ385" s="453"/>
      <c r="AR385" s="453"/>
      <c r="AS385" s="453"/>
      <c r="AT385" s="453"/>
      <c r="AU385" s="453"/>
      <c r="AV385" s="453"/>
      <c r="AW385" s="453"/>
      <c r="AX385" s="453"/>
      <c r="AY385" s="453"/>
      <c r="AZ385" s="453"/>
      <c r="BA385" s="532"/>
      <c r="BB385" s="502"/>
      <c r="BC385" s="503"/>
      <c r="BD385" s="453"/>
      <c r="BE385" s="453"/>
      <c r="BF385" s="470"/>
      <c r="BG385" s="453"/>
      <c r="BH385" s="453"/>
      <c r="BI385" s="453"/>
      <c r="BJ385" s="453"/>
      <c r="BK385" s="453"/>
      <c r="BL385" s="453"/>
      <c r="BM385" s="502"/>
      <c r="BN385" s="490"/>
      <c r="BO385" s="470"/>
      <c r="BP385" s="490"/>
      <c r="BQ385" s="453"/>
      <c r="BR385" s="502"/>
      <c r="BS385" s="524"/>
      <c r="BT385" s="530"/>
    </row>
    <row r="386" s="435" customFormat="1" ht="18" customHeight="1" spans="1:72">
      <c r="A386" s="542" t="s">
        <v>4032</v>
      </c>
      <c r="B386" s="543">
        <v>44705</v>
      </c>
      <c r="C386" s="534">
        <v>1000010903</v>
      </c>
      <c r="D386" s="451"/>
      <c r="E386" s="457"/>
      <c r="F386" s="453"/>
      <c r="G386" s="453"/>
      <c r="H386" s="453"/>
      <c r="I386" s="453"/>
      <c r="J386" s="453"/>
      <c r="K386" s="453"/>
      <c r="L386" s="453"/>
      <c r="M386" s="453"/>
      <c r="N386" s="453"/>
      <c r="O386" s="453"/>
      <c r="P386" s="453"/>
      <c r="Q386" s="453"/>
      <c r="R386" s="453"/>
      <c r="S386" s="453"/>
      <c r="T386" s="453"/>
      <c r="U386" s="453"/>
      <c r="V386" s="453"/>
      <c r="W386" s="453"/>
      <c r="X386" s="453"/>
      <c r="Y386" s="453"/>
      <c r="Z386" s="489"/>
      <c r="AA386" s="489"/>
      <c r="AB386" s="490"/>
      <c r="AC386" s="453"/>
      <c r="AD386" s="453"/>
      <c r="AE386" s="453"/>
      <c r="AF386" s="453"/>
      <c r="AG386" s="453"/>
      <c r="AH386" s="453"/>
      <c r="AI386" s="453"/>
      <c r="AJ386" s="453"/>
      <c r="AK386" s="453"/>
      <c r="AL386" s="453"/>
      <c r="AM386" s="453"/>
      <c r="AN386" s="453"/>
      <c r="AO386" s="453"/>
      <c r="AP386" s="453"/>
      <c r="AQ386" s="453"/>
      <c r="AR386" s="453"/>
      <c r="AS386" s="453"/>
      <c r="AT386" s="453"/>
      <c r="AU386" s="453"/>
      <c r="AV386" s="453"/>
      <c r="AW386" s="453"/>
      <c r="AX386" s="453"/>
      <c r="AY386" s="453"/>
      <c r="AZ386" s="453"/>
      <c r="BA386" s="532"/>
      <c r="BB386" s="502"/>
      <c r="BC386" s="503"/>
      <c r="BD386" s="453"/>
      <c r="BE386" s="453"/>
      <c r="BF386" s="470"/>
      <c r="BG386" s="453"/>
      <c r="BH386" s="453"/>
      <c r="BI386" s="453"/>
      <c r="BJ386" s="453"/>
      <c r="BK386" s="453"/>
      <c r="BL386" s="453"/>
      <c r="BM386" s="502"/>
      <c r="BN386" s="490"/>
      <c r="BO386" s="470"/>
      <c r="BP386" s="490"/>
      <c r="BQ386" s="453"/>
      <c r="BR386" s="502"/>
      <c r="BS386" s="524"/>
      <c r="BT386" s="530"/>
    </row>
    <row r="387" s="435" customFormat="1" ht="18" customHeight="1" spans="1:72">
      <c r="A387" s="542" t="s">
        <v>4032</v>
      </c>
      <c r="B387" s="543">
        <v>44705</v>
      </c>
      <c r="C387" s="534">
        <v>1000010904</v>
      </c>
      <c r="D387" s="451"/>
      <c r="E387" s="457"/>
      <c r="F387" s="453"/>
      <c r="G387" s="453"/>
      <c r="H387" s="453"/>
      <c r="I387" s="453"/>
      <c r="J387" s="453"/>
      <c r="K387" s="453"/>
      <c r="L387" s="453"/>
      <c r="M387" s="453"/>
      <c r="N387" s="453"/>
      <c r="O387" s="453"/>
      <c r="P387" s="453"/>
      <c r="Q387" s="453"/>
      <c r="R387" s="453"/>
      <c r="S387" s="453"/>
      <c r="T387" s="453"/>
      <c r="U387" s="453"/>
      <c r="V387" s="453"/>
      <c r="W387" s="453"/>
      <c r="X387" s="453"/>
      <c r="Y387" s="453"/>
      <c r="Z387" s="489"/>
      <c r="AA387" s="489"/>
      <c r="AB387" s="490"/>
      <c r="AC387" s="453"/>
      <c r="AD387" s="453"/>
      <c r="AE387" s="453"/>
      <c r="AF387" s="453"/>
      <c r="AG387" s="453"/>
      <c r="AH387" s="453"/>
      <c r="AI387" s="453"/>
      <c r="AJ387" s="453"/>
      <c r="AK387" s="453"/>
      <c r="AL387" s="453"/>
      <c r="AM387" s="453"/>
      <c r="AN387" s="453"/>
      <c r="AO387" s="453"/>
      <c r="AP387" s="453"/>
      <c r="AQ387" s="453"/>
      <c r="AR387" s="453"/>
      <c r="AS387" s="453"/>
      <c r="AT387" s="453"/>
      <c r="AU387" s="453"/>
      <c r="AV387" s="453"/>
      <c r="AW387" s="453"/>
      <c r="AX387" s="453"/>
      <c r="AY387" s="453"/>
      <c r="AZ387" s="453"/>
      <c r="BA387" s="532"/>
      <c r="BB387" s="502"/>
      <c r="BC387" s="503"/>
      <c r="BD387" s="453"/>
      <c r="BE387" s="453"/>
      <c r="BF387" s="470"/>
      <c r="BG387" s="453"/>
      <c r="BH387" s="453"/>
      <c r="BI387" s="453"/>
      <c r="BJ387" s="453"/>
      <c r="BK387" s="453"/>
      <c r="BL387" s="453"/>
      <c r="BM387" s="502"/>
      <c r="BN387" s="490"/>
      <c r="BO387" s="564"/>
      <c r="BP387" s="490"/>
      <c r="BQ387" s="453"/>
      <c r="BR387" s="502"/>
      <c r="BS387" s="524"/>
      <c r="BT387" s="530"/>
    </row>
    <row r="388" s="435" customFormat="1" ht="18" customHeight="1" spans="1:72">
      <c r="A388" s="542" t="s">
        <v>4032</v>
      </c>
      <c r="B388" s="543">
        <v>44705</v>
      </c>
      <c r="C388" s="534">
        <v>1000010905</v>
      </c>
      <c r="D388" s="451"/>
      <c r="E388" s="457"/>
      <c r="F388" s="453"/>
      <c r="G388" s="453"/>
      <c r="H388" s="453"/>
      <c r="I388" s="453"/>
      <c r="J388" s="453"/>
      <c r="K388" s="453"/>
      <c r="L388" s="453"/>
      <c r="M388" s="453"/>
      <c r="N388" s="453"/>
      <c r="O388" s="453"/>
      <c r="P388" s="453"/>
      <c r="Q388" s="453"/>
      <c r="R388" s="453"/>
      <c r="S388" s="453"/>
      <c r="T388" s="453"/>
      <c r="U388" s="453"/>
      <c r="V388" s="453"/>
      <c r="W388" s="453"/>
      <c r="X388" s="453"/>
      <c r="Y388" s="453"/>
      <c r="Z388" s="489"/>
      <c r="AA388" s="489"/>
      <c r="AB388" s="490"/>
      <c r="AC388" s="453"/>
      <c r="AD388" s="453"/>
      <c r="AE388" s="453"/>
      <c r="AF388" s="453"/>
      <c r="AG388" s="453"/>
      <c r="AH388" s="453"/>
      <c r="AI388" s="453"/>
      <c r="AJ388" s="453"/>
      <c r="AK388" s="453"/>
      <c r="AL388" s="453"/>
      <c r="AM388" s="453"/>
      <c r="AN388" s="453"/>
      <c r="AO388" s="453"/>
      <c r="AP388" s="453"/>
      <c r="AQ388" s="453"/>
      <c r="AR388" s="453"/>
      <c r="AS388" s="453"/>
      <c r="AT388" s="453"/>
      <c r="AU388" s="453"/>
      <c r="AV388" s="453"/>
      <c r="AW388" s="453"/>
      <c r="AX388" s="453"/>
      <c r="AY388" s="453"/>
      <c r="AZ388" s="453"/>
      <c r="BA388" s="532"/>
      <c r="BB388" s="502"/>
      <c r="BC388" s="503"/>
      <c r="BD388" s="453"/>
      <c r="BE388" s="453"/>
      <c r="BF388" s="470"/>
      <c r="BG388" s="453"/>
      <c r="BH388" s="453"/>
      <c r="BI388" s="453"/>
      <c r="BJ388" s="453"/>
      <c r="BK388" s="453"/>
      <c r="BL388" s="453"/>
      <c r="BM388" s="502"/>
      <c r="BN388" s="565"/>
      <c r="BO388" s="564"/>
      <c r="BP388" s="490"/>
      <c r="BQ388" s="453"/>
      <c r="BR388" s="502"/>
      <c r="BS388" s="524"/>
      <c r="BT388" s="530"/>
    </row>
    <row r="389" s="435" customFormat="1" ht="18" customHeight="1" spans="1:72">
      <c r="A389" s="542" t="s">
        <v>4032</v>
      </c>
      <c r="B389" s="543">
        <v>44705</v>
      </c>
      <c r="C389" s="534">
        <v>1000010906</v>
      </c>
      <c r="D389" s="451"/>
      <c r="E389" s="457"/>
      <c r="F389" s="453"/>
      <c r="G389" s="453"/>
      <c r="H389" s="453"/>
      <c r="I389" s="453"/>
      <c r="J389" s="453"/>
      <c r="K389" s="453"/>
      <c r="L389" s="453"/>
      <c r="M389" s="453"/>
      <c r="N389" s="453"/>
      <c r="O389" s="453"/>
      <c r="P389" s="453"/>
      <c r="Q389" s="453"/>
      <c r="R389" s="453"/>
      <c r="S389" s="453"/>
      <c r="T389" s="453"/>
      <c r="U389" s="453"/>
      <c r="V389" s="453"/>
      <c r="W389" s="453"/>
      <c r="X389" s="453"/>
      <c r="Y389" s="453"/>
      <c r="Z389" s="489"/>
      <c r="AA389" s="489"/>
      <c r="AB389" s="490"/>
      <c r="AC389" s="453"/>
      <c r="AD389" s="453"/>
      <c r="AE389" s="453"/>
      <c r="AF389" s="453"/>
      <c r="AG389" s="453"/>
      <c r="AH389" s="453"/>
      <c r="AI389" s="453"/>
      <c r="AJ389" s="453"/>
      <c r="AK389" s="453"/>
      <c r="AL389" s="453"/>
      <c r="AM389" s="453"/>
      <c r="AN389" s="453"/>
      <c r="AO389" s="453"/>
      <c r="AP389" s="453"/>
      <c r="AQ389" s="453"/>
      <c r="AR389" s="453"/>
      <c r="AS389" s="453"/>
      <c r="AT389" s="453"/>
      <c r="AU389" s="453"/>
      <c r="AV389" s="453"/>
      <c r="AW389" s="453"/>
      <c r="AX389" s="453"/>
      <c r="AY389" s="453"/>
      <c r="AZ389" s="453"/>
      <c r="BA389" s="532"/>
      <c r="BB389" s="502"/>
      <c r="BC389" s="503"/>
      <c r="BD389" s="453"/>
      <c r="BE389" s="453"/>
      <c r="BF389" s="470"/>
      <c r="BG389" s="453"/>
      <c r="BH389" s="453"/>
      <c r="BI389" s="453"/>
      <c r="BJ389" s="453"/>
      <c r="BK389" s="453"/>
      <c r="BL389" s="453"/>
      <c r="BM389" s="502"/>
      <c r="BN389" s="565"/>
      <c r="BO389" s="564"/>
      <c r="BP389" s="565"/>
      <c r="BQ389" s="534"/>
      <c r="BR389" s="566"/>
      <c r="BS389" s="524"/>
      <c r="BT389" s="530"/>
    </row>
    <row r="390" s="435" customFormat="1" ht="18" customHeight="1" spans="1:72">
      <c r="A390" s="542" t="s">
        <v>4032</v>
      </c>
      <c r="B390" s="543">
        <v>44714</v>
      </c>
      <c r="C390" s="534">
        <v>1000011002</v>
      </c>
      <c r="D390" s="451"/>
      <c r="E390" s="457"/>
      <c r="F390" s="453"/>
      <c r="G390" s="453"/>
      <c r="H390" s="453"/>
      <c r="I390" s="453"/>
      <c r="J390" s="453"/>
      <c r="K390" s="453"/>
      <c r="L390" s="453"/>
      <c r="M390" s="453"/>
      <c r="N390" s="453"/>
      <c r="O390" s="453"/>
      <c r="P390" s="453"/>
      <c r="Q390" s="453"/>
      <c r="R390" s="453"/>
      <c r="S390" s="453"/>
      <c r="T390" s="453"/>
      <c r="U390" s="453"/>
      <c r="V390" s="453"/>
      <c r="W390" s="453"/>
      <c r="X390" s="453"/>
      <c r="Y390" s="453"/>
      <c r="Z390" s="489"/>
      <c r="AA390" s="489"/>
      <c r="AB390" s="490"/>
      <c r="AC390" s="453"/>
      <c r="AD390" s="453"/>
      <c r="AE390" s="453"/>
      <c r="AF390" s="453"/>
      <c r="AG390" s="453"/>
      <c r="AH390" s="453"/>
      <c r="AI390" s="453"/>
      <c r="AJ390" s="453"/>
      <c r="AK390" s="453"/>
      <c r="AL390" s="453"/>
      <c r="AM390" s="453"/>
      <c r="AN390" s="453"/>
      <c r="AO390" s="453"/>
      <c r="AP390" s="453"/>
      <c r="AQ390" s="453"/>
      <c r="AR390" s="453"/>
      <c r="AS390" s="453"/>
      <c r="AT390" s="453"/>
      <c r="AU390" s="453"/>
      <c r="AV390" s="453"/>
      <c r="AW390" s="453"/>
      <c r="AX390" s="453"/>
      <c r="AY390" s="453"/>
      <c r="AZ390" s="453"/>
      <c r="BA390" s="532"/>
      <c r="BB390" s="502"/>
      <c r="BC390" s="503"/>
      <c r="BD390" s="453"/>
      <c r="BE390" s="453"/>
      <c r="BF390" s="470"/>
      <c r="BG390" s="453"/>
      <c r="BH390" s="453"/>
      <c r="BI390" s="453"/>
      <c r="BJ390" s="453"/>
      <c r="BK390" s="453"/>
      <c r="BL390" s="453"/>
      <c r="BM390" s="502"/>
      <c r="BN390" s="565"/>
      <c r="BO390" s="470"/>
      <c r="BP390" s="490"/>
      <c r="BQ390" s="453"/>
      <c r="BR390" s="502"/>
      <c r="BS390" s="524"/>
      <c r="BT390" s="530"/>
    </row>
    <row r="391" s="435" customFormat="1" ht="18" customHeight="1" spans="1:72">
      <c r="A391" s="542" t="s">
        <v>4032</v>
      </c>
      <c r="B391" s="543">
        <v>44714</v>
      </c>
      <c r="C391" s="534">
        <v>1000011003</v>
      </c>
      <c r="D391" s="451"/>
      <c r="E391" s="457"/>
      <c r="F391" s="453"/>
      <c r="G391" s="453"/>
      <c r="H391" s="453"/>
      <c r="I391" s="453"/>
      <c r="J391" s="453"/>
      <c r="K391" s="453"/>
      <c r="L391" s="453"/>
      <c r="M391" s="453"/>
      <c r="N391" s="453"/>
      <c r="O391" s="453"/>
      <c r="P391" s="453"/>
      <c r="Q391" s="453"/>
      <c r="R391" s="453"/>
      <c r="S391" s="453"/>
      <c r="T391" s="453"/>
      <c r="U391" s="453"/>
      <c r="V391" s="453"/>
      <c r="W391" s="453"/>
      <c r="X391" s="453"/>
      <c r="Y391" s="453"/>
      <c r="Z391" s="489"/>
      <c r="AA391" s="489"/>
      <c r="AB391" s="490"/>
      <c r="AC391" s="453"/>
      <c r="AD391" s="453"/>
      <c r="AE391" s="453"/>
      <c r="AF391" s="453"/>
      <c r="AG391" s="453"/>
      <c r="AH391" s="453"/>
      <c r="AI391" s="453"/>
      <c r="AJ391" s="453"/>
      <c r="AK391" s="453"/>
      <c r="AL391" s="453"/>
      <c r="AM391" s="453"/>
      <c r="AN391" s="453"/>
      <c r="AO391" s="453"/>
      <c r="AP391" s="453"/>
      <c r="AQ391" s="453"/>
      <c r="AR391" s="453"/>
      <c r="AS391" s="453"/>
      <c r="AT391" s="453"/>
      <c r="AU391" s="453"/>
      <c r="AV391" s="453"/>
      <c r="AW391" s="453"/>
      <c r="AX391" s="453"/>
      <c r="AY391" s="453"/>
      <c r="AZ391" s="453"/>
      <c r="BA391" s="532"/>
      <c r="BB391" s="502"/>
      <c r="BC391" s="503"/>
      <c r="BD391" s="453"/>
      <c r="BE391" s="453"/>
      <c r="BF391" s="470"/>
      <c r="BG391" s="453"/>
      <c r="BH391" s="453"/>
      <c r="BI391" s="453"/>
      <c r="BJ391" s="453"/>
      <c r="BK391" s="453"/>
      <c r="BL391" s="453"/>
      <c r="BM391" s="502"/>
      <c r="BN391" s="490"/>
      <c r="BO391" s="470"/>
      <c r="BP391" s="490"/>
      <c r="BQ391" s="453"/>
      <c r="BR391" s="502"/>
      <c r="BS391" s="524"/>
      <c r="BT391" s="530"/>
    </row>
    <row r="392" s="435" customFormat="1" ht="18" customHeight="1" spans="1:72">
      <c r="A392" s="542" t="s">
        <v>4032</v>
      </c>
      <c r="B392" s="543">
        <v>44714</v>
      </c>
      <c r="C392" s="534">
        <v>1000011004</v>
      </c>
      <c r="D392" s="451"/>
      <c r="E392" s="457"/>
      <c r="F392" s="453"/>
      <c r="G392" s="453"/>
      <c r="H392" s="453"/>
      <c r="I392" s="453"/>
      <c r="J392" s="453"/>
      <c r="K392" s="453"/>
      <c r="L392" s="453"/>
      <c r="M392" s="453"/>
      <c r="N392" s="453"/>
      <c r="O392" s="453"/>
      <c r="P392" s="453"/>
      <c r="Q392" s="453"/>
      <c r="R392" s="453"/>
      <c r="S392" s="453"/>
      <c r="T392" s="453"/>
      <c r="U392" s="453"/>
      <c r="V392" s="453"/>
      <c r="W392" s="453"/>
      <c r="X392" s="453"/>
      <c r="Y392" s="453"/>
      <c r="Z392" s="489"/>
      <c r="AA392" s="489"/>
      <c r="AB392" s="490"/>
      <c r="AC392" s="453"/>
      <c r="AD392" s="453"/>
      <c r="AE392" s="453"/>
      <c r="AF392" s="453"/>
      <c r="AG392" s="453"/>
      <c r="AH392" s="453"/>
      <c r="AI392" s="453"/>
      <c r="AJ392" s="453"/>
      <c r="AK392" s="453"/>
      <c r="AL392" s="453"/>
      <c r="AM392" s="453"/>
      <c r="AN392" s="453"/>
      <c r="AO392" s="453"/>
      <c r="AP392" s="453"/>
      <c r="AQ392" s="453"/>
      <c r="AR392" s="453"/>
      <c r="AS392" s="453"/>
      <c r="AT392" s="453"/>
      <c r="AU392" s="453"/>
      <c r="AV392" s="453"/>
      <c r="AW392" s="453"/>
      <c r="AX392" s="453"/>
      <c r="AY392" s="453"/>
      <c r="AZ392" s="453"/>
      <c r="BA392" s="532"/>
      <c r="BB392" s="502"/>
      <c r="BC392" s="503"/>
      <c r="BD392" s="453"/>
      <c r="BE392" s="453"/>
      <c r="BF392" s="470"/>
      <c r="BG392" s="453"/>
      <c r="BH392" s="453"/>
      <c r="BI392" s="453"/>
      <c r="BJ392" s="453"/>
      <c r="BK392" s="453"/>
      <c r="BL392" s="453"/>
      <c r="BM392" s="502"/>
      <c r="BN392" s="490"/>
      <c r="BO392" s="564"/>
      <c r="BP392" s="490"/>
      <c r="BQ392" s="453"/>
      <c r="BR392" s="502"/>
      <c r="BS392" s="524"/>
      <c r="BT392" s="530"/>
    </row>
    <row r="393" s="435" customFormat="1" ht="18" customHeight="1" spans="1:72">
      <c r="A393" s="542" t="s">
        <v>4032</v>
      </c>
      <c r="B393" s="543">
        <v>44714</v>
      </c>
      <c r="C393" s="534">
        <v>1000011005</v>
      </c>
      <c r="D393" s="451"/>
      <c r="E393" s="457"/>
      <c r="F393" s="453"/>
      <c r="G393" s="453"/>
      <c r="H393" s="453"/>
      <c r="I393" s="453"/>
      <c r="J393" s="453"/>
      <c r="K393" s="453"/>
      <c r="L393" s="453"/>
      <c r="M393" s="453"/>
      <c r="N393" s="453"/>
      <c r="O393" s="453"/>
      <c r="P393" s="453"/>
      <c r="Q393" s="453"/>
      <c r="R393" s="453"/>
      <c r="S393" s="453"/>
      <c r="T393" s="453"/>
      <c r="U393" s="453"/>
      <c r="V393" s="453"/>
      <c r="W393" s="453"/>
      <c r="X393" s="453"/>
      <c r="Y393" s="453"/>
      <c r="Z393" s="489"/>
      <c r="AA393" s="489"/>
      <c r="AB393" s="490"/>
      <c r="AC393" s="453"/>
      <c r="AD393" s="453"/>
      <c r="AE393" s="453"/>
      <c r="AF393" s="453"/>
      <c r="AG393" s="453"/>
      <c r="AH393" s="453"/>
      <c r="AI393" s="453"/>
      <c r="AJ393" s="453"/>
      <c r="AK393" s="453"/>
      <c r="AL393" s="453"/>
      <c r="AM393" s="453"/>
      <c r="AN393" s="453"/>
      <c r="AO393" s="453"/>
      <c r="AP393" s="453"/>
      <c r="AQ393" s="453"/>
      <c r="AR393" s="453"/>
      <c r="AS393" s="453"/>
      <c r="AT393" s="453"/>
      <c r="AU393" s="453"/>
      <c r="AV393" s="453"/>
      <c r="AW393" s="453"/>
      <c r="AX393" s="453"/>
      <c r="AY393" s="453"/>
      <c r="AZ393" s="453"/>
      <c r="BA393" s="532"/>
      <c r="BB393" s="502"/>
      <c r="BC393" s="503"/>
      <c r="BD393" s="453"/>
      <c r="BE393" s="453"/>
      <c r="BF393" s="470"/>
      <c r="BG393" s="453"/>
      <c r="BH393" s="453"/>
      <c r="BI393" s="453"/>
      <c r="BJ393" s="453"/>
      <c r="BK393" s="453"/>
      <c r="BL393" s="453"/>
      <c r="BM393" s="502"/>
      <c r="BN393" s="490"/>
      <c r="BO393" s="470"/>
      <c r="BP393" s="565"/>
      <c r="BQ393" s="534"/>
      <c r="BR393" s="566"/>
      <c r="BS393" s="524"/>
      <c r="BT393" s="530"/>
    </row>
    <row r="394" s="435" customFormat="1" ht="18" customHeight="1" spans="1:72">
      <c r="A394" s="542" t="s">
        <v>4032</v>
      </c>
      <c r="B394" s="543">
        <v>44721</v>
      </c>
      <c r="C394" s="534">
        <v>1000011046</v>
      </c>
      <c r="D394" s="451"/>
      <c r="E394" s="457"/>
      <c r="F394" s="453"/>
      <c r="G394" s="453"/>
      <c r="H394" s="453"/>
      <c r="I394" s="453"/>
      <c r="J394" s="453"/>
      <c r="K394" s="453"/>
      <c r="L394" s="453"/>
      <c r="M394" s="453"/>
      <c r="N394" s="453"/>
      <c r="O394" s="453"/>
      <c r="P394" s="453"/>
      <c r="Q394" s="453"/>
      <c r="R394" s="453"/>
      <c r="S394" s="453"/>
      <c r="T394" s="453"/>
      <c r="U394" s="453"/>
      <c r="V394" s="453"/>
      <c r="W394" s="453"/>
      <c r="X394" s="453"/>
      <c r="Y394" s="453"/>
      <c r="Z394" s="489"/>
      <c r="AA394" s="489"/>
      <c r="AB394" s="490"/>
      <c r="AC394" s="453"/>
      <c r="AD394" s="453"/>
      <c r="AE394" s="453"/>
      <c r="AF394" s="453"/>
      <c r="AG394" s="453"/>
      <c r="AH394" s="453"/>
      <c r="AI394" s="550">
        <f>16000+4000</f>
        <v>20000</v>
      </c>
      <c r="AJ394" s="550"/>
      <c r="AK394" s="550"/>
      <c r="AL394" s="453"/>
      <c r="AM394" s="453"/>
      <c r="AN394" s="453"/>
      <c r="AO394" s="453"/>
      <c r="AP394" s="453"/>
      <c r="AQ394" s="453"/>
      <c r="AR394" s="453"/>
      <c r="AS394" s="453"/>
      <c r="AT394" s="453"/>
      <c r="AU394" s="453"/>
      <c r="AV394" s="453"/>
      <c r="AW394" s="453"/>
      <c r="AX394" s="453"/>
      <c r="AY394" s="453"/>
      <c r="AZ394" s="453"/>
      <c r="BA394" s="532"/>
      <c r="BB394" s="502"/>
      <c r="BC394" s="503"/>
      <c r="BD394" s="453"/>
      <c r="BE394" s="453"/>
      <c r="BF394" s="470"/>
      <c r="BG394" s="453"/>
      <c r="BH394" s="453"/>
      <c r="BI394" s="453"/>
      <c r="BJ394" s="453"/>
      <c r="BK394" s="453"/>
      <c r="BL394" s="453"/>
      <c r="BM394" s="502"/>
      <c r="BN394" s="490"/>
      <c r="BO394" s="470"/>
      <c r="BP394" s="565"/>
      <c r="BQ394" s="534"/>
      <c r="BR394" s="566"/>
      <c r="BS394" s="524"/>
      <c r="BT394" s="530"/>
    </row>
    <row r="395" s="435" customFormat="1" ht="18" customHeight="1" spans="1:72">
      <c r="A395" s="542" t="s">
        <v>4032</v>
      </c>
      <c r="B395" s="543">
        <v>44721</v>
      </c>
      <c r="C395" s="534">
        <v>1000011047</v>
      </c>
      <c r="D395" s="451"/>
      <c r="E395" s="457"/>
      <c r="F395" s="453"/>
      <c r="G395" s="453"/>
      <c r="H395" s="453"/>
      <c r="I395" s="453"/>
      <c r="J395" s="453"/>
      <c r="K395" s="453"/>
      <c r="L395" s="453"/>
      <c r="M395" s="453"/>
      <c r="N395" s="453"/>
      <c r="O395" s="453"/>
      <c r="P395" s="453"/>
      <c r="Q395" s="453"/>
      <c r="R395" s="453"/>
      <c r="S395" s="453"/>
      <c r="T395" s="453"/>
      <c r="U395" s="453"/>
      <c r="V395" s="453"/>
      <c r="W395" s="453"/>
      <c r="X395" s="453"/>
      <c r="Y395" s="453"/>
      <c r="Z395" s="489"/>
      <c r="AA395" s="489"/>
      <c r="AB395" s="490"/>
      <c r="AC395" s="453"/>
      <c r="AD395" s="453"/>
      <c r="AE395" s="453"/>
      <c r="AF395" s="453"/>
      <c r="AG395" s="453"/>
      <c r="AH395" s="453"/>
      <c r="AI395" s="453"/>
      <c r="AJ395" s="453"/>
      <c r="AK395" s="453"/>
      <c r="AL395" s="453"/>
      <c r="AM395" s="453"/>
      <c r="AN395" s="453"/>
      <c r="AO395" s="453"/>
      <c r="AP395" s="453"/>
      <c r="AQ395" s="453"/>
      <c r="AR395" s="550">
        <f>1700+3300</f>
        <v>5000</v>
      </c>
      <c r="AS395" s="550"/>
      <c r="AT395" s="550"/>
      <c r="AU395" s="550"/>
      <c r="AV395" s="453"/>
      <c r="AW395" s="453"/>
      <c r="AX395" s="453"/>
      <c r="AY395" s="453"/>
      <c r="AZ395" s="453"/>
      <c r="BA395" s="532"/>
      <c r="BB395" s="502"/>
      <c r="BC395" s="503"/>
      <c r="BD395" s="453"/>
      <c r="BE395" s="453"/>
      <c r="BF395" s="470"/>
      <c r="BG395" s="453"/>
      <c r="BH395" s="453"/>
      <c r="BI395" s="453"/>
      <c r="BJ395" s="453"/>
      <c r="BK395" s="453"/>
      <c r="BL395" s="453"/>
      <c r="BM395" s="502"/>
      <c r="BN395" s="490"/>
      <c r="BO395" s="470"/>
      <c r="BP395" s="565"/>
      <c r="BQ395" s="534"/>
      <c r="BR395" s="566"/>
      <c r="BS395" s="524"/>
      <c r="BT395" s="530"/>
    </row>
    <row r="396" s="435" customFormat="1" ht="18" customHeight="1" spans="1:72">
      <c r="A396" s="542" t="s">
        <v>4032</v>
      </c>
      <c r="B396" s="543">
        <v>44721</v>
      </c>
      <c r="C396" s="534">
        <v>1000011048</v>
      </c>
      <c r="D396" s="451"/>
      <c r="E396" s="457"/>
      <c r="F396" s="453"/>
      <c r="G396" s="453"/>
      <c r="H396" s="453"/>
      <c r="I396" s="453"/>
      <c r="J396" s="453"/>
      <c r="K396" s="453"/>
      <c r="L396" s="453"/>
      <c r="M396" s="453"/>
      <c r="N396" s="453"/>
      <c r="O396" s="453"/>
      <c r="P396" s="453"/>
      <c r="Q396" s="453"/>
      <c r="R396" s="453"/>
      <c r="S396" s="453"/>
      <c r="T396" s="453"/>
      <c r="U396" s="453"/>
      <c r="V396" s="453"/>
      <c r="W396" s="453"/>
      <c r="X396" s="453"/>
      <c r="Y396" s="453"/>
      <c r="Z396" s="489"/>
      <c r="AA396" s="489"/>
      <c r="AB396" s="490"/>
      <c r="AC396" s="453"/>
      <c r="AD396" s="550">
        <f>72000+43000+15000</f>
        <v>130000</v>
      </c>
      <c r="AE396" s="550"/>
      <c r="AF396" s="550"/>
      <c r="AG396" s="453"/>
      <c r="AH396" s="453"/>
      <c r="AI396" s="453"/>
      <c r="AJ396" s="453"/>
      <c r="AK396" s="453"/>
      <c r="AL396" s="453"/>
      <c r="AM396" s="453"/>
      <c r="AN396" s="453"/>
      <c r="AO396" s="453"/>
      <c r="AP396" s="453"/>
      <c r="AQ396" s="453"/>
      <c r="AR396" s="453"/>
      <c r="AS396" s="453"/>
      <c r="AT396" s="453"/>
      <c r="AU396" s="453"/>
      <c r="AV396" s="453"/>
      <c r="AW396" s="453"/>
      <c r="AX396" s="453"/>
      <c r="AY396" s="453"/>
      <c r="AZ396" s="453"/>
      <c r="BA396" s="532"/>
      <c r="BB396" s="502"/>
      <c r="BC396" s="503"/>
      <c r="BD396" s="453"/>
      <c r="BE396" s="453"/>
      <c r="BF396" s="470"/>
      <c r="BG396" s="453"/>
      <c r="BH396" s="453"/>
      <c r="BI396" s="453"/>
      <c r="BJ396" s="453"/>
      <c r="BK396" s="453"/>
      <c r="BL396" s="453"/>
      <c r="BM396" s="502"/>
      <c r="BN396" s="490"/>
      <c r="BO396" s="470"/>
      <c r="BP396" s="565"/>
      <c r="BQ396" s="534"/>
      <c r="BR396" s="566"/>
      <c r="BS396" s="524"/>
      <c r="BT396" s="530"/>
    </row>
    <row r="397" s="435" customFormat="1" ht="18" customHeight="1" spans="1:72">
      <c r="A397" s="542" t="s">
        <v>4032</v>
      </c>
      <c r="B397" s="543">
        <v>44721</v>
      </c>
      <c r="C397" s="534">
        <v>1000011049</v>
      </c>
      <c r="D397" s="451"/>
      <c r="E397" s="457"/>
      <c r="F397" s="453"/>
      <c r="G397" s="453"/>
      <c r="H397" s="453"/>
      <c r="I397" s="453"/>
      <c r="J397" s="453"/>
      <c r="K397" s="453"/>
      <c r="L397" s="453"/>
      <c r="M397" s="453"/>
      <c r="N397" s="453"/>
      <c r="O397" s="453"/>
      <c r="P397" s="453"/>
      <c r="Q397" s="453"/>
      <c r="R397" s="453"/>
      <c r="S397" s="453"/>
      <c r="T397" s="453"/>
      <c r="U397" s="453"/>
      <c r="V397" s="453"/>
      <c r="W397" s="453"/>
      <c r="X397" s="453"/>
      <c r="Y397" s="453"/>
      <c r="Z397" s="489"/>
      <c r="AA397" s="489"/>
      <c r="AB397" s="490"/>
      <c r="AC397" s="453"/>
      <c r="AD397" s="453"/>
      <c r="AE397" s="453"/>
      <c r="AF397" s="453"/>
      <c r="AG397" s="453"/>
      <c r="AH397" s="453"/>
      <c r="AI397" s="453"/>
      <c r="AJ397" s="453"/>
      <c r="AK397" s="453"/>
      <c r="AL397" s="453"/>
      <c r="AM397" s="453"/>
      <c r="AN397" s="453"/>
      <c r="AO397" s="550">
        <f>72000+43000+15000</f>
        <v>130000</v>
      </c>
      <c r="AP397" s="453"/>
      <c r="AQ397" s="453"/>
      <c r="AR397" s="453"/>
      <c r="AS397" s="453"/>
      <c r="AT397" s="453"/>
      <c r="AU397" s="453"/>
      <c r="AV397" s="453"/>
      <c r="AW397" s="453"/>
      <c r="AX397" s="453"/>
      <c r="AY397" s="453"/>
      <c r="AZ397" s="453"/>
      <c r="BA397" s="532"/>
      <c r="BB397" s="502"/>
      <c r="BC397" s="503"/>
      <c r="BD397" s="453"/>
      <c r="BE397" s="453"/>
      <c r="BF397" s="470"/>
      <c r="BG397" s="453"/>
      <c r="BH397" s="453"/>
      <c r="BI397" s="453"/>
      <c r="BJ397" s="453"/>
      <c r="BK397" s="453"/>
      <c r="BL397" s="453"/>
      <c r="BM397" s="502"/>
      <c r="BN397" s="490"/>
      <c r="BO397" s="470"/>
      <c r="BP397" s="565"/>
      <c r="BQ397" s="534"/>
      <c r="BR397" s="566"/>
      <c r="BS397" s="524"/>
      <c r="BT397" s="530"/>
    </row>
    <row r="398" s="435" customFormat="1" ht="18" customHeight="1" spans="1:72">
      <c r="A398" s="542" t="s">
        <v>4032</v>
      </c>
      <c r="B398" s="543">
        <v>44721</v>
      </c>
      <c r="C398" s="534">
        <v>1000011045</v>
      </c>
      <c r="D398" s="451"/>
      <c r="E398" s="457"/>
      <c r="F398" s="453"/>
      <c r="G398" s="453"/>
      <c r="H398" s="453"/>
      <c r="I398" s="453"/>
      <c r="J398" s="453"/>
      <c r="K398" s="453"/>
      <c r="L398" s="453"/>
      <c r="M398" s="550">
        <v>2000</v>
      </c>
      <c r="N398" s="453"/>
      <c r="O398" s="453"/>
      <c r="P398" s="453"/>
      <c r="Q398" s="453"/>
      <c r="R398" s="453"/>
      <c r="S398" s="453"/>
      <c r="T398" s="453"/>
      <c r="U398" s="453"/>
      <c r="V398" s="453"/>
      <c r="W398" s="453"/>
      <c r="X398" s="453"/>
      <c r="Y398" s="453"/>
      <c r="Z398" s="489"/>
      <c r="AA398" s="489"/>
      <c r="AB398" s="490"/>
      <c r="AC398" s="453"/>
      <c r="AD398" s="453"/>
      <c r="AE398" s="453"/>
      <c r="AF398" s="453"/>
      <c r="AG398" s="453"/>
      <c r="AH398" s="453"/>
      <c r="AI398" s="453"/>
      <c r="AJ398" s="453"/>
      <c r="AK398" s="453"/>
      <c r="AL398" s="453"/>
      <c r="AM398" s="453"/>
      <c r="AN398" s="453"/>
      <c r="AO398" s="453"/>
      <c r="AP398" s="453"/>
      <c r="AQ398" s="453"/>
      <c r="AR398" s="453"/>
      <c r="AS398" s="453"/>
      <c r="AT398" s="453"/>
      <c r="AU398" s="453"/>
      <c r="AV398" s="453"/>
      <c r="AW398" s="453"/>
      <c r="AX398" s="453"/>
      <c r="AY398" s="453"/>
      <c r="AZ398" s="453"/>
      <c r="BA398" s="532"/>
      <c r="BB398" s="502"/>
      <c r="BC398" s="503"/>
      <c r="BD398" s="453"/>
      <c r="BE398" s="453"/>
      <c r="BF398" s="470"/>
      <c r="BG398" s="453"/>
      <c r="BH398" s="453"/>
      <c r="BI398" s="453"/>
      <c r="BJ398" s="453"/>
      <c r="BK398" s="453"/>
      <c r="BL398" s="453"/>
      <c r="BM398" s="502"/>
      <c r="BN398" s="490"/>
      <c r="BO398" s="470"/>
      <c r="BP398" s="565"/>
      <c r="BQ398" s="534"/>
      <c r="BR398" s="566"/>
      <c r="BS398" s="524"/>
      <c r="BT398" s="530"/>
    </row>
    <row r="399" s="435" customFormat="1" ht="18" customHeight="1" spans="1:72">
      <c r="A399" s="542" t="s">
        <v>4032</v>
      </c>
      <c r="B399" s="543">
        <v>44721</v>
      </c>
      <c r="C399" s="534">
        <v>1000011050</v>
      </c>
      <c r="D399" s="451"/>
      <c r="E399" s="457"/>
      <c r="F399" s="453"/>
      <c r="G399" s="453"/>
      <c r="H399" s="453"/>
      <c r="I399" s="453"/>
      <c r="J399" s="453"/>
      <c r="K399" s="453"/>
      <c r="L399" s="453"/>
      <c r="M399" s="453"/>
      <c r="N399" s="453"/>
      <c r="O399" s="453"/>
      <c r="P399" s="453"/>
      <c r="Q399" s="453"/>
      <c r="R399" s="453"/>
      <c r="S399" s="453"/>
      <c r="T399" s="453"/>
      <c r="U399" s="453"/>
      <c r="V399" s="453"/>
      <c r="W399" s="453"/>
      <c r="X399" s="453"/>
      <c r="Y399" s="453"/>
      <c r="Z399" s="489"/>
      <c r="AA399" s="489"/>
      <c r="AB399" s="490"/>
      <c r="AC399" s="453"/>
      <c r="AD399" s="453"/>
      <c r="AE399" s="453"/>
      <c r="AF399" s="453"/>
      <c r="AG399" s="453"/>
      <c r="AH399" s="453"/>
      <c r="AI399" s="453"/>
      <c r="AJ399" s="453"/>
      <c r="AK399" s="453"/>
      <c r="AL399" s="453"/>
      <c r="AM399" s="453"/>
      <c r="AN399" s="453"/>
      <c r="AO399" s="453"/>
      <c r="AP399" s="453"/>
      <c r="AQ399" s="453"/>
      <c r="AR399" s="453"/>
      <c r="AS399" s="453"/>
      <c r="AT399" s="453"/>
      <c r="AU399" s="453"/>
      <c r="AV399" s="453"/>
      <c r="AW399" s="453"/>
      <c r="AX399" s="453"/>
      <c r="AY399" s="453"/>
      <c r="AZ399" s="453"/>
      <c r="BA399" s="532"/>
      <c r="BB399" s="502"/>
      <c r="BC399" s="503"/>
      <c r="BD399" s="453"/>
      <c r="BE399" s="453"/>
      <c r="BF399" s="470"/>
      <c r="BG399" s="453"/>
      <c r="BH399" s="453"/>
      <c r="BI399" s="560"/>
      <c r="BJ399" s="453"/>
      <c r="BK399" s="453"/>
      <c r="BL399" s="453"/>
      <c r="BM399" s="502"/>
      <c r="BN399" s="490"/>
      <c r="BO399" s="470"/>
      <c r="BP399" s="490"/>
      <c r="BQ399" s="453"/>
      <c r="BR399" s="502"/>
      <c r="BS399" s="524"/>
      <c r="BT399" s="530"/>
    </row>
    <row r="400" s="435" customFormat="1" ht="18" customHeight="1" spans="1:72">
      <c r="A400" s="542" t="s">
        <v>4032</v>
      </c>
      <c r="B400" s="543">
        <v>44721</v>
      </c>
      <c r="C400" s="534">
        <v>1000011051</v>
      </c>
      <c r="D400" s="451"/>
      <c r="E400" s="457"/>
      <c r="F400" s="453"/>
      <c r="G400" s="453"/>
      <c r="H400" s="453"/>
      <c r="I400" s="453"/>
      <c r="J400" s="453"/>
      <c r="K400" s="453"/>
      <c r="L400" s="453"/>
      <c r="M400" s="453"/>
      <c r="N400" s="453"/>
      <c r="O400" s="453"/>
      <c r="P400" s="453"/>
      <c r="Q400" s="453"/>
      <c r="R400" s="453"/>
      <c r="S400" s="453"/>
      <c r="T400" s="453"/>
      <c r="U400" s="453"/>
      <c r="V400" s="453"/>
      <c r="W400" s="453"/>
      <c r="X400" s="453"/>
      <c r="Y400" s="453"/>
      <c r="Z400" s="489"/>
      <c r="AA400" s="489"/>
      <c r="AB400" s="490"/>
      <c r="AC400" s="453"/>
      <c r="AD400" s="453"/>
      <c r="AE400" s="453"/>
      <c r="AF400" s="453"/>
      <c r="AG400" s="453"/>
      <c r="AH400" s="453"/>
      <c r="AI400" s="453"/>
      <c r="AJ400" s="453"/>
      <c r="AK400" s="453"/>
      <c r="AL400" s="453"/>
      <c r="AM400" s="453"/>
      <c r="AN400" s="453"/>
      <c r="AO400" s="453"/>
      <c r="AP400" s="453"/>
      <c r="AQ400" s="453"/>
      <c r="AR400" s="453"/>
      <c r="AS400" s="453"/>
      <c r="AT400" s="453"/>
      <c r="AU400" s="453"/>
      <c r="AV400" s="453"/>
      <c r="AW400" s="453"/>
      <c r="AX400" s="453"/>
      <c r="AY400" s="453"/>
      <c r="AZ400" s="453"/>
      <c r="BA400" s="532"/>
      <c r="BB400" s="502"/>
      <c r="BC400" s="503"/>
      <c r="BD400" s="453"/>
      <c r="BE400" s="453"/>
      <c r="BF400" s="470"/>
      <c r="BG400" s="560"/>
      <c r="BH400" s="560"/>
      <c r="BI400" s="453"/>
      <c r="BJ400" s="453"/>
      <c r="BK400" s="453"/>
      <c r="BL400" s="453"/>
      <c r="BM400" s="502"/>
      <c r="BN400" s="490"/>
      <c r="BO400" s="470"/>
      <c r="BP400" s="490"/>
      <c r="BQ400" s="453"/>
      <c r="BR400" s="502"/>
      <c r="BS400" s="524"/>
      <c r="BT400" s="530"/>
    </row>
    <row r="401" s="435" customFormat="1" ht="18" customHeight="1" spans="1:72">
      <c r="A401" s="542" t="s">
        <v>4032</v>
      </c>
      <c r="B401" s="543">
        <v>44721</v>
      </c>
      <c r="C401" s="534">
        <v>1000011052</v>
      </c>
      <c r="D401" s="451"/>
      <c r="E401" s="457"/>
      <c r="F401" s="453"/>
      <c r="G401" s="453"/>
      <c r="H401" s="453"/>
      <c r="I401" s="453"/>
      <c r="J401" s="453"/>
      <c r="K401" s="453"/>
      <c r="L401" s="453"/>
      <c r="M401" s="453"/>
      <c r="N401" s="453"/>
      <c r="O401" s="453"/>
      <c r="P401" s="453"/>
      <c r="Q401" s="453"/>
      <c r="R401" s="453"/>
      <c r="S401" s="453"/>
      <c r="T401" s="453"/>
      <c r="U401" s="453"/>
      <c r="V401" s="453"/>
      <c r="W401" s="453"/>
      <c r="X401" s="453"/>
      <c r="Y401" s="453"/>
      <c r="Z401" s="489"/>
      <c r="AA401" s="489"/>
      <c r="AB401" s="490"/>
      <c r="AC401" s="453"/>
      <c r="AD401" s="453"/>
      <c r="AE401" s="453"/>
      <c r="AF401" s="453"/>
      <c r="AG401" s="453"/>
      <c r="AH401" s="453"/>
      <c r="AI401" s="453"/>
      <c r="AJ401" s="453"/>
      <c r="AK401" s="453"/>
      <c r="AL401" s="453"/>
      <c r="AM401" s="453"/>
      <c r="AN401" s="453"/>
      <c r="AO401" s="453"/>
      <c r="AP401" s="453"/>
      <c r="AQ401" s="453"/>
      <c r="AR401" s="453"/>
      <c r="AS401" s="453"/>
      <c r="AT401" s="453"/>
      <c r="AU401" s="453"/>
      <c r="AV401" s="453"/>
      <c r="AW401" s="453"/>
      <c r="AX401" s="453"/>
      <c r="AY401" s="453"/>
      <c r="AZ401" s="453"/>
      <c r="BA401" s="532"/>
      <c r="BB401" s="502"/>
      <c r="BC401" s="503"/>
      <c r="BD401" s="453"/>
      <c r="BE401" s="453"/>
      <c r="BF401" s="470"/>
      <c r="BG401" s="453"/>
      <c r="BH401" s="453"/>
      <c r="BI401" s="453"/>
      <c r="BJ401" s="561"/>
      <c r="BK401" s="453"/>
      <c r="BL401" s="453"/>
      <c r="BM401" s="502"/>
      <c r="BN401" s="490"/>
      <c r="BO401" s="470"/>
      <c r="BP401" s="490"/>
      <c r="BQ401" s="453"/>
      <c r="BR401" s="502"/>
      <c r="BS401" s="524"/>
      <c r="BT401" s="530"/>
    </row>
    <row r="402" s="435" customFormat="1" ht="18" customHeight="1" spans="1:72">
      <c r="A402" s="451" t="s">
        <v>4032</v>
      </c>
      <c r="B402" s="456">
        <v>44791</v>
      </c>
      <c r="C402" s="534">
        <v>1000011695</v>
      </c>
      <c r="D402" s="451"/>
      <c r="E402" s="457"/>
      <c r="F402" s="453"/>
      <c r="G402" s="453"/>
      <c r="H402" s="453"/>
      <c r="I402" s="453"/>
      <c r="J402" s="453"/>
      <c r="K402" s="453"/>
      <c r="L402" s="453"/>
      <c r="M402" s="453"/>
      <c r="N402" s="453"/>
      <c r="O402" s="453"/>
      <c r="P402" s="453"/>
      <c r="Q402" s="453"/>
      <c r="R402" s="453"/>
      <c r="S402" s="453"/>
      <c r="T402" s="453"/>
      <c r="U402" s="453"/>
      <c r="V402" s="453"/>
      <c r="W402" s="453"/>
      <c r="X402" s="453"/>
      <c r="Y402" s="453"/>
      <c r="Z402" s="489"/>
      <c r="AA402" s="489"/>
      <c r="AB402" s="490"/>
      <c r="AC402" s="453"/>
      <c r="AD402" s="453"/>
      <c r="AE402" s="453"/>
      <c r="AF402" s="453"/>
      <c r="AG402" s="453"/>
      <c r="AH402" s="453"/>
      <c r="AI402" s="453">
        <v>20000</v>
      </c>
      <c r="AJ402" s="453"/>
      <c r="AK402" s="453"/>
      <c r="AL402" s="453"/>
      <c r="AM402" s="453"/>
      <c r="AN402" s="453"/>
      <c r="AO402" s="453"/>
      <c r="AP402" s="453"/>
      <c r="AQ402" s="453"/>
      <c r="AR402" s="453"/>
      <c r="AS402" s="453"/>
      <c r="AT402" s="453"/>
      <c r="AU402" s="453"/>
      <c r="AV402" s="453"/>
      <c r="AW402" s="453"/>
      <c r="AX402" s="453"/>
      <c r="AY402" s="453"/>
      <c r="AZ402" s="453"/>
      <c r="BA402" s="532"/>
      <c r="BB402" s="502"/>
      <c r="BC402" s="503"/>
      <c r="BD402" s="453"/>
      <c r="BE402" s="453"/>
      <c r="BF402" s="470"/>
      <c r="BG402" s="453"/>
      <c r="BH402" s="453"/>
      <c r="BI402" s="453"/>
      <c r="BJ402" s="453"/>
      <c r="BK402" s="453"/>
      <c r="BL402" s="453"/>
      <c r="BM402" s="502"/>
      <c r="BN402" s="490"/>
      <c r="BO402" s="470"/>
      <c r="BP402" s="490"/>
      <c r="BQ402" s="453"/>
      <c r="BR402" s="502"/>
      <c r="BS402" s="524"/>
      <c r="BT402" s="530"/>
    </row>
    <row r="403" s="435" customFormat="1" ht="18" customHeight="1" spans="1:72">
      <c r="A403" s="451" t="s">
        <v>4032</v>
      </c>
      <c r="B403" s="456">
        <v>44791</v>
      </c>
      <c r="C403" s="534">
        <v>1000011696</v>
      </c>
      <c r="D403" s="451"/>
      <c r="E403" s="457"/>
      <c r="F403" s="453"/>
      <c r="G403" s="453"/>
      <c r="H403" s="453"/>
      <c r="I403" s="453"/>
      <c r="J403" s="453"/>
      <c r="K403" s="453"/>
      <c r="L403" s="453"/>
      <c r="M403" s="453"/>
      <c r="N403" s="453"/>
      <c r="O403" s="453"/>
      <c r="P403" s="453"/>
      <c r="Q403" s="453"/>
      <c r="R403" s="453"/>
      <c r="S403" s="453"/>
      <c r="T403" s="453"/>
      <c r="U403" s="453"/>
      <c r="V403" s="453"/>
      <c r="W403" s="453"/>
      <c r="X403" s="453"/>
      <c r="Y403" s="453"/>
      <c r="Z403" s="489"/>
      <c r="AA403" s="489"/>
      <c r="AB403" s="490"/>
      <c r="AC403" s="453"/>
      <c r="AD403" s="453"/>
      <c r="AE403" s="453"/>
      <c r="AF403" s="453"/>
      <c r="AG403" s="453"/>
      <c r="AH403" s="453"/>
      <c r="AI403" s="453"/>
      <c r="AJ403" s="453"/>
      <c r="AK403" s="453"/>
      <c r="AL403" s="453"/>
      <c r="AM403" s="453"/>
      <c r="AN403" s="453"/>
      <c r="AO403" s="453"/>
      <c r="AP403" s="453"/>
      <c r="AQ403" s="453"/>
      <c r="AR403" s="453">
        <v>500</v>
      </c>
      <c r="AS403" s="453"/>
      <c r="AT403" s="453"/>
      <c r="AU403" s="453"/>
      <c r="AV403" s="453"/>
      <c r="AW403" s="453"/>
      <c r="AX403" s="453"/>
      <c r="AY403" s="453"/>
      <c r="AZ403" s="453"/>
      <c r="BA403" s="532"/>
      <c r="BB403" s="502"/>
      <c r="BC403" s="503"/>
      <c r="BD403" s="453"/>
      <c r="BE403" s="453"/>
      <c r="BF403" s="470"/>
      <c r="BG403" s="453"/>
      <c r="BH403" s="453"/>
      <c r="BI403" s="453"/>
      <c r="BJ403" s="453"/>
      <c r="BK403" s="453"/>
      <c r="BL403" s="453"/>
      <c r="BM403" s="502"/>
      <c r="BN403" s="490"/>
      <c r="BO403" s="470"/>
      <c r="BP403" s="490"/>
      <c r="BQ403" s="453"/>
      <c r="BR403" s="502"/>
      <c r="BS403" s="524"/>
      <c r="BT403" s="530"/>
    </row>
    <row r="404" s="435" customFormat="1" ht="18" customHeight="1" spans="1:72">
      <c r="A404" s="451" t="s">
        <v>4032</v>
      </c>
      <c r="B404" s="456">
        <v>44791</v>
      </c>
      <c r="C404" s="544"/>
      <c r="D404" s="451"/>
      <c r="E404" s="457"/>
      <c r="F404" s="453"/>
      <c r="G404" s="453"/>
      <c r="H404" s="453"/>
      <c r="I404" s="453"/>
      <c r="J404" s="453"/>
      <c r="K404" s="453"/>
      <c r="L404" s="453"/>
      <c r="M404" s="453"/>
      <c r="N404" s="550">
        <v>2000</v>
      </c>
      <c r="O404" s="550"/>
      <c r="P404" s="550"/>
      <c r="Q404" s="550"/>
      <c r="R404" s="550"/>
      <c r="S404" s="453"/>
      <c r="T404" s="453"/>
      <c r="U404" s="453"/>
      <c r="V404" s="453"/>
      <c r="W404" s="453"/>
      <c r="X404" s="453"/>
      <c r="Y404" s="453"/>
      <c r="Z404" s="489"/>
      <c r="AA404" s="489"/>
      <c r="AB404" s="490"/>
      <c r="AC404" s="453"/>
      <c r="AD404" s="453"/>
      <c r="AE404" s="453"/>
      <c r="AF404" s="453"/>
      <c r="AG404" s="453"/>
      <c r="AH404" s="453"/>
      <c r="AI404" s="453"/>
      <c r="AJ404" s="453"/>
      <c r="AK404" s="453"/>
      <c r="AL404" s="453"/>
      <c r="AM404" s="453"/>
      <c r="AN404" s="453"/>
      <c r="AO404" s="453"/>
      <c r="AP404" s="453"/>
      <c r="AQ404" s="453"/>
      <c r="AR404" s="453"/>
      <c r="AS404" s="453"/>
      <c r="AT404" s="453"/>
      <c r="AU404" s="453"/>
      <c r="AV404" s="453"/>
      <c r="AW404" s="453"/>
      <c r="AX404" s="453"/>
      <c r="AY404" s="453"/>
      <c r="AZ404" s="453"/>
      <c r="BA404" s="532"/>
      <c r="BB404" s="502"/>
      <c r="BC404" s="503"/>
      <c r="BD404" s="453"/>
      <c r="BE404" s="453"/>
      <c r="BF404" s="470"/>
      <c r="BG404" s="453"/>
      <c r="BH404" s="453"/>
      <c r="BI404" s="453"/>
      <c r="BJ404" s="453"/>
      <c r="BK404" s="453"/>
      <c r="BL404" s="453"/>
      <c r="BM404" s="502"/>
      <c r="BN404" s="490"/>
      <c r="BO404" s="470"/>
      <c r="BP404" s="490"/>
      <c r="BQ404" s="453"/>
      <c r="BR404" s="502"/>
      <c r="BS404" s="524"/>
      <c r="BT404" s="530"/>
    </row>
    <row r="405" s="435" customFormat="1" ht="18" customHeight="1" spans="1:72">
      <c r="A405" s="451" t="s">
        <v>4032</v>
      </c>
      <c r="B405" s="456">
        <v>44791</v>
      </c>
      <c r="C405" s="544"/>
      <c r="D405" s="451"/>
      <c r="E405" s="457"/>
      <c r="F405" s="453"/>
      <c r="G405" s="453"/>
      <c r="H405" s="453"/>
      <c r="I405" s="453"/>
      <c r="J405" s="453"/>
      <c r="K405" s="453"/>
      <c r="L405" s="453"/>
      <c r="M405" s="453"/>
      <c r="N405" s="453"/>
      <c r="O405" s="453"/>
      <c r="P405" s="453"/>
      <c r="Q405" s="453"/>
      <c r="R405" s="550"/>
      <c r="S405" s="453">
        <v>38000</v>
      </c>
      <c r="T405" s="453"/>
      <c r="U405" s="453"/>
      <c r="V405" s="453"/>
      <c r="W405" s="453"/>
      <c r="X405" s="453"/>
      <c r="Y405" s="453"/>
      <c r="Z405" s="489"/>
      <c r="AA405" s="489"/>
      <c r="AB405" s="490"/>
      <c r="AC405" s="453"/>
      <c r="AD405" s="453"/>
      <c r="AE405" s="453"/>
      <c r="AF405" s="453"/>
      <c r="AG405" s="453"/>
      <c r="AH405" s="453"/>
      <c r="AI405" s="453"/>
      <c r="AJ405" s="453"/>
      <c r="AK405" s="453"/>
      <c r="AL405" s="453"/>
      <c r="AM405" s="453"/>
      <c r="AN405" s="453"/>
      <c r="AO405" s="453"/>
      <c r="AP405" s="453"/>
      <c r="AQ405" s="453"/>
      <c r="AR405" s="453"/>
      <c r="AS405" s="453"/>
      <c r="AT405" s="453"/>
      <c r="AU405" s="453"/>
      <c r="AV405" s="453"/>
      <c r="AW405" s="453"/>
      <c r="AX405" s="453"/>
      <c r="AY405" s="453"/>
      <c r="AZ405" s="453"/>
      <c r="BA405" s="532"/>
      <c r="BB405" s="502"/>
      <c r="BC405" s="503"/>
      <c r="BD405" s="453"/>
      <c r="BE405" s="453"/>
      <c r="BF405" s="470"/>
      <c r="BG405" s="453"/>
      <c r="BH405" s="453"/>
      <c r="BI405" s="453"/>
      <c r="BJ405" s="453"/>
      <c r="BK405" s="453"/>
      <c r="BL405" s="453"/>
      <c r="BM405" s="502"/>
      <c r="BN405" s="490"/>
      <c r="BO405" s="470"/>
      <c r="BP405" s="490"/>
      <c r="BQ405" s="453"/>
      <c r="BR405" s="502"/>
      <c r="BS405" s="524"/>
      <c r="BT405" s="530"/>
    </row>
    <row r="406" s="435" customFormat="1" ht="18" customHeight="1" spans="1:73">
      <c r="A406" s="451" t="s">
        <v>4032</v>
      </c>
      <c r="B406" s="456">
        <v>44805</v>
      </c>
      <c r="C406" s="451">
        <v>1000011821</v>
      </c>
      <c r="D406" s="451"/>
      <c r="E406" s="457"/>
      <c r="F406" s="453"/>
      <c r="G406" s="453"/>
      <c r="H406" s="453"/>
      <c r="I406" s="453"/>
      <c r="J406" s="453"/>
      <c r="K406" s="453"/>
      <c r="L406" s="453"/>
      <c r="M406" s="453"/>
      <c r="N406" s="453"/>
      <c r="O406" s="453"/>
      <c r="P406" s="453"/>
      <c r="Q406" s="453"/>
      <c r="R406" s="550"/>
      <c r="S406" s="453"/>
      <c r="T406" s="453"/>
      <c r="U406" s="453"/>
      <c r="V406" s="453"/>
      <c r="W406" s="453"/>
      <c r="X406" s="453"/>
      <c r="Y406" s="453"/>
      <c r="Z406" s="489"/>
      <c r="AA406" s="489"/>
      <c r="AB406" s="490"/>
      <c r="AC406" s="453"/>
      <c r="AD406" s="453"/>
      <c r="AE406" s="453"/>
      <c r="AF406" s="453"/>
      <c r="AG406" s="453"/>
      <c r="AH406" s="453"/>
      <c r="AI406" s="453"/>
      <c r="AJ406" s="453"/>
      <c r="AK406" s="453"/>
      <c r="AL406" s="453"/>
      <c r="AM406" s="453"/>
      <c r="AN406" s="453"/>
      <c r="AO406" s="453"/>
      <c r="AP406" s="453"/>
      <c r="AQ406" s="453"/>
      <c r="AR406" s="453"/>
      <c r="AS406" s="453"/>
      <c r="AT406" s="453"/>
      <c r="AU406" s="453"/>
      <c r="AV406" s="453"/>
      <c r="AW406" s="453"/>
      <c r="AX406" s="453"/>
      <c r="AY406" s="453"/>
      <c r="AZ406" s="453"/>
      <c r="BA406" s="532"/>
      <c r="BB406" s="502"/>
      <c r="BC406" s="503"/>
      <c r="BD406" s="453"/>
      <c r="BE406" s="453"/>
      <c r="BF406" s="470"/>
      <c r="BG406" s="453"/>
      <c r="BH406" s="453"/>
      <c r="BI406" s="453"/>
      <c r="BJ406" s="453"/>
      <c r="BK406" s="453"/>
      <c r="BL406" s="453"/>
      <c r="BM406" s="502"/>
      <c r="BN406" s="567"/>
      <c r="BO406" s="470"/>
      <c r="BP406" s="490"/>
      <c r="BQ406" s="453"/>
      <c r="BR406" s="502"/>
      <c r="BS406" s="524"/>
      <c r="BT406" s="568"/>
      <c r="BU406" s="568" t="s">
        <v>4041</v>
      </c>
    </row>
    <row r="407" s="435" customFormat="1" ht="18" customHeight="1" spans="1:73">
      <c r="A407" s="451" t="s">
        <v>4032</v>
      </c>
      <c r="B407" s="456">
        <v>44805</v>
      </c>
      <c r="C407" s="451">
        <v>1000011822</v>
      </c>
      <c r="D407" s="451"/>
      <c r="E407" s="457"/>
      <c r="F407" s="453"/>
      <c r="G407" s="453"/>
      <c r="H407" s="453"/>
      <c r="I407" s="453"/>
      <c r="J407" s="453"/>
      <c r="K407" s="453"/>
      <c r="L407" s="453"/>
      <c r="M407" s="453"/>
      <c r="N407" s="453"/>
      <c r="O407" s="453"/>
      <c r="P407" s="453"/>
      <c r="Q407" s="453"/>
      <c r="R407" s="550"/>
      <c r="S407" s="453"/>
      <c r="T407" s="453"/>
      <c r="U407" s="453"/>
      <c r="V407" s="453"/>
      <c r="W407" s="453"/>
      <c r="X407" s="453"/>
      <c r="Y407" s="453"/>
      <c r="Z407" s="489"/>
      <c r="AA407" s="489"/>
      <c r="AB407" s="490"/>
      <c r="AC407" s="453"/>
      <c r="AD407" s="453"/>
      <c r="AE407" s="453"/>
      <c r="AF407" s="453"/>
      <c r="AG407" s="453"/>
      <c r="AH407" s="453"/>
      <c r="AI407" s="453"/>
      <c r="AJ407" s="453"/>
      <c r="AK407" s="453"/>
      <c r="AL407" s="453"/>
      <c r="AM407" s="453"/>
      <c r="AN407" s="453"/>
      <c r="AO407" s="453"/>
      <c r="AP407" s="453"/>
      <c r="AQ407" s="453"/>
      <c r="AR407" s="453"/>
      <c r="AS407" s="453"/>
      <c r="AT407" s="453"/>
      <c r="AU407" s="453"/>
      <c r="AV407" s="453"/>
      <c r="AW407" s="453"/>
      <c r="AX407" s="453"/>
      <c r="AY407" s="453"/>
      <c r="AZ407" s="453"/>
      <c r="BA407" s="532"/>
      <c r="BB407" s="502"/>
      <c r="BC407" s="503"/>
      <c r="BD407" s="453"/>
      <c r="BE407" s="453"/>
      <c r="BF407" s="470"/>
      <c r="BG407" s="453"/>
      <c r="BH407" s="453"/>
      <c r="BI407" s="453"/>
      <c r="BJ407" s="453"/>
      <c r="BK407" s="453"/>
      <c r="BL407" s="453"/>
      <c r="BM407" s="502"/>
      <c r="BN407" s="490"/>
      <c r="BO407" s="470"/>
      <c r="BP407" s="490"/>
      <c r="BQ407" s="453"/>
      <c r="BR407" s="502"/>
      <c r="BS407" s="524"/>
      <c r="BT407" s="568"/>
      <c r="BU407" s="568" t="s">
        <v>4041</v>
      </c>
    </row>
    <row r="408" s="435" customFormat="1" ht="18" customHeight="1" spans="1:73">
      <c r="A408" s="451" t="s">
        <v>4032</v>
      </c>
      <c r="B408" s="456">
        <v>44805</v>
      </c>
      <c r="C408" s="451">
        <v>1000011823</v>
      </c>
      <c r="D408" s="451"/>
      <c r="E408" s="457"/>
      <c r="F408" s="453"/>
      <c r="G408" s="453"/>
      <c r="H408" s="453"/>
      <c r="I408" s="453"/>
      <c r="J408" s="453"/>
      <c r="K408" s="453"/>
      <c r="L408" s="453"/>
      <c r="M408" s="453"/>
      <c r="N408" s="453"/>
      <c r="O408" s="453"/>
      <c r="P408" s="453"/>
      <c r="Q408" s="453"/>
      <c r="R408" s="550"/>
      <c r="S408" s="453"/>
      <c r="T408" s="453"/>
      <c r="U408" s="453"/>
      <c r="V408" s="453"/>
      <c r="W408" s="453"/>
      <c r="X408" s="453"/>
      <c r="Y408" s="453"/>
      <c r="Z408" s="489"/>
      <c r="AA408" s="489"/>
      <c r="AB408" s="490"/>
      <c r="AC408" s="453"/>
      <c r="AD408" s="453"/>
      <c r="AE408" s="453"/>
      <c r="AF408" s="453"/>
      <c r="AG408" s="453"/>
      <c r="AH408" s="453"/>
      <c r="AI408" s="453"/>
      <c r="AJ408" s="453"/>
      <c r="AK408" s="453"/>
      <c r="AL408" s="453"/>
      <c r="AM408" s="453"/>
      <c r="AN408" s="453"/>
      <c r="AO408" s="453"/>
      <c r="AP408" s="453"/>
      <c r="AQ408" s="453"/>
      <c r="AR408" s="453"/>
      <c r="AS408" s="453"/>
      <c r="AT408" s="453"/>
      <c r="AU408" s="453"/>
      <c r="AV408" s="453"/>
      <c r="AW408" s="453"/>
      <c r="AX408" s="453"/>
      <c r="AY408" s="453"/>
      <c r="AZ408" s="453"/>
      <c r="BA408" s="532"/>
      <c r="BB408" s="502"/>
      <c r="BC408" s="503"/>
      <c r="BD408" s="453"/>
      <c r="BE408" s="453"/>
      <c r="BF408" s="470"/>
      <c r="BG408" s="453"/>
      <c r="BH408" s="453"/>
      <c r="BI408" s="453"/>
      <c r="BJ408" s="453"/>
      <c r="BK408" s="453"/>
      <c r="BL408" s="453"/>
      <c r="BM408" s="502"/>
      <c r="BN408" s="490"/>
      <c r="BO408" s="569"/>
      <c r="BP408" s="490"/>
      <c r="BQ408" s="453"/>
      <c r="BR408" s="502"/>
      <c r="BS408" s="524"/>
      <c r="BT408" s="568"/>
      <c r="BU408" s="568" t="s">
        <v>4041</v>
      </c>
    </row>
    <row r="409" s="435" customFormat="1" ht="18" customHeight="1" spans="1:73">
      <c r="A409" s="451" t="s">
        <v>4032</v>
      </c>
      <c r="B409" s="456">
        <v>44805</v>
      </c>
      <c r="C409" s="451">
        <v>1000011824</v>
      </c>
      <c r="D409" s="451"/>
      <c r="E409" s="457"/>
      <c r="F409" s="453"/>
      <c r="G409" s="453"/>
      <c r="H409" s="453"/>
      <c r="I409" s="453"/>
      <c r="J409" s="453"/>
      <c r="K409" s="453"/>
      <c r="L409" s="453"/>
      <c r="M409" s="453"/>
      <c r="N409" s="453"/>
      <c r="O409" s="453"/>
      <c r="P409" s="453"/>
      <c r="Q409" s="453"/>
      <c r="R409" s="550"/>
      <c r="S409" s="453"/>
      <c r="T409" s="453"/>
      <c r="U409" s="453"/>
      <c r="V409" s="453"/>
      <c r="W409" s="453"/>
      <c r="X409" s="453"/>
      <c r="Y409" s="453"/>
      <c r="Z409" s="489"/>
      <c r="AA409" s="489"/>
      <c r="AB409" s="490"/>
      <c r="AC409" s="453"/>
      <c r="AD409" s="453"/>
      <c r="AE409" s="453"/>
      <c r="AF409" s="453"/>
      <c r="AG409" s="453"/>
      <c r="AH409" s="453"/>
      <c r="AI409" s="453"/>
      <c r="AJ409" s="453"/>
      <c r="AK409" s="453"/>
      <c r="AL409" s="453"/>
      <c r="AM409" s="453"/>
      <c r="AN409" s="453"/>
      <c r="AO409" s="453"/>
      <c r="AP409" s="453"/>
      <c r="AQ409" s="453"/>
      <c r="AR409" s="453"/>
      <c r="AS409" s="453"/>
      <c r="AT409" s="453"/>
      <c r="AU409" s="453"/>
      <c r="AV409" s="453"/>
      <c r="AW409" s="453"/>
      <c r="AX409" s="453"/>
      <c r="AY409" s="453"/>
      <c r="AZ409" s="453"/>
      <c r="BA409" s="532"/>
      <c r="BB409" s="502"/>
      <c r="BC409" s="503"/>
      <c r="BD409" s="453"/>
      <c r="BE409" s="453"/>
      <c r="BF409" s="470"/>
      <c r="BG409" s="453"/>
      <c r="BH409" s="453"/>
      <c r="BI409" s="453"/>
      <c r="BJ409" s="453"/>
      <c r="BK409" s="453"/>
      <c r="BL409" s="453"/>
      <c r="BM409" s="502"/>
      <c r="BN409" s="490"/>
      <c r="BO409" s="470"/>
      <c r="BP409" s="567"/>
      <c r="BQ409" s="568"/>
      <c r="BR409" s="570"/>
      <c r="BS409" s="524"/>
      <c r="BT409" s="568"/>
      <c r="BU409" s="568" t="s">
        <v>4041</v>
      </c>
    </row>
    <row r="410" s="435" customFormat="1" ht="18" customHeight="1" spans="1:72">
      <c r="A410" s="451" t="s">
        <v>4032</v>
      </c>
      <c r="B410" s="456">
        <v>44805</v>
      </c>
      <c r="C410" s="534">
        <v>1000011817</v>
      </c>
      <c r="D410" s="451"/>
      <c r="E410" s="457"/>
      <c r="F410" s="453"/>
      <c r="G410" s="453"/>
      <c r="H410" s="453"/>
      <c r="I410" s="453"/>
      <c r="J410" s="453"/>
      <c r="K410" s="453"/>
      <c r="L410" s="453"/>
      <c r="M410" s="453"/>
      <c r="N410" s="453"/>
      <c r="O410" s="453"/>
      <c r="P410" s="453"/>
      <c r="Q410" s="453"/>
      <c r="R410" s="550"/>
      <c r="S410" s="453"/>
      <c r="T410" s="453"/>
      <c r="U410" s="453"/>
      <c r="V410" s="453"/>
      <c r="W410" s="453"/>
      <c r="X410" s="453"/>
      <c r="Y410" s="453"/>
      <c r="Z410" s="489"/>
      <c r="AA410" s="489"/>
      <c r="AB410" s="490"/>
      <c r="AC410" s="453"/>
      <c r="AD410" s="453"/>
      <c r="AE410" s="453"/>
      <c r="AF410" s="453"/>
      <c r="AG410" s="453"/>
      <c r="AH410" s="453"/>
      <c r="AI410" s="453"/>
      <c r="AJ410" s="453"/>
      <c r="AK410" s="453"/>
      <c r="AL410" s="453"/>
      <c r="AM410" s="453"/>
      <c r="AN410" s="453"/>
      <c r="AO410" s="453"/>
      <c r="AP410" s="453"/>
      <c r="AQ410" s="453"/>
      <c r="AR410" s="453"/>
      <c r="AS410" s="453"/>
      <c r="AT410" s="453"/>
      <c r="AU410" s="453"/>
      <c r="AV410" s="453"/>
      <c r="AW410" s="453"/>
      <c r="AX410" s="453"/>
      <c r="AY410" s="453"/>
      <c r="AZ410" s="453"/>
      <c r="BA410" s="532">
        <v>10880</v>
      </c>
      <c r="BB410" s="502"/>
      <c r="BC410" s="503"/>
      <c r="BD410" s="453"/>
      <c r="BE410" s="453"/>
      <c r="BF410" s="470"/>
      <c r="BG410" s="453"/>
      <c r="BH410" s="453"/>
      <c r="BI410" s="453"/>
      <c r="BJ410" s="453"/>
      <c r="BK410" s="453"/>
      <c r="BL410" s="453"/>
      <c r="BM410" s="502"/>
      <c r="BN410" s="490"/>
      <c r="BO410" s="470"/>
      <c r="BP410" s="490"/>
      <c r="BQ410" s="453"/>
      <c r="BR410" s="502"/>
      <c r="BS410" s="524"/>
      <c r="BT410" s="571" t="s">
        <v>4042</v>
      </c>
    </row>
    <row r="411" s="435" customFormat="1" ht="18" customHeight="1" spans="1:72">
      <c r="A411" s="451" t="s">
        <v>4032</v>
      </c>
      <c r="B411" s="456">
        <v>44805</v>
      </c>
      <c r="C411" s="534">
        <v>1000011818</v>
      </c>
      <c r="D411" s="451"/>
      <c r="E411" s="457"/>
      <c r="F411" s="453"/>
      <c r="G411" s="453"/>
      <c r="H411" s="453"/>
      <c r="I411" s="453"/>
      <c r="J411" s="453"/>
      <c r="K411" s="453"/>
      <c r="L411" s="453"/>
      <c r="M411" s="453"/>
      <c r="N411" s="453"/>
      <c r="O411" s="453"/>
      <c r="P411" s="453"/>
      <c r="Q411" s="453"/>
      <c r="R411" s="550"/>
      <c r="S411" s="453"/>
      <c r="T411" s="453"/>
      <c r="U411" s="453"/>
      <c r="V411" s="453"/>
      <c r="W411" s="453"/>
      <c r="X411" s="453"/>
      <c r="Y411" s="453"/>
      <c r="Z411" s="489"/>
      <c r="AA411" s="489"/>
      <c r="AB411" s="490"/>
      <c r="AC411" s="453"/>
      <c r="AD411" s="453"/>
      <c r="AE411" s="453"/>
      <c r="AF411" s="453"/>
      <c r="AG411" s="453"/>
      <c r="AH411" s="453"/>
      <c r="AI411" s="453"/>
      <c r="AJ411" s="453"/>
      <c r="AK411" s="453"/>
      <c r="AL411" s="453"/>
      <c r="AM411" s="453"/>
      <c r="AN411" s="453"/>
      <c r="AO411" s="453"/>
      <c r="AP411" s="453"/>
      <c r="AQ411" s="453"/>
      <c r="AR411" s="453"/>
      <c r="AS411" s="453"/>
      <c r="AT411" s="453"/>
      <c r="AU411" s="453"/>
      <c r="AV411" s="453"/>
      <c r="AW411" s="453"/>
      <c r="AX411" s="453"/>
      <c r="AY411" s="453"/>
      <c r="AZ411" s="453"/>
      <c r="BA411" s="532"/>
      <c r="BB411" s="502">
        <v>10560</v>
      </c>
      <c r="BC411" s="503"/>
      <c r="BD411" s="453"/>
      <c r="BE411" s="453"/>
      <c r="BF411" s="470"/>
      <c r="BG411" s="453"/>
      <c r="BH411" s="453"/>
      <c r="BI411" s="453"/>
      <c r="BJ411" s="453"/>
      <c r="BK411" s="453"/>
      <c r="BL411" s="453"/>
      <c r="BM411" s="502"/>
      <c r="BN411" s="490"/>
      <c r="BO411" s="470"/>
      <c r="BP411" s="490"/>
      <c r="BQ411" s="453"/>
      <c r="BR411" s="502"/>
      <c r="BS411" s="524"/>
      <c r="BT411" s="568" t="s">
        <v>4042</v>
      </c>
    </row>
    <row r="412" s="435" customFormat="1" ht="18" customHeight="1" spans="1:72">
      <c r="A412" s="451" t="s">
        <v>4032</v>
      </c>
      <c r="B412" s="456">
        <v>44813</v>
      </c>
      <c r="C412" s="534">
        <v>1000011881</v>
      </c>
      <c r="D412" s="451"/>
      <c r="E412" s="457"/>
      <c r="F412" s="453"/>
      <c r="G412" s="453"/>
      <c r="H412" s="453"/>
      <c r="I412" s="453"/>
      <c r="J412" s="453"/>
      <c r="K412" s="453"/>
      <c r="L412" s="453">
        <v>4000</v>
      </c>
      <c r="M412" s="453"/>
      <c r="N412" s="453"/>
      <c r="O412" s="453"/>
      <c r="P412" s="453"/>
      <c r="Q412" s="453"/>
      <c r="R412" s="550"/>
      <c r="S412" s="453"/>
      <c r="T412" s="453"/>
      <c r="U412" s="453"/>
      <c r="V412" s="453"/>
      <c r="W412" s="453"/>
      <c r="X412" s="453"/>
      <c r="Y412" s="453"/>
      <c r="Z412" s="489"/>
      <c r="AA412" s="489"/>
      <c r="AB412" s="490"/>
      <c r="AC412" s="453"/>
      <c r="AD412" s="453"/>
      <c r="AE412" s="453"/>
      <c r="AF412" s="453"/>
      <c r="AG412" s="453"/>
      <c r="AH412" s="453"/>
      <c r="AI412" s="453"/>
      <c r="AJ412" s="453"/>
      <c r="AK412" s="453"/>
      <c r="AL412" s="453"/>
      <c r="AM412" s="453"/>
      <c r="AN412" s="453"/>
      <c r="AO412" s="453"/>
      <c r="AP412" s="453"/>
      <c r="AQ412" s="453"/>
      <c r="AR412" s="453"/>
      <c r="AS412" s="453"/>
      <c r="AT412" s="453"/>
      <c r="AU412" s="453"/>
      <c r="AV412" s="453"/>
      <c r="AW412" s="453"/>
      <c r="AX412" s="453"/>
      <c r="AY412" s="453"/>
      <c r="AZ412" s="453"/>
      <c r="BA412" s="532"/>
      <c r="BB412" s="502"/>
      <c r="BC412" s="503"/>
      <c r="BD412" s="453"/>
      <c r="BE412" s="453"/>
      <c r="BF412" s="470"/>
      <c r="BG412" s="453"/>
      <c r="BH412" s="453"/>
      <c r="BI412" s="453"/>
      <c r="BJ412" s="453"/>
      <c r="BK412" s="453"/>
      <c r="BL412" s="453"/>
      <c r="BM412" s="502"/>
      <c r="BN412" s="490"/>
      <c r="BO412" s="470"/>
      <c r="BP412" s="490"/>
      <c r="BQ412" s="453"/>
      <c r="BR412" s="502"/>
      <c r="BS412" s="524"/>
      <c r="BT412" s="568"/>
    </row>
    <row r="413" s="435" customFormat="1" ht="18" customHeight="1" spans="1:72">
      <c r="A413" s="451" t="s">
        <v>4032</v>
      </c>
      <c r="B413" s="456">
        <v>44813</v>
      </c>
      <c r="C413" s="534">
        <v>1000011882</v>
      </c>
      <c r="D413" s="451"/>
      <c r="E413" s="457"/>
      <c r="F413" s="453"/>
      <c r="G413" s="453"/>
      <c r="H413" s="453"/>
      <c r="I413" s="453"/>
      <c r="J413" s="453"/>
      <c r="K413" s="453"/>
      <c r="L413" s="453"/>
      <c r="M413" s="453">
        <v>3001</v>
      </c>
      <c r="N413" s="453"/>
      <c r="O413" s="453"/>
      <c r="P413" s="453"/>
      <c r="Q413" s="453"/>
      <c r="R413" s="550"/>
      <c r="S413" s="453"/>
      <c r="T413" s="453"/>
      <c r="U413" s="453"/>
      <c r="V413" s="453"/>
      <c r="W413" s="453"/>
      <c r="X413" s="453"/>
      <c r="Y413" s="453"/>
      <c r="Z413" s="489"/>
      <c r="AA413" s="489"/>
      <c r="AB413" s="490"/>
      <c r="AC413" s="453"/>
      <c r="AD413" s="453"/>
      <c r="AE413" s="453"/>
      <c r="AF413" s="453"/>
      <c r="AG413" s="453"/>
      <c r="AH413" s="453"/>
      <c r="AI413" s="453"/>
      <c r="AJ413" s="453"/>
      <c r="AK413" s="453"/>
      <c r="AL413" s="453"/>
      <c r="AM413" s="453"/>
      <c r="AN413" s="453"/>
      <c r="AO413" s="453"/>
      <c r="AP413" s="453"/>
      <c r="AQ413" s="453"/>
      <c r="AR413" s="453"/>
      <c r="AS413" s="453"/>
      <c r="AT413" s="453"/>
      <c r="AU413" s="453"/>
      <c r="AV413" s="453"/>
      <c r="AW413" s="453"/>
      <c r="AX413" s="453"/>
      <c r="AY413" s="453"/>
      <c r="AZ413" s="453"/>
      <c r="BA413" s="532"/>
      <c r="BB413" s="502"/>
      <c r="BC413" s="503"/>
      <c r="BD413" s="453"/>
      <c r="BE413" s="453"/>
      <c r="BF413" s="470"/>
      <c r="BG413" s="453"/>
      <c r="BH413" s="453"/>
      <c r="BI413" s="453"/>
      <c r="BJ413" s="453"/>
      <c r="BK413" s="453"/>
      <c r="BL413" s="453"/>
      <c r="BM413" s="502"/>
      <c r="BN413" s="490"/>
      <c r="BO413" s="470"/>
      <c r="BP413" s="490"/>
      <c r="BQ413" s="453"/>
      <c r="BR413" s="502"/>
      <c r="BS413" s="524"/>
      <c r="BT413" s="568"/>
    </row>
    <row r="414" s="435" customFormat="1" ht="18" customHeight="1" spans="1:72">
      <c r="A414" s="451" t="s">
        <v>4032</v>
      </c>
      <c r="B414" s="456">
        <v>44813</v>
      </c>
      <c r="C414" s="534">
        <v>1000011883</v>
      </c>
      <c r="D414" s="451"/>
      <c r="E414" s="457"/>
      <c r="F414" s="453"/>
      <c r="G414" s="453"/>
      <c r="H414" s="453"/>
      <c r="I414" s="453"/>
      <c r="J414" s="453"/>
      <c r="K414" s="453"/>
      <c r="L414" s="453"/>
      <c r="M414" s="453"/>
      <c r="N414" s="453">
        <v>6000</v>
      </c>
      <c r="O414" s="453"/>
      <c r="P414" s="453"/>
      <c r="Q414" s="453"/>
      <c r="R414" s="550"/>
      <c r="S414" s="453"/>
      <c r="T414" s="453"/>
      <c r="U414" s="453"/>
      <c r="V414" s="453"/>
      <c r="W414" s="453"/>
      <c r="X414" s="453"/>
      <c r="Y414" s="453"/>
      <c r="Z414" s="489"/>
      <c r="AA414" s="489"/>
      <c r="AB414" s="490"/>
      <c r="AC414" s="453"/>
      <c r="AD414" s="453"/>
      <c r="AE414" s="453"/>
      <c r="AF414" s="453"/>
      <c r="AG414" s="453"/>
      <c r="AH414" s="453"/>
      <c r="AI414" s="453"/>
      <c r="AJ414" s="453"/>
      <c r="AK414" s="453"/>
      <c r="AL414" s="453"/>
      <c r="AM414" s="453"/>
      <c r="AN414" s="453"/>
      <c r="AO414" s="453"/>
      <c r="AP414" s="453"/>
      <c r="AQ414" s="453"/>
      <c r="AR414" s="453"/>
      <c r="AS414" s="453"/>
      <c r="AT414" s="453"/>
      <c r="AU414" s="453"/>
      <c r="AV414" s="453"/>
      <c r="AW414" s="453"/>
      <c r="AX414" s="453"/>
      <c r="AY414" s="453"/>
      <c r="AZ414" s="453"/>
      <c r="BA414" s="532"/>
      <c r="BB414" s="502"/>
      <c r="BC414" s="503"/>
      <c r="BD414" s="453"/>
      <c r="BE414" s="453"/>
      <c r="BF414" s="470"/>
      <c r="BG414" s="453"/>
      <c r="BH414" s="453"/>
      <c r="BI414" s="453"/>
      <c r="BJ414" s="453"/>
      <c r="BK414" s="453"/>
      <c r="BL414" s="453"/>
      <c r="BM414" s="502"/>
      <c r="BN414" s="490"/>
      <c r="BO414" s="470"/>
      <c r="BP414" s="490"/>
      <c r="BQ414" s="453"/>
      <c r="BR414" s="502"/>
      <c r="BS414" s="524"/>
      <c r="BT414" s="568"/>
    </row>
    <row r="415" s="435" customFormat="1" ht="18" customHeight="1" spans="1:72">
      <c r="A415" s="451" t="s">
        <v>4032</v>
      </c>
      <c r="B415" s="456">
        <v>44813</v>
      </c>
      <c r="C415" s="534">
        <v>1000011884</v>
      </c>
      <c r="D415" s="451"/>
      <c r="E415" s="457"/>
      <c r="F415" s="453"/>
      <c r="G415" s="453"/>
      <c r="H415" s="453"/>
      <c r="I415" s="453"/>
      <c r="J415" s="453"/>
      <c r="K415" s="453"/>
      <c r="L415" s="453"/>
      <c r="M415" s="453"/>
      <c r="N415" s="453"/>
      <c r="O415" s="453"/>
      <c r="P415" s="453"/>
      <c r="Q415" s="453"/>
      <c r="R415" s="550"/>
      <c r="S415" s="453">
        <v>15000</v>
      </c>
      <c r="T415" s="453"/>
      <c r="U415" s="453"/>
      <c r="V415" s="453"/>
      <c r="W415" s="453"/>
      <c r="X415" s="453"/>
      <c r="Y415" s="453"/>
      <c r="Z415" s="489"/>
      <c r="AA415" s="489"/>
      <c r="AB415" s="490"/>
      <c r="AC415" s="453"/>
      <c r="AD415" s="453"/>
      <c r="AE415" s="453"/>
      <c r="AF415" s="453"/>
      <c r="AG415" s="453"/>
      <c r="AH415" s="453"/>
      <c r="AI415" s="453"/>
      <c r="AJ415" s="453"/>
      <c r="AK415" s="453"/>
      <c r="AL415" s="453"/>
      <c r="AM415" s="453"/>
      <c r="AN415" s="453"/>
      <c r="AO415" s="453"/>
      <c r="AP415" s="453"/>
      <c r="AQ415" s="453"/>
      <c r="AR415" s="453"/>
      <c r="AS415" s="453"/>
      <c r="AT415" s="453"/>
      <c r="AU415" s="453"/>
      <c r="AV415" s="453"/>
      <c r="AW415" s="453"/>
      <c r="AX415" s="453"/>
      <c r="AY415" s="453"/>
      <c r="AZ415" s="453"/>
      <c r="BA415" s="532"/>
      <c r="BB415" s="502"/>
      <c r="BC415" s="503"/>
      <c r="BD415" s="453"/>
      <c r="BE415" s="453"/>
      <c r="BF415" s="470"/>
      <c r="BG415" s="453"/>
      <c r="BH415" s="453"/>
      <c r="BI415" s="453"/>
      <c r="BJ415" s="453"/>
      <c r="BK415" s="453"/>
      <c r="BL415" s="453"/>
      <c r="BM415" s="502"/>
      <c r="BN415" s="490"/>
      <c r="BO415" s="470"/>
      <c r="BP415" s="490"/>
      <c r="BQ415" s="453"/>
      <c r="BR415" s="502"/>
      <c r="BS415" s="524"/>
      <c r="BT415" s="568"/>
    </row>
    <row r="416" s="435" customFormat="1" ht="18" customHeight="1" spans="1:72">
      <c r="A416" s="451" t="s">
        <v>4032</v>
      </c>
      <c r="B416" s="456">
        <v>44813</v>
      </c>
      <c r="C416" s="534">
        <v>1000011885</v>
      </c>
      <c r="D416" s="451"/>
      <c r="E416" s="457"/>
      <c r="F416" s="453"/>
      <c r="G416" s="453"/>
      <c r="H416" s="453"/>
      <c r="I416" s="453"/>
      <c r="J416" s="453"/>
      <c r="K416" s="453"/>
      <c r="L416" s="453"/>
      <c r="M416" s="453"/>
      <c r="N416" s="453"/>
      <c r="O416" s="453"/>
      <c r="P416" s="453"/>
      <c r="Q416" s="453"/>
      <c r="R416" s="550"/>
      <c r="S416" s="453"/>
      <c r="T416" s="453"/>
      <c r="U416" s="453"/>
      <c r="V416" s="453"/>
      <c r="W416" s="453"/>
      <c r="X416" s="453"/>
      <c r="Y416" s="453"/>
      <c r="Z416" s="489"/>
      <c r="AA416" s="489"/>
      <c r="AB416" s="490"/>
      <c r="AC416" s="453"/>
      <c r="AD416" s="453"/>
      <c r="AE416" s="453"/>
      <c r="AF416" s="453"/>
      <c r="AG416" s="453"/>
      <c r="AH416" s="453"/>
      <c r="AI416" s="550">
        <v>20001</v>
      </c>
      <c r="AJ416" s="550"/>
      <c r="AK416" s="550"/>
      <c r="AL416" s="453"/>
      <c r="AM416" s="453"/>
      <c r="AN416" s="453"/>
      <c r="AO416" s="453"/>
      <c r="AP416" s="453"/>
      <c r="AQ416" s="453"/>
      <c r="AR416" s="453"/>
      <c r="AS416" s="453"/>
      <c r="AT416" s="453"/>
      <c r="AU416" s="453"/>
      <c r="AV416" s="453"/>
      <c r="AW416" s="453"/>
      <c r="AX416" s="453"/>
      <c r="AY416" s="453"/>
      <c r="AZ416" s="453"/>
      <c r="BA416" s="532"/>
      <c r="BB416" s="502"/>
      <c r="BC416" s="503"/>
      <c r="BD416" s="453"/>
      <c r="BE416" s="453"/>
      <c r="BF416" s="470"/>
      <c r="BG416" s="453"/>
      <c r="BH416" s="453"/>
      <c r="BI416" s="453"/>
      <c r="BJ416" s="453"/>
      <c r="BK416" s="453"/>
      <c r="BL416" s="453"/>
      <c r="BM416" s="502"/>
      <c r="BN416" s="490"/>
      <c r="BO416" s="470"/>
      <c r="BP416" s="490"/>
      <c r="BQ416" s="453"/>
      <c r="BR416" s="502"/>
      <c r="BS416" s="524"/>
      <c r="BT416" s="568"/>
    </row>
    <row r="417" s="435" customFormat="1" ht="18" customHeight="1" spans="1:72">
      <c r="A417" s="451" t="s">
        <v>4032</v>
      </c>
      <c r="B417" s="456">
        <v>44813</v>
      </c>
      <c r="C417" s="534">
        <v>1000011886</v>
      </c>
      <c r="D417" s="451"/>
      <c r="E417" s="457"/>
      <c r="F417" s="453"/>
      <c r="G417" s="453"/>
      <c r="H417" s="453"/>
      <c r="I417" s="453"/>
      <c r="J417" s="453"/>
      <c r="K417" s="453"/>
      <c r="L417" s="453"/>
      <c r="M417" s="453"/>
      <c r="N417" s="453"/>
      <c r="O417" s="453"/>
      <c r="P417" s="453"/>
      <c r="Q417" s="453"/>
      <c r="R417" s="550"/>
      <c r="S417" s="453"/>
      <c r="T417" s="453"/>
      <c r="U417" s="453"/>
      <c r="V417" s="453"/>
      <c r="W417" s="453"/>
      <c r="X417" s="453"/>
      <c r="Y417" s="453"/>
      <c r="Z417" s="489"/>
      <c r="AA417" s="489"/>
      <c r="AB417" s="490"/>
      <c r="AC417" s="453"/>
      <c r="AD417" s="453"/>
      <c r="AE417" s="453"/>
      <c r="AF417" s="453"/>
      <c r="AG417" s="453"/>
      <c r="AH417" s="453"/>
      <c r="AI417" s="453"/>
      <c r="AJ417" s="453"/>
      <c r="AK417" s="453"/>
      <c r="AL417" s="453"/>
      <c r="AM417" s="453"/>
      <c r="AN417" s="453"/>
      <c r="AO417" s="453"/>
      <c r="AP417" s="453"/>
      <c r="AQ417" s="453"/>
      <c r="AR417" s="550">
        <v>30000</v>
      </c>
      <c r="AS417" s="550"/>
      <c r="AT417" s="550"/>
      <c r="AU417" s="550"/>
      <c r="AV417" s="453"/>
      <c r="AW417" s="453"/>
      <c r="AX417" s="453"/>
      <c r="AY417" s="453"/>
      <c r="AZ417" s="453"/>
      <c r="BA417" s="532"/>
      <c r="BB417" s="502"/>
      <c r="BC417" s="503"/>
      <c r="BD417" s="453"/>
      <c r="BE417" s="453"/>
      <c r="BF417" s="470"/>
      <c r="BG417" s="453"/>
      <c r="BH417" s="453"/>
      <c r="BI417" s="453"/>
      <c r="BJ417" s="453"/>
      <c r="BK417" s="453"/>
      <c r="BL417" s="453"/>
      <c r="BM417" s="502"/>
      <c r="BN417" s="490"/>
      <c r="BO417" s="470"/>
      <c r="BP417" s="490"/>
      <c r="BQ417" s="453"/>
      <c r="BR417" s="502"/>
      <c r="BS417" s="524"/>
      <c r="BT417" s="568"/>
    </row>
    <row r="418" s="436" customFormat="1" ht="18" customHeight="1" spans="1:72">
      <c r="A418" s="545" t="s">
        <v>4032</v>
      </c>
      <c r="B418" s="546">
        <v>44859</v>
      </c>
      <c r="C418" s="547">
        <v>1000012290</v>
      </c>
      <c r="D418" s="545"/>
      <c r="E418" s="548"/>
      <c r="F418" s="549"/>
      <c r="G418" s="549"/>
      <c r="H418" s="549"/>
      <c r="I418" s="549"/>
      <c r="J418" s="549"/>
      <c r="K418" s="549"/>
      <c r="L418" s="549"/>
      <c r="M418" s="549"/>
      <c r="N418" s="549"/>
      <c r="O418" s="549"/>
      <c r="P418" s="549"/>
      <c r="Q418" s="549"/>
      <c r="R418" s="551"/>
      <c r="S418" s="549"/>
      <c r="T418" s="549"/>
      <c r="U418" s="549"/>
      <c r="V418" s="549"/>
      <c r="W418" s="549"/>
      <c r="X418" s="549"/>
      <c r="Y418" s="549"/>
      <c r="Z418" s="552"/>
      <c r="AA418" s="552"/>
      <c r="AB418" s="553"/>
      <c r="AC418" s="549"/>
      <c r="AD418" s="551"/>
      <c r="AE418" s="551">
        <v>120000</v>
      </c>
      <c r="AF418" s="551"/>
      <c r="AG418" s="549"/>
      <c r="AH418" s="549"/>
      <c r="AI418" s="549"/>
      <c r="AJ418" s="549"/>
      <c r="AK418" s="549"/>
      <c r="AL418" s="549"/>
      <c r="AM418" s="549"/>
      <c r="AN418" s="549"/>
      <c r="AO418" s="549"/>
      <c r="AP418" s="549"/>
      <c r="AQ418" s="549"/>
      <c r="AR418" s="549"/>
      <c r="AS418" s="549"/>
      <c r="AT418" s="549"/>
      <c r="AU418" s="549"/>
      <c r="AV418" s="549"/>
      <c r="AW418" s="549"/>
      <c r="AX418" s="549"/>
      <c r="AY418" s="549"/>
      <c r="AZ418" s="549"/>
      <c r="BA418" s="554"/>
      <c r="BB418" s="555"/>
      <c r="BC418" s="556"/>
      <c r="BD418" s="549"/>
      <c r="BE418" s="549"/>
      <c r="BF418" s="562"/>
      <c r="BG418" s="549"/>
      <c r="BH418" s="549"/>
      <c r="BI418" s="549"/>
      <c r="BJ418" s="549"/>
      <c r="BK418" s="549"/>
      <c r="BL418" s="549"/>
      <c r="BM418" s="555"/>
      <c r="BN418" s="553"/>
      <c r="BO418" s="562"/>
      <c r="BP418" s="553"/>
      <c r="BQ418" s="549"/>
      <c r="BR418" s="555"/>
      <c r="BS418" s="572"/>
      <c r="BT418" s="573"/>
    </row>
    <row r="419" s="436" customFormat="1" ht="18" customHeight="1" spans="1:72">
      <c r="A419" s="545" t="s">
        <v>4032</v>
      </c>
      <c r="B419" s="546">
        <v>44859</v>
      </c>
      <c r="C419" s="547">
        <v>1000012292</v>
      </c>
      <c r="D419" s="545"/>
      <c r="E419" s="548"/>
      <c r="F419" s="549"/>
      <c r="G419" s="549"/>
      <c r="H419" s="549"/>
      <c r="I419" s="549"/>
      <c r="J419" s="549"/>
      <c r="K419" s="549"/>
      <c r="L419" s="549"/>
      <c r="M419" s="549"/>
      <c r="N419" s="549"/>
      <c r="O419" s="549"/>
      <c r="P419" s="549"/>
      <c r="Q419" s="549"/>
      <c r="R419" s="551"/>
      <c r="S419" s="549"/>
      <c r="T419" s="549"/>
      <c r="U419" s="549"/>
      <c r="V419" s="549"/>
      <c r="W419" s="549"/>
      <c r="X419" s="549"/>
      <c r="Y419" s="549"/>
      <c r="Z419" s="552"/>
      <c r="AA419" s="552"/>
      <c r="AB419" s="553"/>
      <c r="AC419" s="549"/>
      <c r="AD419" s="549"/>
      <c r="AE419" s="549"/>
      <c r="AF419" s="549"/>
      <c r="AG419" s="549"/>
      <c r="AH419" s="549"/>
      <c r="AI419" s="549"/>
      <c r="AJ419" s="549"/>
      <c r="AK419" s="549"/>
      <c r="AL419" s="549"/>
      <c r="AM419" s="549"/>
      <c r="AN419" s="549"/>
      <c r="AO419" s="549"/>
      <c r="AP419" s="549"/>
      <c r="AQ419" s="549"/>
      <c r="AR419" s="551"/>
      <c r="AS419" s="551">
        <v>100000</v>
      </c>
      <c r="AT419" s="551"/>
      <c r="AU419" s="551"/>
      <c r="AV419" s="549"/>
      <c r="AW419" s="549"/>
      <c r="AX419" s="549"/>
      <c r="AY419" s="549"/>
      <c r="AZ419" s="549"/>
      <c r="BA419" s="554"/>
      <c r="BB419" s="555"/>
      <c r="BC419" s="556"/>
      <c r="BD419" s="549"/>
      <c r="BE419" s="549"/>
      <c r="BF419" s="562"/>
      <c r="BG419" s="549"/>
      <c r="BH419" s="549"/>
      <c r="BI419" s="549"/>
      <c r="BJ419" s="549"/>
      <c r="BK419" s="549"/>
      <c r="BL419" s="549"/>
      <c r="BM419" s="555"/>
      <c r="BN419" s="553"/>
      <c r="BO419" s="562"/>
      <c r="BP419" s="553"/>
      <c r="BQ419" s="549"/>
      <c r="BR419" s="555"/>
      <c r="BS419" s="572"/>
      <c r="BT419" s="573"/>
    </row>
    <row r="420" s="435" customFormat="1" ht="18" customHeight="1" spans="1:72">
      <c r="A420" s="451" t="s">
        <v>4032</v>
      </c>
      <c r="B420" s="456">
        <v>44824</v>
      </c>
      <c r="C420" s="534">
        <v>1000011983</v>
      </c>
      <c r="D420" s="451"/>
      <c r="E420" s="457"/>
      <c r="F420" s="453"/>
      <c r="G420" s="453"/>
      <c r="H420" s="453"/>
      <c r="I420" s="453"/>
      <c r="J420" s="453"/>
      <c r="K420" s="453"/>
      <c r="L420" s="453"/>
      <c r="M420" s="453"/>
      <c r="N420" s="453"/>
      <c r="O420" s="453"/>
      <c r="P420" s="453"/>
      <c r="Q420" s="453"/>
      <c r="R420" s="550"/>
      <c r="S420" s="453"/>
      <c r="T420" s="453"/>
      <c r="U420" s="453"/>
      <c r="V420" s="453"/>
      <c r="W420" s="453"/>
      <c r="X420" s="453"/>
      <c r="Y420" s="453"/>
      <c r="Z420" s="489"/>
      <c r="AA420" s="489"/>
      <c r="AB420" s="490"/>
      <c r="AC420" s="453"/>
      <c r="AD420" s="453"/>
      <c r="AE420" s="453"/>
      <c r="AF420" s="453"/>
      <c r="AG420" s="453"/>
      <c r="AH420" s="453"/>
      <c r="AI420" s="453"/>
      <c r="AJ420" s="453"/>
      <c r="AK420" s="453"/>
      <c r="AL420" s="453"/>
      <c r="AM420" s="453"/>
      <c r="AN420" s="453"/>
      <c r="AO420" s="453"/>
      <c r="AP420" s="453"/>
      <c r="AQ420" s="453"/>
      <c r="AR420" s="453"/>
      <c r="AS420" s="453"/>
      <c r="AT420" s="453"/>
      <c r="AU420" s="453"/>
      <c r="AV420" s="453"/>
      <c r="AW420" s="453"/>
      <c r="AX420" s="453"/>
      <c r="AY420" s="453"/>
      <c r="AZ420" s="453"/>
      <c r="BA420" s="532"/>
      <c r="BB420" s="502"/>
      <c r="BC420" s="503"/>
      <c r="BD420" s="453"/>
      <c r="BE420" s="453"/>
      <c r="BF420" s="470"/>
      <c r="BG420" s="453"/>
      <c r="BH420" s="453"/>
      <c r="BI420" s="453"/>
      <c r="BJ420" s="561"/>
      <c r="BK420" s="453"/>
      <c r="BL420" s="453"/>
      <c r="BM420" s="502"/>
      <c r="BN420" s="490"/>
      <c r="BO420" s="470"/>
      <c r="BP420" s="490"/>
      <c r="BQ420" s="453"/>
      <c r="BR420" s="502"/>
      <c r="BS420" s="524"/>
      <c r="BT420" s="568"/>
    </row>
    <row r="421" s="435" customFormat="1" ht="18" customHeight="1" spans="1:72">
      <c r="A421" s="451" t="s">
        <v>4032</v>
      </c>
      <c r="B421" s="456">
        <v>44858</v>
      </c>
      <c r="C421" s="534">
        <v>1000012246</v>
      </c>
      <c r="D421" s="451"/>
      <c r="E421" s="457"/>
      <c r="F421" s="453"/>
      <c r="G421" s="453"/>
      <c r="H421" s="453"/>
      <c r="I421" s="453"/>
      <c r="J421" s="453"/>
      <c r="K421" s="453"/>
      <c r="L421" s="453"/>
      <c r="M421" s="453"/>
      <c r="N421" s="453"/>
      <c r="O421" s="453"/>
      <c r="P421" s="453"/>
      <c r="Q421" s="453"/>
      <c r="R421" s="550"/>
      <c r="S421" s="453"/>
      <c r="T421" s="453"/>
      <c r="U421" s="453"/>
      <c r="V421" s="453"/>
      <c r="W421" s="453"/>
      <c r="X421" s="453"/>
      <c r="Y421" s="453"/>
      <c r="Z421" s="489"/>
      <c r="AA421" s="489"/>
      <c r="AB421" s="490"/>
      <c r="AC421" s="458"/>
      <c r="AD421" s="453"/>
      <c r="AE421" s="453"/>
      <c r="AF421" s="453"/>
      <c r="AG421" s="453"/>
      <c r="AH421" s="453"/>
      <c r="AI421" s="453"/>
      <c r="AJ421" s="453"/>
      <c r="AK421" s="453"/>
      <c r="AL421" s="453"/>
      <c r="AM421" s="453"/>
      <c r="AN421" s="453"/>
      <c r="AO421" s="453"/>
      <c r="AP421" s="453"/>
      <c r="AQ421" s="453"/>
      <c r="AR421" s="453"/>
      <c r="AS421" s="453"/>
      <c r="AT421" s="453"/>
      <c r="AU421" s="453"/>
      <c r="AV421" s="453"/>
      <c r="AW421" s="453"/>
      <c r="AX421" s="453"/>
      <c r="AY421" s="453"/>
      <c r="AZ421" s="527">
        <v>2240</v>
      </c>
      <c r="BA421" s="557"/>
      <c r="BB421" s="558"/>
      <c r="BC421" s="503"/>
      <c r="BD421" s="453"/>
      <c r="BE421" s="453"/>
      <c r="BF421" s="470"/>
      <c r="BG421" s="453"/>
      <c r="BH421" s="453"/>
      <c r="BI421" s="453"/>
      <c r="BJ421" s="561"/>
      <c r="BK421" s="453"/>
      <c r="BL421" s="453"/>
      <c r="BM421" s="502"/>
      <c r="BN421" s="490"/>
      <c r="BO421" s="470"/>
      <c r="BP421" s="490"/>
      <c r="BQ421" s="453"/>
      <c r="BR421" s="502"/>
      <c r="BS421" s="524"/>
      <c r="BT421" s="568"/>
    </row>
    <row r="422" s="435" customFormat="1" ht="18" customHeight="1" spans="1:72">
      <c r="A422" s="451" t="s">
        <v>4032</v>
      </c>
      <c r="B422" s="456">
        <v>44858</v>
      </c>
      <c r="C422" s="534">
        <v>1000012247</v>
      </c>
      <c r="D422" s="451"/>
      <c r="E422" s="457"/>
      <c r="F422" s="453"/>
      <c r="G422" s="453"/>
      <c r="H422" s="453"/>
      <c r="I422" s="453"/>
      <c r="J422" s="453"/>
      <c r="K422" s="453"/>
      <c r="L422" s="453"/>
      <c r="M422" s="453"/>
      <c r="N422" s="453"/>
      <c r="O422" s="453"/>
      <c r="P422" s="453"/>
      <c r="Q422" s="453"/>
      <c r="R422" s="550"/>
      <c r="S422" s="453"/>
      <c r="T422" s="453"/>
      <c r="U422" s="453"/>
      <c r="V422" s="453"/>
      <c r="W422" s="453"/>
      <c r="X422" s="453"/>
      <c r="Y422" s="453"/>
      <c r="Z422" s="489"/>
      <c r="AA422" s="489"/>
      <c r="AB422" s="490"/>
      <c r="AC422" s="453"/>
      <c r="AD422" s="453"/>
      <c r="AE422" s="453"/>
      <c r="AF422" s="453"/>
      <c r="AG422" s="453"/>
      <c r="AH422" s="453"/>
      <c r="AI422" s="453"/>
      <c r="AJ422" s="453"/>
      <c r="AK422" s="453"/>
      <c r="AL422" s="453"/>
      <c r="AM422" s="453"/>
      <c r="AN422" s="453"/>
      <c r="AO422" s="453"/>
      <c r="AP422" s="453"/>
      <c r="AQ422" s="453"/>
      <c r="AR422" s="453"/>
      <c r="AS422" s="453"/>
      <c r="AT422" s="453"/>
      <c r="AU422" s="453"/>
      <c r="AV422" s="453"/>
      <c r="AW422" s="453"/>
      <c r="AX422" s="453"/>
      <c r="AY422" s="453"/>
      <c r="AZ422" s="527"/>
      <c r="BA422" s="557">
        <v>1920</v>
      </c>
      <c r="BB422" s="558"/>
      <c r="BC422" s="503"/>
      <c r="BD422" s="453"/>
      <c r="BE422" s="453"/>
      <c r="BF422" s="470"/>
      <c r="BG422" s="453"/>
      <c r="BH422" s="453"/>
      <c r="BI422" s="453"/>
      <c r="BJ422" s="453"/>
      <c r="BK422" s="453"/>
      <c r="BL422" s="453"/>
      <c r="BM422" s="502"/>
      <c r="BN422" s="490"/>
      <c r="BO422" s="470"/>
      <c r="BP422" s="490"/>
      <c r="BQ422" s="453"/>
      <c r="BR422" s="502"/>
      <c r="BS422" s="524"/>
      <c r="BT422" s="571" t="s">
        <v>4043</v>
      </c>
    </row>
    <row r="423" s="435" customFormat="1" ht="18" customHeight="1" spans="1:72">
      <c r="A423" s="451" t="s">
        <v>4032</v>
      </c>
      <c r="B423" s="456">
        <v>44858</v>
      </c>
      <c r="C423" s="534">
        <v>1000012248</v>
      </c>
      <c r="D423" s="451"/>
      <c r="E423" s="457"/>
      <c r="F423" s="453"/>
      <c r="G423" s="453"/>
      <c r="H423" s="453"/>
      <c r="I423" s="453"/>
      <c r="J423" s="453"/>
      <c r="K423" s="453"/>
      <c r="L423" s="453"/>
      <c r="M423" s="453"/>
      <c r="N423" s="453"/>
      <c r="O423" s="453"/>
      <c r="P423" s="453"/>
      <c r="Q423" s="453"/>
      <c r="R423" s="550"/>
      <c r="S423" s="453"/>
      <c r="T423" s="453"/>
      <c r="U423" s="453"/>
      <c r="V423" s="453"/>
      <c r="W423" s="453"/>
      <c r="X423" s="453"/>
      <c r="Y423" s="453"/>
      <c r="Z423" s="489"/>
      <c r="AA423" s="489"/>
      <c r="AB423" s="490"/>
      <c r="AC423" s="453"/>
      <c r="AD423" s="453"/>
      <c r="AE423" s="453"/>
      <c r="AF423" s="453"/>
      <c r="AG423" s="453"/>
      <c r="AH423" s="453"/>
      <c r="AI423" s="453"/>
      <c r="AJ423" s="453"/>
      <c r="AK423" s="453"/>
      <c r="AL423" s="453"/>
      <c r="AM423" s="453"/>
      <c r="AN423" s="453"/>
      <c r="AO423" s="453"/>
      <c r="AP423" s="453"/>
      <c r="AQ423" s="453"/>
      <c r="AR423" s="453"/>
      <c r="AS423" s="453"/>
      <c r="AT423" s="453"/>
      <c r="AU423" s="453"/>
      <c r="AV423" s="453"/>
      <c r="AW423" s="453"/>
      <c r="AX423" s="453"/>
      <c r="AY423" s="453"/>
      <c r="AZ423" s="527"/>
      <c r="BA423" s="557"/>
      <c r="BB423" s="558">
        <v>960</v>
      </c>
      <c r="BC423" s="503"/>
      <c r="BD423" s="453"/>
      <c r="BE423" s="453"/>
      <c r="BF423" s="470"/>
      <c r="BG423" s="453"/>
      <c r="BH423" s="453"/>
      <c r="BI423" s="453"/>
      <c r="BJ423" s="453"/>
      <c r="BK423" s="453"/>
      <c r="BL423" s="453"/>
      <c r="BM423" s="502"/>
      <c r="BN423" s="490"/>
      <c r="BO423" s="470"/>
      <c r="BP423" s="490"/>
      <c r="BQ423" s="453"/>
      <c r="BR423" s="502"/>
      <c r="BS423" s="524"/>
      <c r="BT423" s="571" t="s">
        <v>4043</v>
      </c>
    </row>
    <row r="424" s="435" customFormat="1" ht="18" customHeight="1" spans="1:72">
      <c r="A424" s="451" t="s">
        <v>4032</v>
      </c>
      <c r="B424" s="456">
        <v>44830</v>
      </c>
      <c r="C424" s="534">
        <v>1000012038</v>
      </c>
      <c r="D424" s="451"/>
      <c r="E424" s="457"/>
      <c r="F424" s="453"/>
      <c r="G424" s="453"/>
      <c r="H424" s="453"/>
      <c r="I424" s="453"/>
      <c r="J424" s="453"/>
      <c r="K424" s="453"/>
      <c r="L424" s="453"/>
      <c r="M424" s="453"/>
      <c r="N424" s="453"/>
      <c r="O424" s="453"/>
      <c r="P424" s="453"/>
      <c r="Q424" s="453"/>
      <c r="R424" s="550"/>
      <c r="S424" s="453"/>
      <c r="T424" s="453"/>
      <c r="U424" s="453"/>
      <c r="V424" s="453"/>
      <c r="W424" s="453"/>
      <c r="X424" s="453"/>
      <c r="Y424" s="453"/>
      <c r="Z424" s="489"/>
      <c r="AA424" s="489"/>
      <c r="AB424" s="490"/>
      <c r="AC424" s="453"/>
      <c r="AD424" s="453"/>
      <c r="AE424" s="453"/>
      <c r="AF424" s="453"/>
      <c r="AG424" s="453"/>
      <c r="AH424" s="453"/>
      <c r="AI424" s="453"/>
      <c r="AJ424" s="453"/>
      <c r="AK424" s="453"/>
      <c r="AL424" s="453"/>
      <c r="AM424" s="453"/>
      <c r="AN424" s="453"/>
      <c r="AO424" s="453"/>
      <c r="AP424" s="453"/>
      <c r="AQ424" s="453"/>
      <c r="AR424" s="453"/>
      <c r="AS424" s="453"/>
      <c r="AT424" s="453"/>
      <c r="AU424" s="453"/>
      <c r="AV424" s="453"/>
      <c r="AW424" s="453"/>
      <c r="AX424" s="453"/>
      <c r="AY424" s="453"/>
      <c r="AZ424" s="453"/>
      <c r="BA424" s="532"/>
      <c r="BB424" s="502"/>
      <c r="BC424" s="503"/>
      <c r="BD424" s="453"/>
      <c r="BE424" s="453"/>
      <c r="BF424" s="470"/>
      <c r="BG424" s="453"/>
      <c r="BH424" s="453"/>
      <c r="BI424" s="453"/>
      <c r="BJ424" s="453"/>
      <c r="BK424" s="453"/>
      <c r="BL424" s="453"/>
      <c r="BM424" s="502"/>
      <c r="BN424" s="574"/>
      <c r="BO424" s="470"/>
      <c r="BP424" s="490"/>
      <c r="BQ424" s="453"/>
      <c r="BR424" s="502"/>
      <c r="BS424" s="524"/>
      <c r="BT424" s="575" t="s">
        <v>4044</v>
      </c>
    </row>
    <row r="425" s="435" customFormat="1" ht="18" customHeight="1" spans="1:72">
      <c r="A425" s="451" t="s">
        <v>4032</v>
      </c>
      <c r="B425" s="456">
        <v>44830</v>
      </c>
      <c r="C425" s="534">
        <v>1000012039</v>
      </c>
      <c r="D425" s="451"/>
      <c r="E425" s="457"/>
      <c r="F425" s="453"/>
      <c r="G425" s="453"/>
      <c r="H425" s="453"/>
      <c r="I425" s="453"/>
      <c r="J425" s="453"/>
      <c r="K425" s="453"/>
      <c r="L425" s="453"/>
      <c r="M425" s="453"/>
      <c r="N425" s="453"/>
      <c r="O425" s="453"/>
      <c r="P425" s="453"/>
      <c r="Q425" s="453"/>
      <c r="R425" s="550"/>
      <c r="S425" s="453"/>
      <c r="T425" s="453"/>
      <c r="U425" s="453"/>
      <c r="V425" s="453"/>
      <c r="W425" s="453"/>
      <c r="X425" s="453"/>
      <c r="Y425" s="453"/>
      <c r="Z425" s="489"/>
      <c r="AA425" s="489"/>
      <c r="AB425" s="490"/>
      <c r="AC425" s="453"/>
      <c r="AD425" s="453"/>
      <c r="AE425" s="453"/>
      <c r="AF425" s="453"/>
      <c r="AG425" s="453"/>
      <c r="AH425" s="453"/>
      <c r="AI425" s="453"/>
      <c r="AJ425" s="453"/>
      <c r="AK425" s="453"/>
      <c r="AL425" s="453"/>
      <c r="AM425" s="453"/>
      <c r="AN425" s="453"/>
      <c r="AO425" s="453"/>
      <c r="AP425" s="453"/>
      <c r="AQ425" s="453"/>
      <c r="AR425" s="453"/>
      <c r="AS425" s="453"/>
      <c r="AT425" s="453"/>
      <c r="AU425" s="453"/>
      <c r="AV425" s="453"/>
      <c r="AW425" s="453"/>
      <c r="AX425" s="453"/>
      <c r="AY425" s="453"/>
      <c r="AZ425" s="453"/>
      <c r="BA425" s="532"/>
      <c r="BB425" s="502"/>
      <c r="BC425" s="503"/>
      <c r="BD425" s="453"/>
      <c r="BE425" s="453"/>
      <c r="BF425" s="470"/>
      <c r="BG425" s="453"/>
      <c r="BH425" s="453"/>
      <c r="BI425" s="453"/>
      <c r="BJ425" s="453"/>
      <c r="BK425" s="453"/>
      <c r="BL425" s="453"/>
      <c r="BM425" s="502"/>
      <c r="BN425" s="490"/>
      <c r="BO425" s="470"/>
      <c r="BP425" s="490"/>
      <c r="BQ425" s="453"/>
      <c r="BR425" s="502"/>
      <c r="BS425" s="524"/>
      <c r="BT425" s="575" t="s">
        <v>4044</v>
      </c>
    </row>
    <row r="426" s="435" customFormat="1" ht="18" customHeight="1" spans="1:72">
      <c r="A426" s="451" t="s">
        <v>4032</v>
      </c>
      <c r="B426" s="456">
        <v>44830</v>
      </c>
      <c r="C426" s="534">
        <v>1000012040</v>
      </c>
      <c r="D426" s="451"/>
      <c r="E426" s="457"/>
      <c r="F426" s="453"/>
      <c r="G426" s="453"/>
      <c r="H426" s="453"/>
      <c r="I426" s="453"/>
      <c r="J426" s="453"/>
      <c r="K426" s="453"/>
      <c r="L426" s="453"/>
      <c r="M426" s="453"/>
      <c r="N426" s="453"/>
      <c r="O426" s="453"/>
      <c r="P426" s="453"/>
      <c r="Q426" s="453"/>
      <c r="R426" s="550"/>
      <c r="S426" s="453"/>
      <c r="T426" s="453"/>
      <c r="U426" s="453"/>
      <c r="V426" s="453"/>
      <c r="W426" s="453"/>
      <c r="X426" s="453"/>
      <c r="Y426" s="453"/>
      <c r="Z426" s="489"/>
      <c r="AA426" s="489"/>
      <c r="AB426" s="490"/>
      <c r="AC426" s="453"/>
      <c r="AD426" s="453"/>
      <c r="AE426" s="453"/>
      <c r="AF426" s="453"/>
      <c r="AG426" s="453"/>
      <c r="AH426" s="453"/>
      <c r="AI426" s="453"/>
      <c r="AJ426" s="453"/>
      <c r="AK426" s="453"/>
      <c r="AL426" s="453"/>
      <c r="AM426" s="453"/>
      <c r="AN426" s="453"/>
      <c r="AO426" s="453"/>
      <c r="AP426" s="453"/>
      <c r="AQ426" s="453"/>
      <c r="AR426" s="453"/>
      <c r="AS426" s="453"/>
      <c r="AT426" s="453"/>
      <c r="AU426" s="453"/>
      <c r="AV426" s="453"/>
      <c r="AW426" s="453"/>
      <c r="AX426" s="453"/>
      <c r="AY426" s="453"/>
      <c r="AZ426" s="453"/>
      <c r="BA426" s="532"/>
      <c r="BB426" s="502"/>
      <c r="BC426" s="503"/>
      <c r="BD426" s="453"/>
      <c r="BE426" s="453"/>
      <c r="BF426" s="470"/>
      <c r="BG426" s="453"/>
      <c r="BH426" s="453"/>
      <c r="BI426" s="453"/>
      <c r="BJ426" s="453"/>
      <c r="BK426" s="453"/>
      <c r="BL426" s="453"/>
      <c r="BM426" s="502"/>
      <c r="BN426" s="490"/>
      <c r="BO426" s="576"/>
      <c r="BP426" s="490"/>
      <c r="BQ426" s="453"/>
      <c r="BR426" s="502"/>
      <c r="BS426" s="524"/>
      <c r="BT426" s="575" t="s">
        <v>4044</v>
      </c>
    </row>
    <row r="427" s="435" customFormat="1" ht="18" customHeight="1" spans="1:72">
      <c r="A427" s="451" t="s">
        <v>4032</v>
      </c>
      <c r="B427" s="456">
        <v>44830</v>
      </c>
      <c r="C427" s="534">
        <v>1000012041</v>
      </c>
      <c r="D427" s="451"/>
      <c r="E427" s="457"/>
      <c r="F427" s="453"/>
      <c r="G427" s="453"/>
      <c r="H427" s="453"/>
      <c r="I427" s="453"/>
      <c r="J427" s="453"/>
      <c r="K427" s="453"/>
      <c r="L427" s="453"/>
      <c r="M427" s="453"/>
      <c r="N427" s="453"/>
      <c r="O427" s="453"/>
      <c r="P427" s="453"/>
      <c r="Q427" s="453"/>
      <c r="R427" s="550"/>
      <c r="S427" s="453"/>
      <c r="T427" s="453"/>
      <c r="U427" s="453"/>
      <c r="V427" s="453"/>
      <c r="W427" s="453"/>
      <c r="X427" s="453"/>
      <c r="Y427" s="453"/>
      <c r="Z427" s="489"/>
      <c r="AA427" s="489"/>
      <c r="AB427" s="490"/>
      <c r="AC427" s="453"/>
      <c r="AD427" s="453"/>
      <c r="AE427" s="453"/>
      <c r="AF427" s="453"/>
      <c r="AG427" s="453"/>
      <c r="AH427" s="453"/>
      <c r="AI427" s="453"/>
      <c r="AJ427" s="453"/>
      <c r="AK427" s="453"/>
      <c r="AL427" s="453"/>
      <c r="AM427" s="453"/>
      <c r="AN427" s="453"/>
      <c r="AO427" s="453"/>
      <c r="AP427" s="453"/>
      <c r="AQ427" s="453"/>
      <c r="AR427" s="453"/>
      <c r="AS427" s="453"/>
      <c r="AT427" s="453"/>
      <c r="AU427" s="453"/>
      <c r="AV427" s="453"/>
      <c r="AW427" s="453"/>
      <c r="AX427" s="453"/>
      <c r="AY427" s="453"/>
      <c r="AZ427" s="453"/>
      <c r="BA427" s="532"/>
      <c r="BB427" s="502"/>
      <c r="BC427" s="503"/>
      <c r="BD427" s="453"/>
      <c r="BE427" s="453"/>
      <c r="BF427" s="470"/>
      <c r="BG427" s="453"/>
      <c r="BH427" s="453"/>
      <c r="BI427" s="453"/>
      <c r="BJ427" s="453"/>
      <c r="BK427" s="453"/>
      <c r="BL427" s="453"/>
      <c r="BM427" s="502"/>
      <c r="BN427" s="490"/>
      <c r="BO427" s="470"/>
      <c r="BP427" s="574"/>
      <c r="BQ427" s="458"/>
      <c r="BR427" s="577"/>
      <c r="BS427" s="524"/>
      <c r="BT427" s="575" t="s">
        <v>4044</v>
      </c>
    </row>
    <row r="428" s="435" customFormat="1" ht="18" customHeight="1" spans="1:72">
      <c r="A428" s="451" t="s">
        <v>4032</v>
      </c>
      <c r="B428" s="456">
        <v>44858</v>
      </c>
      <c r="C428" s="534">
        <v>1000012291</v>
      </c>
      <c r="D428" s="451"/>
      <c r="E428" s="457"/>
      <c r="F428" s="453"/>
      <c r="G428" s="453"/>
      <c r="H428" s="453"/>
      <c r="I428" s="453"/>
      <c r="J428" s="453"/>
      <c r="K428" s="453"/>
      <c r="L428" s="453"/>
      <c r="M428" s="453"/>
      <c r="N428" s="453"/>
      <c r="O428" s="453"/>
      <c r="P428" s="453"/>
      <c r="Q428" s="453"/>
      <c r="R428" s="550"/>
      <c r="S428" s="453"/>
      <c r="T428" s="453"/>
      <c r="U428" s="453"/>
      <c r="V428" s="453"/>
      <c r="W428" s="453"/>
      <c r="X428" s="453"/>
      <c r="Y428" s="453"/>
      <c r="Z428" s="489"/>
      <c r="AA428" s="489"/>
      <c r="AB428" s="490"/>
      <c r="AC428" s="453"/>
      <c r="AD428" s="453"/>
      <c r="AE428" s="453"/>
      <c r="AF428" s="453"/>
      <c r="AG428" s="453"/>
      <c r="AH428" s="453"/>
      <c r="AI428" s="453"/>
      <c r="AJ428" s="453">
        <v>33000</v>
      </c>
      <c r="AK428" s="453"/>
      <c r="AL428" s="453"/>
      <c r="AM428" s="453"/>
      <c r="AN428" s="453"/>
      <c r="AO428" s="453"/>
      <c r="AP428" s="453"/>
      <c r="AQ428" s="453"/>
      <c r="AR428" s="453"/>
      <c r="AS428" s="453"/>
      <c r="AT428" s="453"/>
      <c r="AU428" s="453"/>
      <c r="AV428" s="453"/>
      <c r="AW428" s="453"/>
      <c r="AX428" s="453"/>
      <c r="AY428" s="453"/>
      <c r="AZ428" s="453"/>
      <c r="BA428" s="532"/>
      <c r="BB428" s="502"/>
      <c r="BC428" s="503"/>
      <c r="BD428" s="453"/>
      <c r="BE428" s="453"/>
      <c r="BF428" s="470"/>
      <c r="BG428" s="453"/>
      <c r="BH428" s="453"/>
      <c r="BI428" s="453"/>
      <c r="BJ428" s="453"/>
      <c r="BK428" s="453"/>
      <c r="BL428" s="453"/>
      <c r="BM428" s="502"/>
      <c r="BN428" s="490"/>
      <c r="BO428" s="470"/>
      <c r="BP428" s="574"/>
      <c r="BQ428" s="458"/>
      <c r="BR428" s="577"/>
      <c r="BS428" s="524"/>
      <c r="BT428" s="575"/>
    </row>
    <row r="429" s="435" customFormat="1" ht="18" customHeight="1" spans="1:72">
      <c r="A429" s="451" t="s">
        <v>4032</v>
      </c>
      <c r="B429" s="456">
        <v>44859</v>
      </c>
      <c r="C429" s="534">
        <v>1000012284</v>
      </c>
      <c r="D429" s="451"/>
      <c r="E429" s="457"/>
      <c r="F429" s="453"/>
      <c r="G429" s="453"/>
      <c r="H429" s="453"/>
      <c r="I429" s="453"/>
      <c r="J429" s="453"/>
      <c r="K429" s="453"/>
      <c r="L429" s="527">
        <v>3001</v>
      </c>
      <c r="M429" s="527"/>
      <c r="N429" s="527"/>
      <c r="O429" s="527"/>
      <c r="P429" s="527"/>
      <c r="Q429" s="527"/>
      <c r="R429" s="550"/>
      <c r="S429" s="453"/>
      <c r="T429" s="453"/>
      <c r="U429" s="453"/>
      <c r="V429" s="453"/>
      <c r="W429" s="453"/>
      <c r="X429" s="453"/>
      <c r="Y429" s="453"/>
      <c r="Z429" s="489"/>
      <c r="AA429" s="489"/>
      <c r="AB429" s="490"/>
      <c r="AC429" s="453"/>
      <c r="AD429" s="453"/>
      <c r="AE429" s="453"/>
      <c r="AF429" s="453"/>
      <c r="AG429" s="453"/>
      <c r="AH429" s="453"/>
      <c r="AI429" s="453"/>
      <c r="AJ429" s="453"/>
      <c r="AK429" s="453"/>
      <c r="AL429" s="453"/>
      <c r="AM429" s="453"/>
      <c r="AN429" s="453"/>
      <c r="AO429" s="453"/>
      <c r="AP429" s="453"/>
      <c r="AQ429" s="453"/>
      <c r="AR429" s="453"/>
      <c r="AS429" s="453"/>
      <c r="AT429" s="453"/>
      <c r="AU429" s="453"/>
      <c r="AV429" s="453"/>
      <c r="AW429" s="453"/>
      <c r="AX429" s="453"/>
      <c r="AY429" s="453"/>
      <c r="AZ429" s="453"/>
      <c r="BA429" s="532"/>
      <c r="BB429" s="502"/>
      <c r="BC429" s="503"/>
      <c r="BD429" s="453"/>
      <c r="BE429" s="453"/>
      <c r="BF429" s="470"/>
      <c r="BG429" s="453"/>
      <c r="BH429" s="453"/>
      <c r="BI429" s="453"/>
      <c r="BJ429" s="453"/>
      <c r="BK429" s="453"/>
      <c r="BL429" s="453"/>
      <c r="BM429" s="502"/>
      <c r="BN429" s="490"/>
      <c r="BO429" s="470"/>
      <c r="BP429" s="490"/>
      <c r="BQ429" s="453"/>
      <c r="BR429" s="502"/>
      <c r="BS429" s="524"/>
      <c r="BT429" s="578"/>
    </row>
    <row r="430" s="435" customFormat="1" ht="18" customHeight="1" spans="1:72">
      <c r="A430" s="451" t="s">
        <v>4032</v>
      </c>
      <c r="B430" s="456">
        <v>44859</v>
      </c>
      <c r="C430" s="534">
        <v>1000012285</v>
      </c>
      <c r="D430" s="451"/>
      <c r="E430" s="457"/>
      <c r="F430" s="453"/>
      <c r="G430" s="453"/>
      <c r="H430" s="453"/>
      <c r="I430" s="453"/>
      <c r="J430" s="453"/>
      <c r="K430" s="453"/>
      <c r="L430" s="527"/>
      <c r="M430" s="527">
        <v>3001</v>
      </c>
      <c r="N430" s="527"/>
      <c r="O430" s="527"/>
      <c r="P430" s="527"/>
      <c r="Q430" s="527"/>
      <c r="R430" s="550"/>
      <c r="S430" s="453"/>
      <c r="T430" s="453"/>
      <c r="U430" s="453"/>
      <c r="V430" s="453"/>
      <c r="W430" s="453"/>
      <c r="X430" s="453"/>
      <c r="Y430" s="453"/>
      <c r="Z430" s="489"/>
      <c r="AA430" s="489"/>
      <c r="AB430" s="490"/>
      <c r="AC430" s="453"/>
      <c r="AD430" s="453"/>
      <c r="AE430" s="453"/>
      <c r="AF430" s="453"/>
      <c r="AG430" s="453"/>
      <c r="AH430" s="453"/>
      <c r="AI430" s="453"/>
      <c r="AJ430" s="453"/>
      <c r="AK430" s="453"/>
      <c r="AL430" s="453"/>
      <c r="AM430" s="453"/>
      <c r="AN430" s="453"/>
      <c r="AO430" s="453"/>
      <c r="AP430" s="453"/>
      <c r="AQ430" s="453"/>
      <c r="AR430" s="453"/>
      <c r="AS430" s="453"/>
      <c r="AT430" s="453"/>
      <c r="AU430" s="453"/>
      <c r="AV430" s="453"/>
      <c r="AW430" s="453"/>
      <c r="AX430" s="453"/>
      <c r="AY430" s="453"/>
      <c r="AZ430" s="453"/>
      <c r="BA430" s="532"/>
      <c r="BB430" s="502"/>
      <c r="BC430" s="503"/>
      <c r="BD430" s="453"/>
      <c r="BE430" s="453"/>
      <c r="BF430" s="470"/>
      <c r="BG430" s="453"/>
      <c r="BH430" s="453"/>
      <c r="BI430" s="453"/>
      <c r="BJ430" s="453"/>
      <c r="BK430" s="453"/>
      <c r="BL430" s="453"/>
      <c r="BM430" s="502"/>
      <c r="BN430" s="490"/>
      <c r="BO430" s="470"/>
      <c r="BP430" s="490"/>
      <c r="BQ430" s="453"/>
      <c r="BR430" s="502"/>
      <c r="BS430" s="524"/>
      <c r="BT430" s="568"/>
    </row>
    <row r="431" s="435" customFormat="1" ht="18" customHeight="1" spans="1:72">
      <c r="A431" s="451" t="s">
        <v>4032</v>
      </c>
      <c r="B431" s="456">
        <v>44859</v>
      </c>
      <c r="C431" s="534">
        <v>1000012286</v>
      </c>
      <c r="D431" s="451"/>
      <c r="E431" s="457"/>
      <c r="F431" s="453"/>
      <c r="G431" s="453"/>
      <c r="H431" s="453"/>
      <c r="I431" s="453"/>
      <c r="J431" s="453"/>
      <c r="K431" s="453"/>
      <c r="L431" s="527"/>
      <c r="M431" s="527"/>
      <c r="N431" s="527">
        <v>3600</v>
      </c>
      <c r="O431" s="527"/>
      <c r="P431" s="527"/>
      <c r="Q431" s="527"/>
      <c r="R431" s="550"/>
      <c r="S431" s="453"/>
      <c r="T431" s="453"/>
      <c r="U431" s="453"/>
      <c r="V431" s="453"/>
      <c r="W431" s="453"/>
      <c r="X431" s="453"/>
      <c r="Y431" s="453"/>
      <c r="Z431" s="489"/>
      <c r="AA431" s="489"/>
      <c r="AB431" s="490"/>
      <c r="AC431" s="453"/>
      <c r="AD431" s="453"/>
      <c r="AE431" s="453"/>
      <c r="AF431" s="453"/>
      <c r="AG431" s="453"/>
      <c r="AH431" s="453"/>
      <c r="AI431" s="453"/>
      <c r="AJ431" s="453"/>
      <c r="AK431" s="453"/>
      <c r="AL431" s="453"/>
      <c r="AM431" s="453"/>
      <c r="AN431" s="453"/>
      <c r="AO431" s="453"/>
      <c r="AP431" s="453"/>
      <c r="AQ431" s="453"/>
      <c r="AR431" s="453"/>
      <c r="AS431" s="453"/>
      <c r="AT431" s="453"/>
      <c r="AU431" s="453"/>
      <c r="AV431" s="453"/>
      <c r="AW431" s="453"/>
      <c r="AX431" s="453"/>
      <c r="AY431" s="453"/>
      <c r="AZ431" s="453"/>
      <c r="BA431" s="532"/>
      <c r="BB431" s="502"/>
      <c r="BC431" s="503"/>
      <c r="BD431" s="453"/>
      <c r="BE431" s="453"/>
      <c r="BF431" s="470"/>
      <c r="BG431" s="453"/>
      <c r="BH431" s="453"/>
      <c r="BI431" s="453"/>
      <c r="BJ431" s="453"/>
      <c r="BK431" s="453"/>
      <c r="BL431" s="453"/>
      <c r="BM431" s="502"/>
      <c r="BN431" s="490"/>
      <c r="BO431" s="470"/>
      <c r="BP431" s="490"/>
      <c r="BQ431" s="453"/>
      <c r="BR431" s="502"/>
      <c r="BS431" s="524"/>
      <c r="BT431" s="568"/>
    </row>
    <row r="432" s="435" customFormat="1" ht="18" customHeight="1" spans="1:72">
      <c r="A432" s="451" t="s">
        <v>4032</v>
      </c>
      <c r="B432" s="456">
        <v>44859</v>
      </c>
      <c r="C432" s="534">
        <v>1000012282</v>
      </c>
      <c r="D432" s="451"/>
      <c r="E432" s="457"/>
      <c r="F432" s="453"/>
      <c r="G432" s="453"/>
      <c r="H432" s="453"/>
      <c r="I432" s="453"/>
      <c r="J432" s="453"/>
      <c r="K432" s="453"/>
      <c r="L432" s="453"/>
      <c r="M432" s="453"/>
      <c r="N432" s="453"/>
      <c r="O432" s="453"/>
      <c r="P432" s="453"/>
      <c r="Q432" s="453"/>
      <c r="R432" s="453"/>
      <c r="S432" s="453"/>
      <c r="T432" s="453"/>
      <c r="U432" s="453"/>
      <c r="V432" s="453"/>
      <c r="W432" s="453"/>
      <c r="X432" s="453"/>
      <c r="Y432" s="453"/>
      <c r="Z432" s="489"/>
      <c r="AA432" s="489"/>
      <c r="AB432" s="490"/>
      <c r="AC432" s="453"/>
      <c r="AD432" s="453"/>
      <c r="AE432" s="453"/>
      <c r="AF432" s="453"/>
      <c r="AG432" s="453"/>
      <c r="AH432" s="453"/>
      <c r="AI432" s="453"/>
      <c r="AJ432" s="453"/>
      <c r="AK432" s="453"/>
      <c r="AL432" s="453"/>
      <c r="AM432" s="453"/>
      <c r="AN432" s="453"/>
      <c r="AO432" s="453"/>
      <c r="AP432" s="453"/>
      <c r="AQ432" s="453"/>
      <c r="AR432" s="453"/>
      <c r="AS432" s="453"/>
      <c r="AT432" s="453"/>
      <c r="AU432" s="453"/>
      <c r="AV432" s="453"/>
      <c r="AW432" s="453"/>
      <c r="AX432" s="453"/>
      <c r="AY432" s="453"/>
      <c r="AZ432" s="453"/>
      <c r="BA432" s="532"/>
      <c r="BB432" s="502"/>
      <c r="BC432" s="503"/>
      <c r="BD432" s="453"/>
      <c r="BE432" s="453"/>
      <c r="BF432" s="470"/>
      <c r="BG432" s="453"/>
      <c r="BH432" s="453"/>
      <c r="BI432" s="453"/>
      <c r="BJ432" s="563"/>
      <c r="BK432" s="453"/>
      <c r="BL432" s="453"/>
      <c r="BM432" s="502"/>
      <c r="BN432" s="490"/>
      <c r="BO432" s="470"/>
      <c r="BP432" s="490"/>
      <c r="BQ432" s="453"/>
      <c r="BR432" s="502"/>
      <c r="BS432" s="524"/>
      <c r="BT432" s="530"/>
    </row>
    <row r="433" s="435" customFormat="1" ht="18" customHeight="1" spans="1:72">
      <c r="A433" s="451" t="s">
        <v>4032</v>
      </c>
      <c r="B433" s="456">
        <v>44876</v>
      </c>
      <c r="C433" s="534">
        <v>1000012447</v>
      </c>
      <c r="D433" s="451"/>
      <c r="E433" s="457"/>
      <c r="F433" s="453"/>
      <c r="G433" s="453"/>
      <c r="H433" s="453"/>
      <c r="I433" s="453"/>
      <c r="J433" s="453"/>
      <c r="K433" s="453"/>
      <c r="L433" s="453"/>
      <c r="M433" s="453"/>
      <c r="N433" s="453"/>
      <c r="O433" s="453"/>
      <c r="P433" s="453"/>
      <c r="Q433" s="453"/>
      <c r="R433" s="453"/>
      <c r="S433" s="453"/>
      <c r="T433" s="453"/>
      <c r="U433" s="453"/>
      <c r="V433" s="453"/>
      <c r="W433" s="453"/>
      <c r="X433" s="453"/>
      <c r="Y433" s="453"/>
      <c r="Z433" s="489"/>
      <c r="AA433" s="489"/>
      <c r="AB433" s="490"/>
      <c r="AC433" s="453"/>
      <c r="AD433" s="453"/>
      <c r="AE433" s="453"/>
      <c r="AF433" s="453"/>
      <c r="AG433" s="453"/>
      <c r="AH433" s="453"/>
      <c r="AI433" s="453"/>
      <c r="AJ433" s="453"/>
      <c r="AK433" s="453"/>
      <c r="AL433" s="453"/>
      <c r="AM433" s="453"/>
      <c r="AN433" s="453"/>
      <c r="AO433" s="453"/>
      <c r="AP433" s="453"/>
      <c r="AQ433" s="453"/>
      <c r="AR433" s="453"/>
      <c r="AS433" s="453"/>
      <c r="AT433" s="453"/>
      <c r="AU433" s="453"/>
      <c r="AV433" s="453"/>
      <c r="AW433" s="453"/>
      <c r="AX433" s="453"/>
      <c r="AY433" s="453"/>
      <c r="AZ433" s="453"/>
      <c r="BA433" s="532"/>
      <c r="BB433" s="502"/>
      <c r="BC433" s="503"/>
      <c r="BD433" s="453"/>
      <c r="BE433" s="453"/>
      <c r="BF433" s="470"/>
      <c r="BG433" s="453"/>
      <c r="BH433" s="453"/>
      <c r="BI433" s="453"/>
      <c r="BJ433" s="563"/>
      <c r="BK433" s="453"/>
      <c r="BL433" s="453"/>
      <c r="BM433" s="502"/>
      <c r="BN433" s="579"/>
      <c r="BO433" s="580"/>
      <c r="BP433" s="490"/>
      <c r="BQ433" s="453"/>
      <c r="BR433" s="502"/>
      <c r="BS433" s="524"/>
      <c r="BT433" s="530"/>
    </row>
    <row r="434" s="435" customFormat="1" ht="18" customHeight="1" spans="1:72">
      <c r="A434" s="451" t="s">
        <v>4032</v>
      </c>
      <c r="B434" s="456">
        <v>44876</v>
      </c>
      <c r="C434" s="534">
        <v>1000012448</v>
      </c>
      <c r="D434" s="451"/>
      <c r="E434" s="457"/>
      <c r="F434" s="453"/>
      <c r="G434" s="453"/>
      <c r="H434" s="453"/>
      <c r="I434" s="453"/>
      <c r="J434" s="453"/>
      <c r="K434" s="453"/>
      <c r="L434" s="453"/>
      <c r="M434" s="453"/>
      <c r="N434" s="453"/>
      <c r="O434" s="453"/>
      <c r="P434" s="453"/>
      <c r="Q434" s="453"/>
      <c r="R434" s="453"/>
      <c r="S434" s="453"/>
      <c r="T434" s="453"/>
      <c r="U434" s="453"/>
      <c r="V434" s="453"/>
      <c r="W434" s="453"/>
      <c r="X434" s="453"/>
      <c r="Y434" s="453"/>
      <c r="Z434" s="489"/>
      <c r="AA434" s="489"/>
      <c r="AB434" s="490"/>
      <c r="AC434" s="453"/>
      <c r="AD434" s="453"/>
      <c r="AE434" s="453"/>
      <c r="AF434" s="453"/>
      <c r="AG434" s="453"/>
      <c r="AH434" s="453"/>
      <c r="AI434" s="453"/>
      <c r="AJ434" s="453"/>
      <c r="AK434" s="453"/>
      <c r="AL434" s="453"/>
      <c r="AM434" s="453"/>
      <c r="AN434" s="453"/>
      <c r="AO434" s="453"/>
      <c r="AP434" s="453"/>
      <c r="AQ434" s="453"/>
      <c r="AR434" s="453"/>
      <c r="AS434" s="453"/>
      <c r="AT434" s="453"/>
      <c r="AU434" s="453"/>
      <c r="AV434" s="453"/>
      <c r="AW434" s="453"/>
      <c r="AX434" s="453"/>
      <c r="AY434" s="453"/>
      <c r="AZ434" s="453"/>
      <c r="BA434" s="532"/>
      <c r="BB434" s="502"/>
      <c r="BC434" s="503"/>
      <c r="BD434" s="453"/>
      <c r="BE434" s="453"/>
      <c r="BF434" s="470"/>
      <c r="BG434" s="453"/>
      <c r="BH434" s="453"/>
      <c r="BI434" s="453"/>
      <c r="BJ434" s="563"/>
      <c r="BK434" s="453"/>
      <c r="BL434" s="453"/>
      <c r="BM434" s="502"/>
      <c r="BN434" s="579"/>
      <c r="BO434" s="580"/>
      <c r="BP434" s="490"/>
      <c r="BQ434" s="453"/>
      <c r="BR434" s="502"/>
      <c r="BS434" s="524"/>
      <c r="BT434" s="530"/>
    </row>
    <row r="435" s="435" customFormat="1" ht="18" customHeight="1" spans="1:72">
      <c r="A435" s="451" t="s">
        <v>4032</v>
      </c>
      <c r="B435" s="456">
        <v>44876</v>
      </c>
      <c r="C435" s="534">
        <v>1000012449</v>
      </c>
      <c r="D435" s="451"/>
      <c r="E435" s="457"/>
      <c r="F435" s="453"/>
      <c r="G435" s="453"/>
      <c r="H435" s="453"/>
      <c r="I435" s="453"/>
      <c r="J435" s="453"/>
      <c r="K435" s="453"/>
      <c r="L435" s="453"/>
      <c r="M435" s="453"/>
      <c r="N435" s="453"/>
      <c r="O435" s="453"/>
      <c r="P435" s="453"/>
      <c r="Q435" s="453"/>
      <c r="R435" s="453"/>
      <c r="S435" s="453"/>
      <c r="T435" s="453"/>
      <c r="U435" s="453"/>
      <c r="V435" s="453"/>
      <c r="W435" s="453"/>
      <c r="X435" s="453"/>
      <c r="Y435" s="453"/>
      <c r="Z435" s="489"/>
      <c r="AA435" s="489"/>
      <c r="AB435" s="490"/>
      <c r="AC435" s="453"/>
      <c r="AD435" s="453"/>
      <c r="AE435" s="453"/>
      <c r="AF435" s="453"/>
      <c r="AG435" s="453"/>
      <c r="AH435" s="453"/>
      <c r="AI435" s="453"/>
      <c r="AJ435" s="453"/>
      <c r="AK435" s="453"/>
      <c r="AL435" s="453"/>
      <c r="AM435" s="453"/>
      <c r="AN435" s="453"/>
      <c r="AO435" s="453"/>
      <c r="AP435" s="453"/>
      <c r="AQ435" s="453"/>
      <c r="AR435" s="453"/>
      <c r="AS435" s="453"/>
      <c r="AT435" s="453"/>
      <c r="AU435" s="453"/>
      <c r="AV435" s="453"/>
      <c r="AW435" s="453"/>
      <c r="AX435" s="453"/>
      <c r="AY435" s="453"/>
      <c r="AZ435" s="453"/>
      <c r="BA435" s="532"/>
      <c r="BB435" s="502"/>
      <c r="BC435" s="503"/>
      <c r="BD435" s="453"/>
      <c r="BE435" s="453"/>
      <c r="BF435" s="470"/>
      <c r="BG435" s="453"/>
      <c r="BH435" s="453"/>
      <c r="BI435" s="453"/>
      <c r="BJ435" s="563"/>
      <c r="BK435" s="453"/>
      <c r="BL435" s="453"/>
      <c r="BM435" s="502"/>
      <c r="BN435" s="579"/>
      <c r="BO435" s="580"/>
      <c r="BP435" s="490"/>
      <c r="BQ435" s="453"/>
      <c r="BR435" s="502"/>
      <c r="BS435" s="524"/>
      <c r="BT435" s="530"/>
    </row>
    <row r="436" s="435" customFormat="1" ht="18" customHeight="1" spans="1:72">
      <c r="A436" s="451" t="s">
        <v>4032</v>
      </c>
      <c r="B436" s="456">
        <v>44876</v>
      </c>
      <c r="C436" s="534">
        <v>1000012450</v>
      </c>
      <c r="D436" s="451"/>
      <c r="E436" s="457"/>
      <c r="F436" s="453"/>
      <c r="G436" s="453"/>
      <c r="H436" s="453"/>
      <c r="I436" s="453"/>
      <c r="J436" s="453"/>
      <c r="K436" s="453"/>
      <c r="L436" s="453"/>
      <c r="M436" s="453"/>
      <c r="N436" s="453"/>
      <c r="O436" s="453"/>
      <c r="P436" s="453"/>
      <c r="Q436" s="453"/>
      <c r="R436" s="453"/>
      <c r="S436" s="453"/>
      <c r="T436" s="453"/>
      <c r="U436" s="453"/>
      <c r="V436" s="453"/>
      <c r="W436" s="453"/>
      <c r="X436" s="453"/>
      <c r="Y436" s="453"/>
      <c r="Z436" s="489"/>
      <c r="AA436" s="489"/>
      <c r="AB436" s="490"/>
      <c r="AC436" s="453"/>
      <c r="AD436" s="453"/>
      <c r="AE436" s="453"/>
      <c r="AF436" s="453"/>
      <c r="AG436" s="453"/>
      <c r="AH436" s="453"/>
      <c r="AI436" s="453"/>
      <c r="AJ436" s="453"/>
      <c r="AK436" s="453"/>
      <c r="AL436" s="453"/>
      <c r="AM436" s="453"/>
      <c r="AN436" s="453"/>
      <c r="AO436" s="453"/>
      <c r="AP436" s="453"/>
      <c r="AQ436" s="453"/>
      <c r="AR436" s="453"/>
      <c r="AS436" s="453"/>
      <c r="AT436" s="453"/>
      <c r="AU436" s="453"/>
      <c r="AV436" s="453"/>
      <c r="AW436" s="453"/>
      <c r="AX436" s="453"/>
      <c r="AY436" s="453"/>
      <c r="AZ436" s="453"/>
      <c r="BA436" s="532"/>
      <c r="BB436" s="502"/>
      <c r="BC436" s="503"/>
      <c r="BD436" s="453"/>
      <c r="BE436" s="453"/>
      <c r="BF436" s="470"/>
      <c r="BG436" s="453"/>
      <c r="BH436" s="453"/>
      <c r="BI436" s="453"/>
      <c r="BJ436" s="563"/>
      <c r="BK436" s="453"/>
      <c r="BL436" s="453"/>
      <c r="BM436" s="502"/>
      <c r="BN436" s="579"/>
      <c r="BO436" s="580"/>
      <c r="BP436" s="490"/>
      <c r="BQ436" s="453"/>
      <c r="BR436" s="502"/>
      <c r="BS436" s="524"/>
      <c r="BT436" s="530"/>
    </row>
    <row r="437" s="435" customFormat="1" ht="18" customHeight="1" spans="1:72">
      <c r="A437" s="451" t="s">
        <v>4032</v>
      </c>
      <c r="B437" s="456">
        <v>44876</v>
      </c>
      <c r="C437" s="534">
        <v>1000012445</v>
      </c>
      <c r="D437" s="451"/>
      <c r="E437" s="457"/>
      <c r="F437" s="453"/>
      <c r="G437" s="453"/>
      <c r="H437" s="453"/>
      <c r="I437" s="453"/>
      <c r="J437" s="453"/>
      <c r="K437" s="453"/>
      <c r="L437" s="453"/>
      <c r="M437" s="453"/>
      <c r="N437" s="453"/>
      <c r="O437" s="453"/>
      <c r="P437" s="453"/>
      <c r="Q437" s="453"/>
      <c r="R437" s="453"/>
      <c r="S437" s="453"/>
      <c r="T437" s="453"/>
      <c r="U437" s="453"/>
      <c r="V437" s="453"/>
      <c r="W437" s="453"/>
      <c r="X437" s="453"/>
      <c r="Y437" s="453"/>
      <c r="Z437" s="489"/>
      <c r="AA437" s="489"/>
      <c r="AB437" s="490"/>
      <c r="AC437" s="453"/>
      <c r="AD437" s="453"/>
      <c r="AE437" s="453"/>
      <c r="AF437" s="453"/>
      <c r="AG437" s="453"/>
      <c r="AH437" s="453"/>
      <c r="AI437" s="453"/>
      <c r="AJ437" s="453"/>
      <c r="AK437" s="453"/>
      <c r="AL437" s="453"/>
      <c r="AM437" s="453"/>
      <c r="AN437" s="453"/>
      <c r="AO437" s="453"/>
      <c r="AP437" s="453"/>
      <c r="AQ437" s="453"/>
      <c r="AR437" s="453"/>
      <c r="AS437" s="453"/>
      <c r="AT437" s="453"/>
      <c r="AU437" s="453"/>
      <c r="AV437" s="453"/>
      <c r="AW437" s="453"/>
      <c r="AX437" s="453"/>
      <c r="AY437" s="453"/>
      <c r="AZ437" s="526">
        <v>1600</v>
      </c>
      <c r="BA437" s="532"/>
      <c r="BB437" s="502"/>
      <c r="BC437" s="503"/>
      <c r="BD437" s="453"/>
      <c r="BE437" s="453"/>
      <c r="BF437" s="470"/>
      <c r="BG437" s="453"/>
      <c r="BH437" s="453"/>
      <c r="BI437" s="453"/>
      <c r="BJ437" s="563"/>
      <c r="BK437" s="453"/>
      <c r="BL437" s="453"/>
      <c r="BM437" s="502"/>
      <c r="BN437" s="490"/>
      <c r="BO437" s="470"/>
      <c r="BP437" s="490"/>
      <c r="BQ437" s="453"/>
      <c r="BR437" s="502"/>
      <c r="BS437" s="524"/>
      <c r="BT437" s="575" t="s">
        <v>4045</v>
      </c>
    </row>
    <row r="438" s="435" customFormat="1" ht="18" customHeight="1" spans="1:72">
      <c r="A438" s="451" t="s">
        <v>4032</v>
      </c>
      <c r="B438" s="456">
        <v>44876</v>
      </c>
      <c r="C438" s="534">
        <v>1000012446</v>
      </c>
      <c r="D438" s="451"/>
      <c r="E438" s="457"/>
      <c r="F438" s="453"/>
      <c r="G438" s="453"/>
      <c r="H438" s="453"/>
      <c r="I438" s="453"/>
      <c r="J438" s="453"/>
      <c r="K438" s="453"/>
      <c r="L438" s="453"/>
      <c r="M438" s="453"/>
      <c r="N438" s="453"/>
      <c r="O438" s="453"/>
      <c r="P438" s="453"/>
      <c r="Q438" s="453"/>
      <c r="R438" s="550"/>
      <c r="S438" s="453"/>
      <c r="T438" s="453"/>
      <c r="U438" s="453"/>
      <c r="V438" s="453"/>
      <c r="W438" s="453"/>
      <c r="X438" s="453"/>
      <c r="Y438" s="453"/>
      <c r="Z438" s="489"/>
      <c r="AA438" s="489"/>
      <c r="AB438" s="490"/>
      <c r="AC438" s="453"/>
      <c r="AD438" s="453"/>
      <c r="AE438" s="453"/>
      <c r="AF438" s="453"/>
      <c r="AG438" s="453"/>
      <c r="AH438" s="453"/>
      <c r="AI438" s="453"/>
      <c r="AJ438" s="453"/>
      <c r="AK438" s="453"/>
      <c r="AL438" s="453"/>
      <c r="AM438" s="453"/>
      <c r="AN438" s="453"/>
      <c r="AO438" s="453"/>
      <c r="AP438" s="453"/>
      <c r="AQ438" s="453"/>
      <c r="AR438" s="453"/>
      <c r="AS438" s="453"/>
      <c r="AT438" s="453"/>
      <c r="AU438" s="453"/>
      <c r="AV438" s="453"/>
      <c r="AW438" s="453"/>
      <c r="AX438" s="453"/>
      <c r="AY438" s="453"/>
      <c r="AZ438" s="453"/>
      <c r="BA438" s="532"/>
      <c r="BB438" s="559">
        <v>2240</v>
      </c>
      <c r="BC438" s="503"/>
      <c r="BD438" s="453"/>
      <c r="BE438" s="453"/>
      <c r="BF438" s="470"/>
      <c r="BG438" s="453"/>
      <c r="BH438" s="453"/>
      <c r="BI438" s="453"/>
      <c r="BJ438" s="453"/>
      <c r="BK438" s="453"/>
      <c r="BL438" s="453"/>
      <c r="BM438" s="502"/>
      <c r="BN438" s="490"/>
      <c r="BO438" s="470"/>
      <c r="BP438" s="574"/>
      <c r="BQ438" s="458"/>
      <c r="BR438" s="577"/>
      <c r="BS438" s="524"/>
      <c r="BT438" s="575" t="s">
        <v>4046</v>
      </c>
    </row>
    <row r="439" s="435" customFormat="1" ht="18" customHeight="1" spans="1:72">
      <c r="A439" s="451" t="s">
        <v>4032</v>
      </c>
      <c r="B439" s="456">
        <v>44882</v>
      </c>
      <c r="C439" s="534">
        <v>1000012535</v>
      </c>
      <c r="D439" s="451"/>
      <c r="E439" s="457"/>
      <c r="F439" s="453"/>
      <c r="G439" s="453"/>
      <c r="H439" s="453"/>
      <c r="I439" s="453"/>
      <c r="J439" s="453"/>
      <c r="K439" s="453"/>
      <c r="L439" s="453"/>
      <c r="M439" s="453"/>
      <c r="N439" s="453"/>
      <c r="O439" s="453"/>
      <c r="P439" s="453"/>
      <c r="Q439" s="453"/>
      <c r="R439" s="550"/>
      <c r="S439" s="453"/>
      <c r="T439" s="453"/>
      <c r="U439" s="453"/>
      <c r="V439" s="453"/>
      <c r="W439" s="453"/>
      <c r="X439" s="453"/>
      <c r="Y439" s="453"/>
      <c r="Z439" s="489"/>
      <c r="AA439" s="489"/>
      <c r="AB439" s="490"/>
      <c r="AC439" s="453"/>
      <c r="AD439" s="453"/>
      <c r="AE439" s="453"/>
      <c r="AF439" s="453"/>
      <c r="AG439" s="453"/>
      <c r="AH439" s="453"/>
      <c r="AI439" s="453"/>
      <c r="AJ439" s="453"/>
      <c r="AK439" s="453"/>
      <c r="AL439" s="453"/>
      <c r="AM439" s="453"/>
      <c r="AN439" s="453"/>
      <c r="AO439" s="453"/>
      <c r="AP439" s="453"/>
      <c r="AQ439" s="453"/>
      <c r="AR439" s="453"/>
      <c r="AS439" s="453"/>
      <c r="AT439" s="453"/>
      <c r="AU439" s="453"/>
      <c r="AV439" s="453"/>
      <c r="AW439" s="453"/>
      <c r="AX439" s="453"/>
      <c r="AY439" s="453"/>
      <c r="AZ439" s="453"/>
      <c r="BA439" s="532"/>
      <c r="BB439" s="502"/>
      <c r="BC439" s="503"/>
      <c r="BD439" s="453"/>
      <c r="BE439" s="453"/>
      <c r="BF439" s="470"/>
      <c r="BG439" s="560"/>
      <c r="BH439" s="560"/>
      <c r="BI439" s="453"/>
      <c r="BJ439" s="453"/>
      <c r="BK439" s="453"/>
      <c r="BL439" s="453"/>
      <c r="BM439" s="502"/>
      <c r="BN439" s="490"/>
      <c r="BO439" s="470"/>
      <c r="BP439" s="574"/>
      <c r="BQ439" s="458"/>
      <c r="BR439" s="577"/>
      <c r="BS439" s="524"/>
      <c r="BT439" s="575"/>
    </row>
    <row r="440" s="435" customFormat="1" ht="18" customHeight="1" spans="1:72">
      <c r="A440" s="451" t="s">
        <v>4032</v>
      </c>
      <c r="B440" s="456">
        <v>44882</v>
      </c>
      <c r="C440" s="534">
        <v>1000012536</v>
      </c>
      <c r="D440" s="451"/>
      <c r="E440" s="457"/>
      <c r="F440" s="453"/>
      <c r="G440" s="453"/>
      <c r="H440" s="453"/>
      <c r="I440" s="453"/>
      <c r="J440" s="453"/>
      <c r="K440" s="453"/>
      <c r="L440" s="453"/>
      <c r="M440" s="453"/>
      <c r="N440" s="453"/>
      <c r="O440" s="453"/>
      <c r="P440" s="453"/>
      <c r="Q440" s="453"/>
      <c r="R440" s="550"/>
      <c r="S440" s="453"/>
      <c r="T440" s="453"/>
      <c r="U440" s="453"/>
      <c r="V440" s="453"/>
      <c r="W440" s="453"/>
      <c r="X440" s="453"/>
      <c r="Y440" s="453"/>
      <c r="Z440" s="489"/>
      <c r="AA440" s="489"/>
      <c r="AB440" s="490"/>
      <c r="AC440" s="453"/>
      <c r="AD440" s="453"/>
      <c r="AE440" s="453"/>
      <c r="AF440" s="453"/>
      <c r="AG440" s="453"/>
      <c r="AH440" s="453"/>
      <c r="AI440" s="453"/>
      <c r="AJ440" s="453"/>
      <c r="AK440" s="453"/>
      <c r="AL440" s="453"/>
      <c r="AM440" s="453"/>
      <c r="AN440" s="453"/>
      <c r="AO440" s="453"/>
      <c r="AP440" s="453"/>
      <c r="AQ440" s="453"/>
      <c r="AR440" s="453"/>
      <c r="AS440" s="453"/>
      <c r="AT440" s="453"/>
      <c r="AU440" s="453"/>
      <c r="AV440" s="453"/>
      <c r="AW440" s="453"/>
      <c r="AX440" s="453"/>
      <c r="AY440" s="453"/>
      <c r="AZ440" s="453"/>
      <c r="BA440" s="532"/>
      <c r="BB440" s="502"/>
      <c r="BC440" s="503"/>
      <c r="BD440" s="453"/>
      <c r="BE440" s="453"/>
      <c r="BF440" s="470"/>
      <c r="BG440" s="453"/>
      <c r="BH440" s="453"/>
      <c r="BI440" s="453"/>
      <c r="BJ440" s="453"/>
      <c r="BK440" s="453"/>
      <c r="BL440" s="453"/>
      <c r="BM440" s="502"/>
      <c r="BN440" s="490"/>
      <c r="BO440" s="470"/>
      <c r="BP440" s="574"/>
      <c r="BQ440" s="458"/>
      <c r="BR440" s="577"/>
      <c r="BS440" s="524"/>
      <c r="BT440" s="575"/>
    </row>
    <row r="441" s="435" customFormat="1" ht="18" customHeight="1" spans="1:72">
      <c r="A441" s="451" t="s">
        <v>4032</v>
      </c>
      <c r="B441" s="456">
        <v>44882</v>
      </c>
      <c r="C441" s="534">
        <v>1000012532</v>
      </c>
      <c r="D441" s="451"/>
      <c r="E441" s="457"/>
      <c r="F441" s="453"/>
      <c r="G441" s="453"/>
      <c r="H441" s="453"/>
      <c r="I441" s="453"/>
      <c r="J441" s="453"/>
      <c r="K441" s="453"/>
      <c r="L441" s="453"/>
      <c r="M441" s="453"/>
      <c r="N441" s="453"/>
      <c r="O441" s="453"/>
      <c r="P441" s="453"/>
      <c r="Q441" s="453"/>
      <c r="R441" s="550"/>
      <c r="S441" s="453"/>
      <c r="T441" s="453"/>
      <c r="U441" s="453"/>
      <c r="V441" s="453"/>
      <c r="W441" s="453"/>
      <c r="X441" s="453"/>
      <c r="Y441" s="453"/>
      <c r="Z441" s="489"/>
      <c r="AA441" s="489"/>
      <c r="AB441" s="490"/>
      <c r="AC441" s="453"/>
      <c r="AD441" s="453"/>
      <c r="AE441" s="453"/>
      <c r="AF441" s="453"/>
      <c r="AG441" s="453"/>
      <c r="AH441" s="453"/>
      <c r="AI441" s="453"/>
      <c r="AJ441" s="453">
        <v>10000</v>
      </c>
      <c r="AK441" s="453"/>
      <c r="AL441" s="453"/>
      <c r="AM441" s="453"/>
      <c r="AN441" s="453"/>
      <c r="AO441" s="453"/>
      <c r="AP441" s="453"/>
      <c r="AQ441" s="453"/>
      <c r="AR441" s="453"/>
      <c r="AS441" s="453"/>
      <c r="AT441" s="453"/>
      <c r="AU441" s="453"/>
      <c r="AV441" s="453"/>
      <c r="AW441" s="453"/>
      <c r="AX441" s="453"/>
      <c r="AY441" s="453"/>
      <c r="AZ441" s="453"/>
      <c r="BA441" s="532"/>
      <c r="BB441" s="502"/>
      <c r="BC441" s="503"/>
      <c r="BD441" s="453"/>
      <c r="BE441" s="453"/>
      <c r="BF441" s="470"/>
      <c r="BG441" s="453"/>
      <c r="BH441" s="453"/>
      <c r="BI441" s="453"/>
      <c r="BJ441" s="453"/>
      <c r="BK441" s="453"/>
      <c r="BL441" s="453"/>
      <c r="BM441" s="502"/>
      <c r="BN441" s="490"/>
      <c r="BO441" s="470"/>
      <c r="BP441" s="574"/>
      <c r="BQ441" s="458"/>
      <c r="BR441" s="577"/>
      <c r="BS441" s="524"/>
      <c r="BT441" s="575"/>
    </row>
    <row r="442" s="435" customFormat="1" ht="18" customHeight="1" spans="1:72">
      <c r="A442" s="451" t="s">
        <v>4032</v>
      </c>
      <c r="B442" s="456">
        <v>44882</v>
      </c>
      <c r="C442" s="534">
        <v>1000012533</v>
      </c>
      <c r="D442" s="451"/>
      <c r="E442" s="457"/>
      <c r="F442" s="453"/>
      <c r="G442" s="453"/>
      <c r="H442" s="453"/>
      <c r="I442" s="453"/>
      <c r="J442" s="453"/>
      <c r="K442" s="453"/>
      <c r="L442" s="453"/>
      <c r="M442" s="453"/>
      <c r="N442" s="453"/>
      <c r="O442" s="453"/>
      <c r="P442" s="453"/>
      <c r="Q442" s="453"/>
      <c r="R442" s="550"/>
      <c r="S442" s="453"/>
      <c r="T442" s="453"/>
      <c r="U442" s="453"/>
      <c r="V442" s="453"/>
      <c r="W442" s="453"/>
      <c r="X442" s="453"/>
      <c r="Y442" s="453"/>
      <c r="Z442" s="489"/>
      <c r="AA442" s="489"/>
      <c r="AB442" s="490"/>
      <c r="AC442" s="453"/>
      <c r="AD442" s="453"/>
      <c r="AE442" s="453"/>
      <c r="AF442" s="453"/>
      <c r="AG442" s="453"/>
      <c r="AH442" s="453"/>
      <c r="AI442" s="453"/>
      <c r="AJ442" s="453"/>
      <c r="AK442" s="453"/>
      <c r="AL442" s="453"/>
      <c r="AM442" s="453"/>
      <c r="AN442" s="453"/>
      <c r="AO442" s="453"/>
      <c r="AP442" s="453"/>
      <c r="AQ442" s="453"/>
      <c r="AR442" s="453"/>
      <c r="AS442" s="453">
        <v>120000</v>
      </c>
      <c r="AT442" s="453"/>
      <c r="AU442" s="453"/>
      <c r="AV442" s="453"/>
      <c r="AW442" s="453"/>
      <c r="AX442" s="453"/>
      <c r="AY442" s="453"/>
      <c r="AZ442" s="453"/>
      <c r="BA442" s="532"/>
      <c r="BB442" s="502"/>
      <c r="BC442" s="503"/>
      <c r="BD442" s="453"/>
      <c r="BE442" s="453"/>
      <c r="BF442" s="470"/>
      <c r="BG442" s="453"/>
      <c r="BH442" s="453"/>
      <c r="BI442" s="453"/>
      <c r="BJ442" s="453"/>
      <c r="BK442" s="453"/>
      <c r="BL442" s="453"/>
      <c r="BM442" s="502"/>
      <c r="BN442" s="490"/>
      <c r="BO442" s="470"/>
      <c r="BP442" s="574"/>
      <c r="BQ442" s="458"/>
      <c r="BR442" s="577"/>
      <c r="BS442" s="524"/>
      <c r="BT442" s="575"/>
    </row>
    <row r="443" s="435" customFormat="1" ht="18" customHeight="1" spans="1:72">
      <c r="A443" s="451" t="s">
        <v>4032</v>
      </c>
      <c r="B443" s="456">
        <v>44896</v>
      </c>
      <c r="C443" s="534">
        <v>1000012703</v>
      </c>
      <c r="D443" s="451"/>
      <c r="E443" s="457"/>
      <c r="F443" s="453"/>
      <c r="G443" s="453"/>
      <c r="H443" s="453"/>
      <c r="I443" s="453"/>
      <c r="J443" s="453"/>
      <c r="K443" s="453"/>
      <c r="L443" s="453"/>
      <c r="M443" s="453"/>
      <c r="N443" s="453"/>
      <c r="O443" s="453"/>
      <c r="P443" s="453"/>
      <c r="Q443" s="453"/>
      <c r="R443" s="550"/>
      <c r="S443" s="453"/>
      <c r="T443" s="453"/>
      <c r="U443" s="453"/>
      <c r="V443" s="453"/>
      <c r="W443" s="453"/>
      <c r="X443" s="453"/>
      <c r="Y443" s="453"/>
      <c r="Z443" s="489"/>
      <c r="AA443" s="489"/>
      <c r="AB443" s="490"/>
      <c r="AC443" s="453"/>
      <c r="AD443" s="453"/>
      <c r="AE443" s="453"/>
      <c r="AF443" s="453"/>
      <c r="AG443" s="453"/>
      <c r="AH443" s="453"/>
      <c r="AI443" s="453"/>
      <c r="AJ443" s="453"/>
      <c r="AK443" s="453"/>
      <c r="AL443" s="453"/>
      <c r="AM443" s="453"/>
      <c r="AN443" s="453"/>
      <c r="AO443" s="453"/>
      <c r="AP443" s="453"/>
      <c r="AQ443" s="453"/>
      <c r="AR443" s="453"/>
      <c r="AS443" s="453"/>
      <c r="AT443" s="453"/>
      <c r="AU443" s="453"/>
      <c r="AV443" s="453"/>
      <c r="AW443" s="453"/>
      <c r="AX443" s="453"/>
      <c r="AY443" s="453"/>
      <c r="AZ443" s="453" t="s">
        <v>4047</v>
      </c>
      <c r="BA443" s="532"/>
      <c r="BB443" s="502"/>
      <c r="BC443" s="503"/>
      <c r="BD443" s="453"/>
      <c r="BE443" s="453"/>
      <c r="BF443" s="470"/>
      <c r="BG443" s="453"/>
      <c r="BH443" s="453"/>
      <c r="BI443" s="453"/>
      <c r="BJ443" s="453"/>
      <c r="BK443" s="453"/>
      <c r="BL443" s="453"/>
      <c r="BM443" s="502"/>
      <c r="BN443" s="490"/>
      <c r="BO443" s="470"/>
      <c r="BP443" s="574"/>
      <c r="BQ443" s="458"/>
      <c r="BR443" s="577"/>
      <c r="BS443" s="524"/>
      <c r="BT443" s="575" t="s">
        <v>4048</v>
      </c>
    </row>
    <row r="444" s="435" customFormat="1" ht="18" customHeight="1" spans="1:72">
      <c r="A444" s="451" t="s">
        <v>4032</v>
      </c>
      <c r="B444" s="456">
        <v>44896</v>
      </c>
      <c r="C444" s="534">
        <v>1000012704</v>
      </c>
      <c r="D444" s="451"/>
      <c r="E444" s="457"/>
      <c r="F444" s="453"/>
      <c r="G444" s="453"/>
      <c r="H444" s="453"/>
      <c r="I444" s="453"/>
      <c r="J444" s="453"/>
      <c r="K444" s="453"/>
      <c r="L444" s="453"/>
      <c r="M444" s="453"/>
      <c r="N444" s="453"/>
      <c r="O444" s="453"/>
      <c r="P444" s="453"/>
      <c r="Q444" s="453"/>
      <c r="R444" s="550"/>
      <c r="S444" s="453"/>
      <c r="T444" s="453"/>
      <c r="U444" s="453"/>
      <c r="V444" s="453"/>
      <c r="W444" s="453"/>
      <c r="X444" s="453"/>
      <c r="Y444" s="453"/>
      <c r="Z444" s="489"/>
      <c r="AA444" s="489"/>
      <c r="AB444" s="490"/>
      <c r="AC444" s="453"/>
      <c r="AD444" s="453"/>
      <c r="AE444" s="453"/>
      <c r="AF444" s="453"/>
      <c r="AG444" s="453"/>
      <c r="AH444" s="453"/>
      <c r="AI444" s="453"/>
      <c r="AJ444" s="453"/>
      <c r="AK444" s="453"/>
      <c r="AL444" s="453"/>
      <c r="AM444" s="453"/>
      <c r="AN444" s="453"/>
      <c r="AO444" s="453"/>
      <c r="AP444" s="453"/>
      <c r="AQ444" s="453"/>
      <c r="AR444" s="453"/>
      <c r="AS444" s="453"/>
      <c r="AT444" s="453"/>
      <c r="AU444" s="453"/>
      <c r="AV444" s="453"/>
      <c r="AW444" s="453"/>
      <c r="AX444" s="453"/>
      <c r="AY444" s="453"/>
      <c r="AZ444" s="453"/>
      <c r="BA444" s="532">
        <v>14720</v>
      </c>
      <c r="BB444" s="502"/>
      <c r="BC444" s="503"/>
      <c r="BD444" s="453"/>
      <c r="BE444" s="453"/>
      <c r="BF444" s="470"/>
      <c r="BG444" s="453"/>
      <c r="BH444" s="453"/>
      <c r="BI444" s="453"/>
      <c r="BJ444" s="453"/>
      <c r="BK444" s="453"/>
      <c r="BL444" s="453"/>
      <c r="BM444" s="502"/>
      <c r="BN444" s="490"/>
      <c r="BO444" s="470"/>
      <c r="BP444" s="574"/>
      <c r="BQ444" s="458"/>
      <c r="BR444" s="577"/>
      <c r="BS444" s="524"/>
      <c r="BT444" s="575" t="s">
        <v>4049</v>
      </c>
    </row>
    <row r="445" s="435" customFormat="1" ht="18" customHeight="1" spans="1:72">
      <c r="A445" s="451" t="s">
        <v>4032</v>
      </c>
      <c r="B445" s="456">
        <v>44896</v>
      </c>
      <c r="C445" s="534">
        <v>1000012705</v>
      </c>
      <c r="D445" s="451"/>
      <c r="E445" s="457"/>
      <c r="F445" s="453"/>
      <c r="G445" s="453"/>
      <c r="H445" s="453"/>
      <c r="I445" s="453"/>
      <c r="J445" s="453"/>
      <c r="K445" s="453"/>
      <c r="L445" s="453"/>
      <c r="M445" s="453"/>
      <c r="N445" s="453"/>
      <c r="O445" s="453"/>
      <c r="P445" s="453"/>
      <c r="Q445" s="453"/>
      <c r="R445" s="550"/>
      <c r="S445" s="453"/>
      <c r="T445" s="453"/>
      <c r="U445" s="453"/>
      <c r="V445" s="453"/>
      <c r="W445" s="453"/>
      <c r="X445" s="453"/>
      <c r="Y445" s="453"/>
      <c r="Z445" s="489"/>
      <c r="AA445" s="489"/>
      <c r="AB445" s="490"/>
      <c r="AC445" s="453"/>
      <c r="AD445" s="453"/>
      <c r="AE445" s="453"/>
      <c r="AF445" s="453"/>
      <c r="AG445" s="453"/>
      <c r="AH445" s="453"/>
      <c r="AI445" s="453"/>
      <c r="AJ445" s="453"/>
      <c r="AK445" s="453"/>
      <c r="AL445" s="453"/>
      <c r="AM445" s="453"/>
      <c r="AN445" s="453"/>
      <c r="AO445" s="453"/>
      <c r="AP445" s="453"/>
      <c r="AQ445" s="453"/>
      <c r="AR445" s="453"/>
      <c r="AS445" s="453"/>
      <c r="AT445" s="453"/>
      <c r="AU445" s="453"/>
      <c r="AV445" s="453"/>
      <c r="AW445" s="453"/>
      <c r="AX445" s="453"/>
      <c r="AY445" s="453"/>
      <c r="AZ445" s="453"/>
      <c r="BA445" s="532"/>
      <c r="BB445" s="502">
        <v>13440</v>
      </c>
      <c r="BC445" s="503"/>
      <c r="BD445" s="453"/>
      <c r="BE445" s="453"/>
      <c r="BF445" s="470"/>
      <c r="BG445" s="453"/>
      <c r="BH445" s="453"/>
      <c r="BI445" s="453"/>
      <c r="BJ445" s="453"/>
      <c r="BK445" s="453"/>
      <c r="BL445" s="453"/>
      <c r="BM445" s="502"/>
      <c r="BN445" s="490"/>
      <c r="BO445" s="470"/>
      <c r="BP445" s="574"/>
      <c r="BQ445" s="458"/>
      <c r="BR445" s="577"/>
      <c r="BS445" s="524"/>
      <c r="BT445" s="575" t="s">
        <v>4050</v>
      </c>
    </row>
    <row r="446" s="435" customFormat="1" ht="18" customHeight="1" spans="1:72">
      <c r="A446" s="451" t="s">
        <v>4032</v>
      </c>
      <c r="B446" s="543">
        <v>44901</v>
      </c>
      <c r="C446" s="534">
        <v>1000012728</v>
      </c>
      <c r="D446" s="451"/>
      <c r="E446" s="457"/>
      <c r="F446" s="453"/>
      <c r="G446" s="453"/>
      <c r="H446" s="453"/>
      <c r="I446" s="453"/>
      <c r="J446" s="453"/>
      <c r="K446" s="453"/>
      <c r="L446" s="453"/>
      <c r="M446" s="453"/>
      <c r="N446" s="453"/>
      <c r="O446" s="453"/>
      <c r="P446" s="453"/>
      <c r="Q446" s="453"/>
      <c r="R446" s="550"/>
      <c r="S446" s="453"/>
      <c r="T446" s="453"/>
      <c r="U446" s="453"/>
      <c r="V446" s="453"/>
      <c r="W446" s="453"/>
      <c r="X446" s="453"/>
      <c r="Y446" s="453"/>
      <c r="Z446" s="489"/>
      <c r="AA446" s="489"/>
      <c r="AB446" s="490"/>
      <c r="AC446" s="453"/>
      <c r="AD446" s="453"/>
      <c r="AE446" s="453">
        <v>30000</v>
      </c>
      <c r="AF446" s="453"/>
      <c r="AG446" s="453"/>
      <c r="AH446" s="453"/>
      <c r="AI446" s="453"/>
      <c r="AJ446" s="453"/>
      <c r="AK446" s="453"/>
      <c r="AL446" s="453"/>
      <c r="AM446" s="453"/>
      <c r="AN446" s="453"/>
      <c r="AO446" s="453"/>
      <c r="AP446" s="453"/>
      <c r="AQ446" s="453"/>
      <c r="AR446" s="453"/>
      <c r="AS446" s="453"/>
      <c r="AT446" s="453"/>
      <c r="AU446" s="453"/>
      <c r="AV446" s="453"/>
      <c r="AW446" s="453"/>
      <c r="AX446" s="453"/>
      <c r="AY446" s="453"/>
      <c r="AZ446" s="453"/>
      <c r="BA446" s="532"/>
      <c r="BB446" s="502"/>
      <c r="BC446" s="503"/>
      <c r="BD446" s="453"/>
      <c r="BE446" s="453"/>
      <c r="BF446" s="470"/>
      <c r="BG446" s="453"/>
      <c r="BH446" s="453"/>
      <c r="BI446" s="453"/>
      <c r="BJ446" s="453"/>
      <c r="BK446" s="453"/>
      <c r="BL446" s="453"/>
      <c r="BM446" s="502"/>
      <c r="BN446" s="490"/>
      <c r="BO446" s="470"/>
      <c r="BP446" s="574"/>
      <c r="BQ446" s="458"/>
      <c r="BR446" s="577"/>
      <c r="BS446" s="524"/>
      <c r="BT446" s="575"/>
    </row>
    <row r="447" s="435" customFormat="1" ht="18" customHeight="1" spans="1:72">
      <c r="A447" s="451" t="s">
        <v>4032</v>
      </c>
      <c r="B447" s="543">
        <v>44901</v>
      </c>
      <c r="C447" s="534">
        <v>1000012729</v>
      </c>
      <c r="D447" s="451"/>
      <c r="E447" s="457"/>
      <c r="F447" s="453"/>
      <c r="G447" s="453"/>
      <c r="H447" s="453"/>
      <c r="I447" s="453"/>
      <c r="J447" s="453"/>
      <c r="K447" s="453"/>
      <c r="L447" s="453"/>
      <c r="M447" s="453"/>
      <c r="N447" s="453"/>
      <c r="O447" s="453"/>
      <c r="P447" s="453"/>
      <c r="Q447" s="453"/>
      <c r="R447" s="550"/>
      <c r="S447" s="453"/>
      <c r="T447" s="453"/>
      <c r="U447" s="453"/>
      <c r="V447" s="453"/>
      <c r="W447" s="453"/>
      <c r="X447" s="453"/>
      <c r="Y447" s="453"/>
      <c r="Z447" s="489"/>
      <c r="AA447" s="489"/>
      <c r="AB447" s="490"/>
      <c r="AC447" s="453"/>
      <c r="AD447" s="453"/>
      <c r="AE447" s="453"/>
      <c r="AF447" s="453"/>
      <c r="AG447" s="453"/>
      <c r="AH447" s="453"/>
      <c r="AI447" s="453"/>
      <c r="AJ447" s="453"/>
      <c r="AK447" s="453"/>
      <c r="AL447" s="453"/>
      <c r="AM447" s="453"/>
      <c r="AN447" s="453"/>
      <c r="AO447" s="453"/>
      <c r="AP447" s="453"/>
      <c r="AQ447" s="453"/>
      <c r="AR447" s="453"/>
      <c r="AS447" s="453">
        <v>208000</v>
      </c>
      <c r="AT447" s="453"/>
      <c r="AU447" s="453"/>
      <c r="AV447" s="453"/>
      <c r="AW447" s="453"/>
      <c r="AX447" s="453"/>
      <c r="AY447" s="453"/>
      <c r="AZ447" s="453"/>
      <c r="BA447" s="532"/>
      <c r="BB447" s="502"/>
      <c r="BC447" s="503"/>
      <c r="BD447" s="453"/>
      <c r="BE447" s="453"/>
      <c r="BF447" s="470"/>
      <c r="BG447" s="453"/>
      <c r="BH447" s="453"/>
      <c r="BI447" s="453"/>
      <c r="BJ447" s="453"/>
      <c r="BK447" s="453"/>
      <c r="BL447" s="453"/>
      <c r="BM447" s="502"/>
      <c r="BN447" s="490"/>
      <c r="BO447" s="470"/>
      <c r="BP447" s="574"/>
      <c r="BQ447" s="458"/>
      <c r="BR447" s="577"/>
      <c r="BS447" s="524"/>
      <c r="BT447" s="575"/>
    </row>
    <row r="448" s="435" customFormat="1" ht="18" customHeight="1" spans="1:72">
      <c r="A448" s="451" t="s">
        <v>4032</v>
      </c>
      <c r="B448" s="543">
        <v>44901</v>
      </c>
      <c r="C448" s="534">
        <v>1000012720</v>
      </c>
      <c r="D448" s="451"/>
      <c r="E448" s="457"/>
      <c r="F448" s="453"/>
      <c r="G448" s="453"/>
      <c r="H448" s="453"/>
      <c r="I448" s="453"/>
      <c r="J448" s="453"/>
      <c r="K448" s="453"/>
      <c r="L448" s="550">
        <v>25000</v>
      </c>
      <c r="M448" s="453"/>
      <c r="N448" s="453"/>
      <c r="O448" s="453"/>
      <c r="P448" s="453"/>
      <c r="Q448" s="453"/>
      <c r="R448" s="550"/>
      <c r="S448" s="453"/>
      <c r="T448" s="453"/>
      <c r="U448" s="453"/>
      <c r="V448" s="453"/>
      <c r="W448" s="453"/>
      <c r="X448" s="453"/>
      <c r="Y448" s="453"/>
      <c r="Z448" s="489"/>
      <c r="AA448" s="489"/>
      <c r="AB448" s="490"/>
      <c r="AC448" s="453"/>
      <c r="AD448" s="453"/>
      <c r="AE448" s="453"/>
      <c r="AF448" s="453"/>
      <c r="AG448" s="453"/>
      <c r="AH448" s="453"/>
      <c r="AI448" s="453"/>
      <c r="AJ448" s="453"/>
      <c r="AK448" s="453"/>
      <c r="AL448" s="453"/>
      <c r="AM448" s="453"/>
      <c r="AN448" s="453"/>
      <c r="AO448" s="453"/>
      <c r="AP448" s="453"/>
      <c r="AQ448" s="453"/>
      <c r="AR448" s="453"/>
      <c r="AS448" s="453"/>
      <c r="AT448" s="453"/>
      <c r="AU448" s="453"/>
      <c r="AV448" s="453"/>
      <c r="AW448" s="453"/>
      <c r="AX448" s="453"/>
      <c r="AY448" s="453"/>
      <c r="AZ448" s="453"/>
      <c r="BA448" s="532"/>
      <c r="BB448" s="502"/>
      <c r="BC448" s="503"/>
      <c r="BD448" s="453"/>
      <c r="BE448" s="453"/>
      <c r="BF448" s="470"/>
      <c r="BG448" s="453"/>
      <c r="BH448" s="453"/>
      <c r="BI448" s="453"/>
      <c r="BJ448" s="453"/>
      <c r="BK448" s="453"/>
      <c r="BL448" s="453"/>
      <c r="BM448" s="502"/>
      <c r="BN448" s="490"/>
      <c r="BO448" s="470"/>
      <c r="BP448" s="574"/>
      <c r="BQ448" s="458"/>
      <c r="BR448" s="577"/>
      <c r="BS448" s="524"/>
      <c r="BT448" s="575"/>
    </row>
    <row r="449" s="435" customFormat="1" ht="18" customHeight="1" spans="1:72">
      <c r="A449" s="451" t="s">
        <v>4032</v>
      </c>
      <c r="B449" s="543">
        <v>44901</v>
      </c>
      <c r="C449" s="534">
        <v>1000012721</v>
      </c>
      <c r="D449" s="451"/>
      <c r="E449" s="457"/>
      <c r="F449" s="453"/>
      <c r="G449" s="453"/>
      <c r="H449" s="453"/>
      <c r="I449" s="453"/>
      <c r="J449" s="453"/>
      <c r="K449" s="453"/>
      <c r="L449" s="453"/>
      <c r="M449" s="550">
        <v>3001</v>
      </c>
      <c r="N449" s="453"/>
      <c r="O449" s="453"/>
      <c r="P449" s="453"/>
      <c r="Q449" s="453"/>
      <c r="R449" s="550"/>
      <c r="S449" s="453"/>
      <c r="T449" s="453"/>
      <c r="U449" s="453"/>
      <c r="V449" s="453"/>
      <c r="W449" s="453"/>
      <c r="X449" s="453"/>
      <c r="Y449" s="453"/>
      <c r="Z449" s="489"/>
      <c r="AA449" s="489"/>
      <c r="AB449" s="490"/>
      <c r="AC449" s="453"/>
      <c r="AD449" s="453"/>
      <c r="AE449" s="453"/>
      <c r="AF449" s="453"/>
      <c r="AG449" s="453"/>
      <c r="AH449" s="453"/>
      <c r="AI449" s="453"/>
      <c r="AJ449" s="453"/>
      <c r="AK449" s="453"/>
      <c r="AL449" s="453"/>
      <c r="AM449" s="453"/>
      <c r="AN449" s="453"/>
      <c r="AO449" s="453"/>
      <c r="AP449" s="453"/>
      <c r="AQ449" s="453"/>
      <c r="AR449" s="453"/>
      <c r="AS449" s="453"/>
      <c r="AT449" s="453"/>
      <c r="AU449" s="453"/>
      <c r="AV449" s="453"/>
      <c r="AW449" s="453"/>
      <c r="AX449" s="453"/>
      <c r="AY449" s="453"/>
      <c r="AZ449" s="453"/>
      <c r="BA449" s="532"/>
      <c r="BB449" s="502"/>
      <c r="BC449" s="503"/>
      <c r="BD449" s="453"/>
      <c r="BE449" s="453"/>
      <c r="BF449" s="470"/>
      <c r="BG449" s="453"/>
      <c r="BH449" s="453"/>
      <c r="BI449" s="453"/>
      <c r="BJ449" s="453"/>
      <c r="BK449" s="453"/>
      <c r="BL449" s="453"/>
      <c r="BM449" s="502"/>
      <c r="BN449" s="490"/>
      <c r="BO449" s="470"/>
      <c r="BP449" s="574"/>
      <c r="BQ449" s="458"/>
      <c r="BR449" s="577"/>
      <c r="BS449" s="524"/>
      <c r="BT449" s="575"/>
    </row>
    <row r="450" s="435" customFormat="1" ht="18" customHeight="1" spans="1:72">
      <c r="A450" s="451" t="s">
        <v>4032</v>
      </c>
      <c r="B450" s="543">
        <v>44901</v>
      </c>
      <c r="C450" s="534">
        <v>1000012722</v>
      </c>
      <c r="D450" s="451"/>
      <c r="E450" s="457"/>
      <c r="F450" s="453"/>
      <c r="G450" s="453"/>
      <c r="H450" s="453"/>
      <c r="I450" s="453"/>
      <c r="J450" s="453"/>
      <c r="K450" s="453"/>
      <c r="L450" s="453"/>
      <c r="M450" s="453"/>
      <c r="N450" s="550">
        <v>10001</v>
      </c>
      <c r="O450" s="550"/>
      <c r="P450" s="550"/>
      <c r="Q450" s="550"/>
      <c r="R450" s="550"/>
      <c r="S450" s="453"/>
      <c r="T450" s="453"/>
      <c r="U450" s="453"/>
      <c r="V450" s="453"/>
      <c r="W450" s="453"/>
      <c r="X450" s="453"/>
      <c r="Y450" s="453"/>
      <c r="Z450" s="489"/>
      <c r="AA450" s="489"/>
      <c r="AB450" s="490"/>
      <c r="AC450" s="453"/>
      <c r="AD450" s="453"/>
      <c r="AE450" s="453"/>
      <c r="AF450" s="453"/>
      <c r="AG450" s="453"/>
      <c r="AH450" s="453"/>
      <c r="AI450" s="453"/>
      <c r="AJ450" s="453"/>
      <c r="AK450" s="453"/>
      <c r="AL450" s="453"/>
      <c r="AM450" s="453"/>
      <c r="AN450" s="453"/>
      <c r="AO450" s="453"/>
      <c r="AP450" s="453"/>
      <c r="AQ450" s="453"/>
      <c r="AR450" s="453"/>
      <c r="AS450" s="453"/>
      <c r="AT450" s="453"/>
      <c r="AU450" s="453"/>
      <c r="AV450" s="453"/>
      <c r="AW450" s="453"/>
      <c r="AX450" s="453"/>
      <c r="AY450" s="453"/>
      <c r="AZ450" s="453"/>
      <c r="BA450" s="532"/>
      <c r="BB450" s="502"/>
      <c r="BC450" s="503"/>
      <c r="BD450" s="453"/>
      <c r="BE450" s="453"/>
      <c r="BF450" s="470"/>
      <c r="BG450" s="453"/>
      <c r="BH450" s="453"/>
      <c r="BI450" s="453"/>
      <c r="BJ450" s="453"/>
      <c r="BK450" s="453"/>
      <c r="BL450" s="453"/>
      <c r="BM450" s="502"/>
      <c r="BN450" s="490"/>
      <c r="BO450" s="470"/>
      <c r="BP450" s="574"/>
      <c r="BQ450" s="458"/>
      <c r="BR450" s="577"/>
      <c r="BS450" s="524"/>
      <c r="BT450" s="575"/>
    </row>
    <row r="451" s="435" customFormat="1" ht="18" customHeight="1" spans="1:72">
      <c r="A451" s="451" t="s">
        <v>4032</v>
      </c>
      <c r="B451" s="543">
        <v>44901</v>
      </c>
      <c r="C451" s="534">
        <v>1000012723</v>
      </c>
      <c r="D451" s="451"/>
      <c r="E451" s="457"/>
      <c r="F451" s="453"/>
      <c r="G451" s="453"/>
      <c r="H451" s="453"/>
      <c r="I451" s="453"/>
      <c r="J451" s="453"/>
      <c r="K451" s="453"/>
      <c r="L451" s="453"/>
      <c r="M451" s="453"/>
      <c r="N451" s="453"/>
      <c r="O451" s="453"/>
      <c r="P451" s="453"/>
      <c r="Q451" s="453"/>
      <c r="R451" s="550"/>
      <c r="S451" s="550">
        <v>35000</v>
      </c>
      <c r="T451" s="550"/>
      <c r="U451" s="550"/>
      <c r="V451" s="550"/>
      <c r="W451" s="550"/>
      <c r="X451" s="550"/>
      <c r="Y451" s="550"/>
      <c r="Z451" s="583"/>
      <c r="AA451" s="583"/>
      <c r="AB451" s="490"/>
      <c r="AC451" s="453"/>
      <c r="AD451" s="453"/>
      <c r="AE451" s="453"/>
      <c r="AF451" s="453"/>
      <c r="AG451" s="453"/>
      <c r="AH451" s="453"/>
      <c r="AI451" s="453"/>
      <c r="AJ451" s="453"/>
      <c r="AK451" s="453"/>
      <c r="AL451" s="453"/>
      <c r="AM451" s="453"/>
      <c r="AN451" s="453"/>
      <c r="AO451" s="453"/>
      <c r="AP451" s="453"/>
      <c r="AQ451" s="453"/>
      <c r="AR451" s="453"/>
      <c r="AS451" s="453"/>
      <c r="AT451" s="453"/>
      <c r="AU451" s="453"/>
      <c r="AV451" s="453"/>
      <c r="AW451" s="453"/>
      <c r="AX451" s="453"/>
      <c r="AY451" s="453"/>
      <c r="AZ451" s="453"/>
      <c r="BA451" s="532"/>
      <c r="BB451" s="502"/>
      <c r="BC451" s="503"/>
      <c r="BD451" s="453"/>
      <c r="BE451" s="453"/>
      <c r="BF451" s="470"/>
      <c r="BG451" s="453"/>
      <c r="BH451" s="453"/>
      <c r="BI451" s="453"/>
      <c r="BJ451" s="453"/>
      <c r="BK451" s="453"/>
      <c r="BL451" s="453"/>
      <c r="BM451" s="502"/>
      <c r="BN451" s="490"/>
      <c r="BO451" s="470"/>
      <c r="BP451" s="574"/>
      <c r="BQ451" s="458"/>
      <c r="BR451" s="577"/>
      <c r="BS451" s="524"/>
      <c r="BT451" s="575"/>
    </row>
    <row r="452" s="435" customFormat="1" ht="18" customHeight="1" spans="1:72">
      <c r="A452" s="451" t="s">
        <v>4032</v>
      </c>
      <c r="B452" s="543">
        <v>44901</v>
      </c>
      <c r="C452" s="534">
        <v>1000012732</v>
      </c>
      <c r="D452" s="451"/>
      <c r="E452" s="457"/>
      <c r="F452" s="453"/>
      <c r="G452" s="453"/>
      <c r="H452" s="453"/>
      <c r="I452" s="453"/>
      <c r="J452" s="453"/>
      <c r="K452" s="453"/>
      <c r="L452" s="453"/>
      <c r="M452" s="453"/>
      <c r="N452" s="453"/>
      <c r="O452" s="453"/>
      <c r="P452" s="453"/>
      <c r="Q452" s="453"/>
      <c r="R452" s="550"/>
      <c r="S452" s="453"/>
      <c r="T452" s="453"/>
      <c r="U452" s="453"/>
      <c r="V452" s="453"/>
      <c r="W452" s="453"/>
      <c r="X452" s="453"/>
      <c r="Y452" s="453"/>
      <c r="Z452" s="489"/>
      <c r="AA452" s="489"/>
      <c r="AB452" s="490"/>
      <c r="AC452" s="453"/>
      <c r="AD452" s="453"/>
      <c r="AE452" s="453"/>
      <c r="AF452" s="453"/>
      <c r="AG452" s="453"/>
      <c r="AH452" s="453"/>
      <c r="AI452" s="453"/>
      <c r="AJ452" s="453"/>
      <c r="AK452" s="453"/>
      <c r="AL452" s="453"/>
      <c r="AM452" s="453"/>
      <c r="AN452" s="453"/>
      <c r="AO452" s="453"/>
      <c r="AP452" s="453"/>
      <c r="AQ452" s="453"/>
      <c r="AR452" s="453"/>
      <c r="AS452" s="453"/>
      <c r="AT452" s="453"/>
      <c r="AU452" s="453"/>
      <c r="AV452" s="453"/>
      <c r="AW452" s="453"/>
      <c r="AX452" s="453"/>
      <c r="AY452" s="453"/>
      <c r="AZ452" s="453"/>
      <c r="BA452" s="532"/>
      <c r="BB452" s="502"/>
      <c r="BC452" s="503"/>
      <c r="BD452" s="453"/>
      <c r="BE452" s="453"/>
      <c r="BF452" s="470"/>
      <c r="BG452" s="560"/>
      <c r="BH452" s="560"/>
      <c r="BI452" s="453"/>
      <c r="BJ452" s="453"/>
      <c r="BK452" s="453"/>
      <c r="BL452" s="453"/>
      <c r="BM452" s="502"/>
      <c r="BN452" s="490"/>
      <c r="BO452" s="470"/>
      <c r="BP452" s="574"/>
      <c r="BQ452" s="458"/>
      <c r="BR452" s="577"/>
      <c r="BS452" s="524"/>
      <c r="BT452" s="575"/>
    </row>
    <row r="453" s="435" customFormat="1" ht="18" customHeight="1" spans="1:72">
      <c r="A453" s="451" t="s">
        <v>4032</v>
      </c>
      <c r="B453" s="543">
        <v>44901</v>
      </c>
      <c r="C453" s="534">
        <v>1000012733</v>
      </c>
      <c r="D453" s="451"/>
      <c r="E453" s="457"/>
      <c r="F453" s="453"/>
      <c r="G453" s="453"/>
      <c r="H453" s="453"/>
      <c r="I453" s="453"/>
      <c r="J453" s="453"/>
      <c r="K453" s="453"/>
      <c r="L453" s="453"/>
      <c r="M453" s="453"/>
      <c r="N453" s="453"/>
      <c r="O453" s="453"/>
      <c r="P453" s="453"/>
      <c r="Q453" s="453"/>
      <c r="R453" s="550"/>
      <c r="S453" s="453"/>
      <c r="T453" s="453"/>
      <c r="U453" s="453"/>
      <c r="V453" s="453"/>
      <c r="W453" s="453"/>
      <c r="X453" s="453"/>
      <c r="Y453" s="453"/>
      <c r="Z453" s="489"/>
      <c r="AA453" s="489"/>
      <c r="AB453" s="490"/>
      <c r="AC453" s="453"/>
      <c r="AD453" s="453"/>
      <c r="AE453" s="453"/>
      <c r="AF453" s="453"/>
      <c r="AG453" s="453"/>
      <c r="AH453" s="453"/>
      <c r="AI453" s="453"/>
      <c r="AJ453" s="453"/>
      <c r="AK453" s="453"/>
      <c r="AL453" s="453"/>
      <c r="AM453" s="453"/>
      <c r="AN453" s="453"/>
      <c r="AO453" s="453"/>
      <c r="AP453" s="453"/>
      <c r="AQ453" s="453"/>
      <c r="AR453" s="453"/>
      <c r="AS453" s="453"/>
      <c r="AT453" s="453"/>
      <c r="AU453" s="453"/>
      <c r="AV453" s="453"/>
      <c r="AW453" s="453"/>
      <c r="AX453" s="453"/>
      <c r="AY453" s="453"/>
      <c r="AZ453" s="453"/>
      <c r="BA453" s="532"/>
      <c r="BB453" s="502"/>
      <c r="BC453" s="503"/>
      <c r="BD453" s="453"/>
      <c r="BE453" s="453"/>
      <c r="BF453" s="470"/>
      <c r="BG453" s="453"/>
      <c r="BH453" s="453"/>
      <c r="BI453" s="560"/>
      <c r="BJ453" s="453"/>
      <c r="BK453" s="453"/>
      <c r="BL453" s="453"/>
      <c r="BM453" s="502"/>
      <c r="BN453" s="490"/>
      <c r="BO453" s="470"/>
      <c r="BP453" s="574"/>
      <c r="BQ453" s="458"/>
      <c r="BR453" s="577"/>
      <c r="BS453" s="524"/>
      <c r="BT453" s="575"/>
    </row>
    <row r="454" s="435" customFormat="1" ht="18" customHeight="1" spans="1:72">
      <c r="A454" s="451" t="s">
        <v>4032</v>
      </c>
      <c r="B454" s="543">
        <v>44901</v>
      </c>
      <c r="C454" s="534">
        <v>1000012734</v>
      </c>
      <c r="D454" s="451"/>
      <c r="E454" s="457"/>
      <c r="F454" s="453"/>
      <c r="G454" s="453"/>
      <c r="H454" s="453"/>
      <c r="I454" s="453"/>
      <c r="J454" s="453"/>
      <c r="K454" s="453"/>
      <c r="L454" s="453"/>
      <c r="M454" s="453"/>
      <c r="N454" s="453"/>
      <c r="O454" s="453"/>
      <c r="P454" s="453"/>
      <c r="Q454" s="453"/>
      <c r="R454" s="550"/>
      <c r="S454" s="453"/>
      <c r="T454" s="453"/>
      <c r="U454" s="453"/>
      <c r="V454" s="453"/>
      <c r="W454" s="453"/>
      <c r="X454" s="453"/>
      <c r="Y454" s="453"/>
      <c r="Z454" s="489"/>
      <c r="AA454" s="489"/>
      <c r="AB454" s="490"/>
      <c r="AC454" s="453"/>
      <c r="AD454" s="453"/>
      <c r="AE454" s="453"/>
      <c r="AF454" s="453"/>
      <c r="AG454" s="453"/>
      <c r="AH454" s="453"/>
      <c r="AI454" s="453"/>
      <c r="AJ454" s="453"/>
      <c r="AK454" s="453"/>
      <c r="AL454" s="453"/>
      <c r="AM454" s="453"/>
      <c r="AN454" s="453"/>
      <c r="AO454" s="453"/>
      <c r="AP454" s="453"/>
      <c r="AQ454" s="453"/>
      <c r="AR454" s="453"/>
      <c r="AS454" s="453"/>
      <c r="AT454" s="453"/>
      <c r="AU454" s="453"/>
      <c r="AV454" s="453"/>
      <c r="AW454" s="453"/>
      <c r="AX454" s="453"/>
      <c r="AY454" s="453"/>
      <c r="AZ454" s="453"/>
      <c r="BA454" s="532"/>
      <c r="BB454" s="502"/>
      <c r="BC454" s="503"/>
      <c r="BD454" s="453"/>
      <c r="BE454" s="453"/>
      <c r="BF454" s="470"/>
      <c r="BG454" s="453"/>
      <c r="BH454" s="453"/>
      <c r="BI454" s="447"/>
      <c r="BJ454" s="561"/>
      <c r="BK454" s="453"/>
      <c r="BL454" s="453"/>
      <c r="BM454" s="502"/>
      <c r="BN454" s="490"/>
      <c r="BO454" s="470"/>
      <c r="BP454" s="574"/>
      <c r="BQ454" s="458"/>
      <c r="BR454" s="577"/>
      <c r="BS454" s="524"/>
      <c r="BT454" s="575"/>
    </row>
    <row r="455" s="435" customFormat="1" ht="18" customHeight="1" spans="1:72">
      <c r="A455" s="451" t="s">
        <v>4032</v>
      </c>
      <c r="B455" s="543">
        <v>44916</v>
      </c>
      <c r="C455" s="534">
        <v>1000012920</v>
      </c>
      <c r="D455" s="451"/>
      <c r="E455" s="457"/>
      <c r="F455" s="453"/>
      <c r="G455" s="453"/>
      <c r="H455" s="453"/>
      <c r="I455" s="453"/>
      <c r="J455" s="453"/>
      <c r="K455" s="453"/>
      <c r="L455" s="453"/>
      <c r="M455" s="453"/>
      <c r="N455" s="453"/>
      <c r="O455" s="453"/>
      <c r="P455" s="453"/>
      <c r="Q455" s="453"/>
      <c r="R455" s="550"/>
      <c r="S455" s="453"/>
      <c r="T455" s="453"/>
      <c r="U455" s="453"/>
      <c r="V455" s="453"/>
      <c r="W455" s="453"/>
      <c r="X455" s="453"/>
      <c r="Y455" s="453"/>
      <c r="Z455" s="489"/>
      <c r="AA455" s="489"/>
      <c r="AB455" s="490"/>
      <c r="AC455" s="453"/>
      <c r="AD455" s="453"/>
      <c r="AE455" s="453">
        <v>30000</v>
      </c>
      <c r="AF455" s="453"/>
      <c r="AG455" s="453"/>
      <c r="AH455" s="453"/>
      <c r="AI455" s="453"/>
      <c r="AJ455" s="453"/>
      <c r="AK455" s="453"/>
      <c r="AL455" s="453"/>
      <c r="AM455" s="453"/>
      <c r="AN455" s="453"/>
      <c r="AO455" s="453"/>
      <c r="AP455" s="453"/>
      <c r="AQ455" s="453"/>
      <c r="AR455" s="453"/>
      <c r="AS455" s="453"/>
      <c r="AT455" s="453"/>
      <c r="AU455" s="453"/>
      <c r="AV455" s="453"/>
      <c r="AW455" s="453"/>
      <c r="AX455" s="453"/>
      <c r="AY455" s="453"/>
      <c r="AZ455" s="453"/>
      <c r="BA455" s="532"/>
      <c r="BB455" s="502"/>
      <c r="BC455" s="503"/>
      <c r="BD455" s="453"/>
      <c r="BE455" s="453"/>
      <c r="BF455" s="470"/>
      <c r="BG455" s="453"/>
      <c r="BH455" s="453"/>
      <c r="BI455" s="447"/>
      <c r="BJ455" s="561"/>
      <c r="BK455" s="453"/>
      <c r="BL455" s="453"/>
      <c r="BM455" s="502"/>
      <c r="BN455" s="490"/>
      <c r="BO455" s="470"/>
      <c r="BP455" s="574"/>
      <c r="BQ455" s="458"/>
      <c r="BR455" s="577"/>
      <c r="BS455" s="524"/>
      <c r="BT455" s="575"/>
    </row>
    <row r="456" s="435" customFormat="1" ht="18" customHeight="1" spans="1:72">
      <c r="A456" s="451" t="s">
        <v>4032</v>
      </c>
      <c r="B456" s="543">
        <v>44916</v>
      </c>
      <c r="C456" s="534">
        <v>1000012921</v>
      </c>
      <c r="D456" s="451"/>
      <c r="E456" s="457"/>
      <c r="F456" s="453"/>
      <c r="G456" s="453"/>
      <c r="H456" s="453"/>
      <c r="I456" s="453"/>
      <c r="J456" s="453"/>
      <c r="K456" s="453"/>
      <c r="L456" s="453"/>
      <c r="M456" s="453"/>
      <c r="N456" s="453"/>
      <c r="O456" s="453"/>
      <c r="P456" s="453"/>
      <c r="Q456" s="453"/>
      <c r="R456" s="550"/>
      <c r="S456" s="453"/>
      <c r="T456" s="453"/>
      <c r="U456" s="453"/>
      <c r="V456" s="453"/>
      <c r="W456" s="453"/>
      <c r="X456" s="453"/>
      <c r="Y456" s="453"/>
      <c r="Z456" s="489"/>
      <c r="AA456" s="489"/>
      <c r="AB456" s="490"/>
      <c r="AC456" s="453"/>
      <c r="AD456" s="453"/>
      <c r="AE456" s="453"/>
      <c r="AF456" s="453"/>
      <c r="AG456" s="453"/>
      <c r="AH456" s="453"/>
      <c r="AI456" s="453"/>
      <c r="AJ456" s="453">
        <v>10000</v>
      </c>
      <c r="AK456" s="453"/>
      <c r="AL456" s="453"/>
      <c r="AM456" s="453"/>
      <c r="AN456" s="453"/>
      <c r="AO456" s="453"/>
      <c r="AP456" s="453"/>
      <c r="AQ456" s="453"/>
      <c r="AR456" s="453"/>
      <c r="AS456" s="453"/>
      <c r="AT456" s="453"/>
      <c r="AU456" s="453"/>
      <c r="AV456" s="453"/>
      <c r="AW456" s="453"/>
      <c r="AX456" s="453"/>
      <c r="AY456" s="453"/>
      <c r="AZ456" s="453"/>
      <c r="BA456" s="532"/>
      <c r="BB456" s="502"/>
      <c r="BC456" s="503"/>
      <c r="BD456" s="453"/>
      <c r="BE456" s="453"/>
      <c r="BF456" s="470"/>
      <c r="BG456" s="453"/>
      <c r="BH456" s="453"/>
      <c r="BI456" s="447"/>
      <c r="BJ456" s="561"/>
      <c r="BK456" s="453"/>
      <c r="BL456" s="453"/>
      <c r="BM456" s="502"/>
      <c r="BN456" s="490"/>
      <c r="BO456" s="470"/>
      <c r="BP456" s="574"/>
      <c r="BQ456" s="458"/>
      <c r="BR456" s="577"/>
      <c r="BS456" s="524"/>
      <c r="BT456" s="575"/>
    </row>
    <row r="457" s="435" customFormat="1" ht="18" customHeight="1" spans="1:72">
      <c r="A457" s="451" t="s">
        <v>4032</v>
      </c>
      <c r="B457" s="543">
        <v>44916</v>
      </c>
      <c r="C457" s="534">
        <v>1000012922</v>
      </c>
      <c r="D457" s="451"/>
      <c r="E457" s="457"/>
      <c r="F457" s="453"/>
      <c r="G457" s="453"/>
      <c r="H457" s="453"/>
      <c r="I457" s="453"/>
      <c r="J457" s="453"/>
      <c r="K457" s="453"/>
      <c r="L457" s="453"/>
      <c r="M457" s="453"/>
      <c r="N457" s="453"/>
      <c r="O457" s="453"/>
      <c r="P457" s="453"/>
      <c r="Q457" s="453"/>
      <c r="R457" s="550"/>
      <c r="S457" s="453"/>
      <c r="T457" s="453"/>
      <c r="U457" s="453"/>
      <c r="V457" s="453"/>
      <c r="W457" s="453"/>
      <c r="X457" s="453"/>
      <c r="Y457" s="453"/>
      <c r="Z457" s="489"/>
      <c r="AA457" s="489"/>
      <c r="AB457" s="490"/>
      <c r="AC457" s="453"/>
      <c r="AD457" s="453"/>
      <c r="AE457" s="453"/>
      <c r="AF457" s="453"/>
      <c r="AG457" s="453"/>
      <c r="AH457" s="453"/>
      <c r="AI457" s="453"/>
      <c r="AJ457" s="453"/>
      <c r="AK457" s="453"/>
      <c r="AL457" s="453"/>
      <c r="AM457" s="453"/>
      <c r="AN457" s="453"/>
      <c r="AO457" s="453"/>
      <c r="AP457" s="453"/>
      <c r="AQ457" s="453"/>
      <c r="AR457" s="453"/>
      <c r="AS457" s="453">
        <v>50000</v>
      </c>
      <c r="AT457" s="453"/>
      <c r="AU457" s="453"/>
      <c r="AV457" s="453"/>
      <c r="AW457" s="453"/>
      <c r="AX457" s="453"/>
      <c r="AY457" s="453"/>
      <c r="AZ457" s="453"/>
      <c r="BA457" s="532"/>
      <c r="BB457" s="502"/>
      <c r="BC457" s="503"/>
      <c r="BD457" s="453"/>
      <c r="BE457" s="453"/>
      <c r="BF457" s="470"/>
      <c r="BG457" s="453"/>
      <c r="BH457" s="453"/>
      <c r="BI457" s="447"/>
      <c r="BJ457" s="561"/>
      <c r="BK457" s="453"/>
      <c r="BL457" s="453"/>
      <c r="BM457" s="502"/>
      <c r="BN457" s="490"/>
      <c r="BO457" s="470"/>
      <c r="BP457" s="574"/>
      <c r="BQ457" s="458"/>
      <c r="BR457" s="577"/>
      <c r="BS457" s="524"/>
      <c r="BT457" s="575"/>
    </row>
    <row r="458" s="435" customFormat="1" ht="18" customHeight="1" spans="1:72">
      <c r="A458" s="451" t="s">
        <v>4032</v>
      </c>
      <c r="B458" s="543">
        <v>44916</v>
      </c>
      <c r="C458" s="534">
        <v>1000012911</v>
      </c>
      <c r="D458" s="451"/>
      <c r="E458" s="457"/>
      <c r="F458" s="453"/>
      <c r="G458" s="453"/>
      <c r="H458" s="453"/>
      <c r="I458" s="453"/>
      <c r="J458" s="453"/>
      <c r="K458" s="453"/>
      <c r="L458" s="550">
        <v>5001</v>
      </c>
      <c r="M458" s="453"/>
      <c r="N458" s="453"/>
      <c r="O458" s="453"/>
      <c r="P458" s="453"/>
      <c r="Q458" s="453"/>
      <c r="R458" s="550"/>
      <c r="S458" s="453"/>
      <c r="T458" s="453"/>
      <c r="U458" s="453"/>
      <c r="V458" s="453"/>
      <c r="W458" s="453"/>
      <c r="X458" s="453"/>
      <c r="Y458" s="453"/>
      <c r="Z458" s="489"/>
      <c r="AA458" s="489"/>
      <c r="AB458" s="490"/>
      <c r="AC458" s="453"/>
      <c r="AD458" s="453"/>
      <c r="AE458" s="453"/>
      <c r="AF458" s="453"/>
      <c r="AG458" s="453"/>
      <c r="AH458" s="453"/>
      <c r="AI458" s="453"/>
      <c r="AJ458" s="453"/>
      <c r="AK458" s="453"/>
      <c r="AL458" s="453"/>
      <c r="AM458" s="453"/>
      <c r="AN458" s="453"/>
      <c r="AO458" s="453"/>
      <c r="AP458" s="453"/>
      <c r="AQ458" s="453"/>
      <c r="AR458" s="453"/>
      <c r="AS458" s="453"/>
      <c r="AT458" s="453"/>
      <c r="AU458" s="453"/>
      <c r="AV458" s="453"/>
      <c r="AW458" s="453"/>
      <c r="AX458" s="453"/>
      <c r="AY458" s="453"/>
      <c r="AZ458" s="453"/>
      <c r="BA458" s="532"/>
      <c r="BB458" s="502"/>
      <c r="BC458" s="503"/>
      <c r="BD458" s="453"/>
      <c r="BE458" s="453"/>
      <c r="BF458" s="470"/>
      <c r="BG458" s="453"/>
      <c r="BH458" s="453"/>
      <c r="BI458" s="447"/>
      <c r="BJ458" s="561"/>
      <c r="BK458" s="453"/>
      <c r="BL458" s="453"/>
      <c r="BM458" s="502"/>
      <c r="BN458" s="490"/>
      <c r="BO458" s="470"/>
      <c r="BP458" s="574"/>
      <c r="BQ458" s="458"/>
      <c r="BR458" s="577"/>
      <c r="BS458" s="524"/>
      <c r="BT458" s="575"/>
    </row>
    <row r="459" s="435" customFormat="1" ht="18" customHeight="1" spans="1:72">
      <c r="A459" s="451" t="s">
        <v>4032</v>
      </c>
      <c r="B459" s="543">
        <v>44916</v>
      </c>
      <c r="C459" s="534">
        <v>1000012912</v>
      </c>
      <c r="D459" s="451"/>
      <c r="E459" s="457"/>
      <c r="F459" s="453"/>
      <c r="G459" s="453"/>
      <c r="H459" s="453"/>
      <c r="I459" s="453"/>
      <c r="J459" s="453"/>
      <c r="K459" s="453"/>
      <c r="L459" s="453"/>
      <c r="M459" s="550">
        <v>5001</v>
      </c>
      <c r="N459" s="550"/>
      <c r="O459" s="550"/>
      <c r="P459" s="550"/>
      <c r="Q459" s="550"/>
      <c r="R459" s="550"/>
      <c r="S459" s="453"/>
      <c r="T459" s="453"/>
      <c r="U459" s="453"/>
      <c r="V459" s="453"/>
      <c r="W459" s="453"/>
      <c r="X459" s="453"/>
      <c r="Y459" s="453"/>
      <c r="Z459" s="489"/>
      <c r="AA459" s="489"/>
      <c r="AB459" s="490"/>
      <c r="AC459" s="453"/>
      <c r="AD459" s="453"/>
      <c r="AE459" s="453"/>
      <c r="AF459" s="453"/>
      <c r="AG459" s="453"/>
      <c r="AH459" s="453"/>
      <c r="AI459" s="453"/>
      <c r="AJ459" s="453"/>
      <c r="AK459" s="453"/>
      <c r="AL459" s="453"/>
      <c r="AM459" s="453"/>
      <c r="AN459" s="453"/>
      <c r="AO459" s="453"/>
      <c r="AP459" s="453"/>
      <c r="AQ459" s="453"/>
      <c r="AR459" s="453"/>
      <c r="AS459" s="453"/>
      <c r="AT459" s="453"/>
      <c r="AU459" s="453"/>
      <c r="AV459" s="453"/>
      <c r="AW459" s="453"/>
      <c r="AX459" s="453"/>
      <c r="AY459" s="453"/>
      <c r="AZ459" s="453"/>
      <c r="BA459" s="532"/>
      <c r="BB459" s="502"/>
      <c r="BC459" s="503"/>
      <c r="BD459" s="453"/>
      <c r="BE459" s="453"/>
      <c r="BF459" s="470"/>
      <c r="BG459" s="453"/>
      <c r="BH459" s="453"/>
      <c r="BI459" s="447"/>
      <c r="BJ459" s="561"/>
      <c r="BK459" s="453"/>
      <c r="BL459" s="453"/>
      <c r="BM459" s="502"/>
      <c r="BN459" s="490"/>
      <c r="BO459" s="470"/>
      <c r="BP459" s="574"/>
      <c r="BQ459" s="458"/>
      <c r="BR459" s="577"/>
      <c r="BS459" s="524"/>
      <c r="BT459" s="575"/>
    </row>
    <row r="460" s="435" customFormat="1" ht="18" customHeight="1" spans="1:72">
      <c r="A460" s="451" t="s">
        <v>4032</v>
      </c>
      <c r="B460" s="543">
        <v>44916</v>
      </c>
      <c r="C460" s="534">
        <v>1000012913</v>
      </c>
      <c r="D460" s="451"/>
      <c r="E460" s="457"/>
      <c r="F460" s="453"/>
      <c r="G460" s="453"/>
      <c r="H460" s="453"/>
      <c r="I460" s="453"/>
      <c r="J460" s="453"/>
      <c r="K460" s="453"/>
      <c r="L460" s="453"/>
      <c r="M460" s="453"/>
      <c r="N460" s="550">
        <v>5001</v>
      </c>
      <c r="O460" s="550"/>
      <c r="P460" s="550"/>
      <c r="Q460" s="550"/>
      <c r="R460" s="550"/>
      <c r="S460" s="453"/>
      <c r="T460" s="453"/>
      <c r="U460" s="453"/>
      <c r="V460" s="453"/>
      <c r="W460" s="453"/>
      <c r="X460" s="453"/>
      <c r="Y460" s="453"/>
      <c r="Z460" s="489"/>
      <c r="AA460" s="489"/>
      <c r="AB460" s="490"/>
      <c r="AC460" s="453"/>
      <c r="AD460" s="453"/>
      <c r="AE460" s="453"/>
      <c r="AF460" s="453"/>
      <c r="AG460" s="453"/>
      <c r="AH460" s="453"/>
      <c r="AI460" s="453"/>
      <c r="AJ460" s="453"/>
      <c r="AK460" s="453"/>
      <c r="AL460" s="453"/>
      <c r="AM460" s="453"/>
      <c r="AN460" s="453"/>
      <c r="AO460" s="453"/>
      <c r="AP460" s="453"/>
      <c r="AQ460" s="453"/>
      <c r="AR460" s="453"/>
      <c r="AS460" s="453"/>
      <c r="AT460" s="453"/>
      <c r="AU460" s="453"/>
      <c r="AV460" s="453"/>
      <c r="AW460" s="453"/>
      <c r="AX460" s="453"/>
      <c r="AY460" s="453"/>
      <c r="AZ460" s="453"/>
      <c r="BA460" s="532"/>
      <c r="BB460" s="502"/>
      <c r="BC460" s="503"/>
      <c r="BD460" s="453"/>
      <c r="BE460" s="453"/>
      <c r="BF460" s="470"/>
      <c r="BG460" s="453"/>
      <c r="BH460" s="453"/>
      <c r="BI460" s="453"/>
      <c r="BJ460" s="453"/>
      <c r="BK460" s="453"/>
      <c r="BL460" s="453"/>
      <c r="BM460" s="502"/>
      <c r="BN460" s="490"/>
      <c r="BO460" s="470"/>
      <c r="BP460" s="574"/>
      <c r="BQ460" s="458"/>
      <c r="BR460" s="577"/>
      <c r="BS460" s="524"/>
      <c r="BT460" s="575"/>
    </row>
    <row r="461" s="435" customFormat="1" ht="18" customHeight="1" spans="1:72">
      <c r="A461" s="451" t="s">
        <v>4032</v>
      </c>
      <c r="B461" s="543">
        <v>44916</v>
      </c>
      <c r="C461" s="534">
        <v>1000012914</v>
      </c>
      <c r="D461" s="451"/>
      <c r="E461" s="457"/>
      <c r="F461" s="453"/>
      <c r="G461" s="453"/>
      <c r="H461" s="453"/>
      <c r="I461" s="453"/>
      <c r="J461" s="453"/>
      <c r="K461" s="453"/>
      <c r="L461" s="453"/>
      <c r="M461" s="453"/>
      <c r="N461" s="453"/>
      <c r="O461" s="453"/>
      <c r="P461" s="453"/>
      <c r="Q461" s="453"/>
      <c r="R461" s="550"/>
      <c r="S461" s="550">
        <v>10001</v>
      </c>
      <c r="T461" s="550"/>
      <c r="U461" s="550"/>
      <c r="V461" s="550"/>
      <c r="W461" s="550"/>
      <c r="X461" s="550"/>
      <c r="Y461" s="550"/>
      <c r="Z461" s="583"/>
      <c r="AA461" s="583"/>
      <c r="AB461" s="490"/>
      <c r="AC461" s="453"/>
      <c r="AD461" s="453"/>
      <c r="AE461" s="453"/>
      <c r="AF461" s="453"/>
      <c r="AG461" s="453"/>
      <c r="AH461" s="453"/>
      <c r="AI461" s="453"/>
      <c r="AJ461" s="453"/>
      <c r="AK461" s="453"/>
      <c r="AL461" s="453"/>
      <c r="AM461" s="453"/>
      <c r="AN461" s="453"/>
      <c r="AO461" s="453"/>
      <c r="AP461" s="453"/>
      <c r="AQ461" s="453"/>
      <c r="AR461" s="453"/>
      <c r="AS461" s="453"/>
      <c r="AT461" s="453"/>
      <c r="AU461" s="453"/>
      <c r="AV461" s="453"/>
      <c r="AW461" s="453"/>
      <c r="AX461" s="453"/>
      <c r="AY461" s="453"/>
      <c r="AZ461" s="453"/>
      <c r="BA461" s="532"/>
      <c r="BB461" s="502"/>
      <c r="BC461" s="503"/>
      <c r="BD461" s="453"/>
      <c r="BE461" s="453"/>
      <c r="BF461" s="470"/>
      <c r="BG461" s="453"/>
      <c r="BH461" s="453"/>
      <c r="BI461" s="453"/>
      <c r="BJ461" s="453"/>
      <c r="BK461" s="453"/>
      <c r="BL461" s="453"/>
      <c r="BM461" s="502"/>
      <c r="BN461" s="490"/>
      <c r="BO461" s="470"/>
      <c r="BP461" s="574"/>
      <c r="BQ461" s="458"/>
      <c r="BR461" s="577"/>
      <c r="BS461" s="524"/>
      <c r="BT461" s="575"/>
    </row>
    <row r="462" s="435" customFormat="1" ht="18" customHeight="1" spans="1:72">
      <c r="A462" s="451" t="s">
        <v>4032</v>
      </c>
      <c r="B462" s="543">
        <v>44938</v>
      </c>
      <c r="C462" s="534">
        <v>1000013038</v>
      </c>
      <c r="D462" s="451"/>
      <c r="E462" s="457"/>
      <c r="F462" s="453"/>
      <c r="G462" s="453"/>
      <c r="H462" s="453"/>
      <c r="I462" s="453"/>
      <c r="J462" s="453"/>
      <c r="K462" s="453"/>
      <c r="L462" s="453"/>
      <c r="M462" s="453"/>
      <c r="N462" s="453"/>
      <c r="O462" s="453"/>
      <c r="P462" s="453"/>
      <c r="Q462" s="453"/>
      <c r="R462" s="550"/>
      <c r="S462" s="550"/>
      <c r="T462" s="550"/>
      <c r="U462" s="550"/>
      <c r="V462" s="550"/>
      <c r="W462" s="550"/>
      <c r="X462" s="550"/>
      <c r="Y462" s="550"/>
      <c r="Z462" s="583"/>
      <c r="AA462" s="583"/>
      <c r="AB462" s="490"/>
      <c r="AC462" s="453"/>
      <c r="AD462" s="453"/>
      <c r="AE462" s="453"/>
      <c r="AF462" s="453"/>
      <c r="AG462" s="453"/>
      <c r="AH462" s="453"/>
      <c r="AI462" s="453"/>
      <c r="AJ462" s="453"/>
      <c r="AK462" s="453"/>
      <c r="AL462" s="453"/>
      <c r="AM462" s="453"/>
      <c r="AN462" s="453"/>
      <c r="AO462" s="453"/>
      <c r="AP462" s="453"/>
      <c r="AQ462" s="453"/>
      <c r="AR462" s="453"/>
      <c r="AS462" s="453"/>
      <c r="AT462" s="453"/>
      <c r="AU462" s="453"/>
      <c r="AV462" s="453"/>
      <c r="AW462" s="453"/>
      <c r="AX462" s="453"/>
      <c r="AY462" s="453"/>
      <c r="AZ462" s="453">
        <v>16320</v>
      </c>
      <c r="BA462" s="532"/>
      <c r="BB462" s="502"/>
      <c r="BC462" s="503"/>
      <c r="BD462" s="453"/>
      <c r="BE462" s="453"/>
      <c r="BF462" s="470"/>
      <c r="BG462" s="453"/>
      <c r="BH462" s="453"/>
      <c r="BI462" s="453"/>
      <c r="BJ462" s="453"/>
      <c r="BK462" s="453"/>
      <c r="BL462" s="453"/>
      <c r="BM462" s="502"/>
      <c r="BN462" s="490"/>
      <c r="BO462" s="470"/>
      <c r="BP462" s="574"/>
      <c r="BQ462" s="458"/>
      <c r="BR462" s="577"/>
      <c r="BS462" s="524"/>
      <c r="BT462" s="575" t="s">
        <v>4051</v>
      </c>
    </row>
    <row r="463" s="435" customFormat="1" ht="18" customHeight="1" spans="1:72">
      <c r="A463" s="451" t="s">
        <v>4032</v>
      </c>
      <c r="B463" s="543">
        <v>44938</v>
      </c>
      <c r="C463" s="534">
        <v>1000013039</v>
      </c>
      <c r="D463" s="451"/>
      <c r="E463" s="457"/>
      <c r="F463" s="453"/>
      <c r="G463" s="453"/>
      <c r="H463" s="453"/>
      <c r="I463" s="453"/>
      <c r="J463" s="453"/>
      <c r="K463" s="453"/>
      <c r="L463" s="453"/>
      <c r="M463" s="453"/>
      <c r="N463" s="453"/>
      <c r="O463" s="453"/>
      <c r="P463" s="453"/>
      <c r="Q463" s="453"/>
      <c r="R463" s="550"/>
      <c r="S463" s="550"/>
      <c r="T463" s="550"/>
      <c r="U463" s="550"/>
      <c r="V463" s="550"/>
      <c r="W463" s="550"/>
      <c r="X463" s="550"/>
      <c r="Y463" s="550"/>
      <c r="Z463" s="583"/>
      <c r="AA463" s="583"/>
      <c r="AB463" s="490"/>
      <c r="AC463" s="453"/>
      <c r="AD463" s="453"/>
      <c r="AE463" s="453"/>
      <c r="AF463" s="453"/>
      <c r="AG463" s="453"/>
      <c r="AH463" s="453"/>
      <c r="AI463" s="453"/>
      <c r="AJ463" s="453"/>
      <c r="AK463" s="453"/>
      <c r="AL463" s="453"/>
      <c r="AM463" s="453"/>
      <c r="AN463" s="453"/>
      <c r="AO463" s="453"/>
      <c r="AP463" s="453"/>
      <c r="AQ463" s="453"/>
      <c r="AR463" s="453"/>
      <c r="AS463" s="453"/>
      <c r="AT463" s="453"/>
      <c r="AU463" s="453"/>
      <c r="AV463" s="453"/>
      <c r="AW463" s="453"/>
      <c r="AX463" s="453"/>
      <c r="AY463" s="453"/>
      <c r="AZ463" s="453"/>
      <c r="BA463" s="532">
        <v>18880</v>
      </c>
      <c r="BB463" s="502"/>
      <c r="BC463" s="503"/>
      <c r="BD463" s="453"/>
      <c r="BE463" s="453"/>
      <c r="BF463" s="470"/>
      <c r="BG463" s="453"/>
      <c r="BH463" s="453"/>
      <c r="BI463" s="453"/>
      <c r="BJ463" s="453"/>
      <c r="BK463" s="453"/>
      <c r="BL463" s="453"/>
      <c r="BM463" s="502"/>
      <c r="BN463" s="490"/>
      <c r="BO463" s="470"/>
      <c r="BP463" s="574"/>
      <c r="BQ463" s="458"/>
      <c r="BR463" s="577"/>
      <c r="BS463" s="524"/>
      <c r="BT463" s="575" t="s">
        <v>4051</v>
      </c>
    </row>
    <row r="464" s="435" customFormat="1" ht="18" customHeight="1" spans="1:72">
      <c r="A464" s="451" t="s">
        <v>4032</v>
      </c>
      <c r="B464" s="543">
        <v>44938</v>
      </c>
      <c r="C464" s="534">
        <v>1000013040</v>
      </c>
      <c r="D464" s="451"/>
      <c r="E464" s="457"/>
      <c r="F464" s="453"/>
      <c r="G464" s="453"/>
      <c r="H464" s="453"/>
      <c r="I464" s="453"/>
      <c r="J464" s="453"/>
      <c r="K464" s="453"/>
      <c r="L464" s="453"/>
      <c r="M464" s="453"/>
      <c r="N464" s="453"/>
      <c r="O464" s="453"/>
      <c r="P464" s="453"/>
      <c r="Q464" s="453"/>
      <c r="R464" s="550"/>
      <c r="S464" s="453"/>
      <c r="T464" s="453"/>
      <c r="U464" s="453"/>
      <c r="V464" s="453"/>
      <c r="W464" s="453"/>
      <c r="X464" s="453"/>
      <c r="Y464" s="453"/>
      <c r="Z464" s="489"/>
      <c r="AA464" s="489"/>
      <c r="AB464" s="490"/>
      <c r="AC464" s="453"/>
      <c r="AD464" s="453"/>
      <c r="AE464" s="453"/>
      <c r="AF464" s="453"/>
      <c r="AG464" s="453"/>
      <c r="AH464" s="453"/>
      <c r="AI464" s="453"/>
      <c r="AJ464" s="453"/>
      <c r="AK464" s="453"/>
      <c r="AL464" s="453"/>
      <c r="AM464" s="453"/>
      <c r="AN464" s="453"/>
      <c r="AO464" s="453"/>
      <c r="AP464" s="453"/>
      <c r="AQ464" s="453"/>
      <c r="AR464" s="453"/>
      <c r="AS464" s="453"/>
      <c r="AT464" s="453"/>
      <c r="AU464" s="453"/>
      <c r="AV464" s="453"/>
      <c r="AW464" s="453"/>
      <c r="AX464" s="453"/>
      <c r="AY464" s="453"/>
      <c r="AZ464" s="453"/>
      <c r="BA464" s="532"/>
      <c r="BB464" s="502">
        <v>21120</v>
      </c>
      <c r="BC464" s="503"/>
      <c r="BD464" s="453"/>
      <c r="BE464" s="453"/>
      <c r="BF464" s="470"/>
      <c r="BG464" s="453"/>
      <c r="BH464" s="453"/>
      <c r="BI464" s="453"/>
      <c r="BJ464" s="453"/>
      <c r="BK464" s="453"/>
      <c r="BL464" s="453"/>
      <c r="BM464" s="502"/>
      <c r="BN464" s="490"/>
      <c r="BO464" s="470"/>
      <c r="BP464" s="574"/>
      <c r="BQ464" s="458"/>
      <c r="BR464" s="577"/>
      <c r="BS464" s="524"/>
      <c r="BT464" s="575" t="s">
        <v>4051</v>
      </c>
    </row>
    <row r="465" s="435" customFormat="1" ht="18" customHeight="1" spans="1:72">
      <c r="A465" s="451" t="s">
        <v>4032</v>
      </c>
      <c r="B465" s="543">
        <v>44939</v>
      </c>
      <c r="C465" s="534">
        <v>1000013043</v>
      </c>
      <c r="D465" s="451"/>
      <c r="E465" s="457"/>
      <c r="F465" s="453"/>
      <c r="G465" s="453"/>
      <c r="H465" s="453"/>
      <c r="I465" s="453"/>
      <c r="J465" s="453"/>
      <c r="K465" s="453"/>
      <c r="L465" s="453"/>
      <c r="M465" s="453"/>
      <c r="N465" s="453"/>
      <c r="O465" s="453"/>
      <c r="P465" s="453"/>
      <c r="Q465" s="453"/>
      <c r="R465" s="550"/>
      <c r="S465" s="453"/>
      <c r="T465" s="453"/>
      <c r="U465" s="453"/>
      <c r="V465" s="453"/>
      <c r="W465" s="453"/>
      <c r="X465" s="453"/>
      <c r="Y465" s="453"/>
      <c r="Z465" s="489"/>
      <c r="AA465" s="489"/>
      <c r="AB465" s="490"/>
      <c r="AC465" s="453"/>
      <c r="AD465" s="453"/>
      <c r="AE465" s="453">
        <v>30000</v>
      </c>
      <c r="AF465" s="453"/>
      <c r="AG465" s="453"/>
      <c r="AH465" s="453"/>
      <c r="AI465" s="453"/>
      <c r="AJ465" s="453"/>
      <c r="AK465" s="453"/>
      <c r="AL465" s="453"/>
      <c r="AM465" s="453"/>
      <c r="AN465" s="453"/>
      <c r="AO465" s="453"/>
      <c r="AP465" s="453"/>
      <c r="AQ465" s="453"/>
      <c r="AR465" s="453"/>
      <c r="AS465" s="453"/>
      <c r="AT465" s="453"/>
      <c r="AU465" s="453"/>
      <c r="AV465" s="453"/>
      <c r="AW465" s="453"/>
      <c r="AX465" s="453"/>
      <c r="AY465" s="453"/>
      <c r="AZ465" s="453"/>
      <c r="BA465" s="532"/>
      <c r="BB465" s="502"/>
      <c r="BC465" s="503"/>
      <c r="BD465" s="453"/>
      <c r="BE465" s="453"/>
      <c r="BF465" s="470"/>
      <c r="BG465" s="453"/>
      <c r="BH465" s="453"/>
      <c r="BI465" s="453"/>
      <c r="BJ465" s="453"/>
      <c r="BK465" s="453"/>
      <c r="BL465" s="453"/>
      <c r="BM465" s="502"/>
      <c r="BN465" s="490"/>
      <c r="BO465" s="470"/>
      <c r="BP465" s="574"/>
      <c r="BQ465" s="458"/>
      <c r="BR465" s="577"/>
      <c r="BS465" s="524"/>
      <c r="BT465" s="575"/>
    </row>
    <row r="466" s="435" customFormat="1" ht="18" customHeight="1" spans="1:72">
      <c r="A466" s="451" t="s">
        <v>4032</v>
      </c>
      <c r="B466" s="543">
        <v>44939</v>
      </c>
      <c r="C466" s="534">
        <v>1000013044</v>
      </c>
      <c r="D466" s="451"/>
      <c r="E466" s="457"/>
      <c r="F466" s="453"/>
      <c r="G466" s="453"/>
      <c r="H466" s="453"/>
      <c r="I466" s="453"/>
      <c r="J466" s="453"/>
      <c r="K466" s="453"/>
      <c r="L466" s="453"/>
      <c r="M466" s="453"/>
      <c r="N466" s="453"/>
      <c r="O466" s="453"/>
      <c r="P466" s="453"/>
      <c r="Q466" s="453"/>
      <c r="R466" s="550"/>
      <c r="S466" s="453"/>
      <c r="T466" s="453"/>
      <c r="U466" s="453"/>
      <c r="V466" s="453"/>
      <c r="W466" s="453"/>
      <c r="X466" s="453"/>
      <c r="Y466" s="453"/>
      <c r="Z466" s="489"/>
      <c r="AA466" s="489"/>
      <c r="AB466" s="490"/>
      <c r="AC466" s="453"/>
      <c r="AD466" s="453"/>
      <c r="AE466" s="453"/>
      <c r="AF466" s="453"/>
      <c r="AG466" s="453"/>
      <c r="AH466" s="453"/>
      <c r="AI466" s="453"/>
      <c r="AJ466" s="453">
        <v>10001</v>
      </c>
      <c r="AK466" s="453"/>
      <c r="AL466" s="453"/>
      <c r="AM466" s="453"/>
      <c r="AN466" s="453"/>
      <c r="AO466" s="453"/>
      <c r="AP466" s="453"/>
      <c r="AQ466" s="453"/>
      <c r="AR466" s="453"/>
      <c r="AS466" s="453"/>
      <c r="AT466" s="453"/>
      <c r="AU466" s="453"/>
      <c r="AV466" s="453"/>
      <c r="AW466" s="453"/>
      <c r="AX466" s="453"/>
      <c r="AY466" s="453"/>
      <c r="AZ466" s="453"/>
      <c r="BA466" s="532"/>
      <c r="BB466" s="502"/>
      <c r="BC466" s="503"/>
      <c r="BD466" s="453"/>
      <c r="BE466" s="453"/>
      <c r="BF466" s="470"/>
      <c r="BG466" s="453"/>
      <c r="BH466" s="453"/>
      <c r="BI466" s="453"/>
      <c r="BJ466" s="453"/>
      <c r="BK466" s="453"/>
      <c r="BL466" s="453"/>
      <c r="BM466" s="502"/>
      <c r="BN466" s="490"/>
      <c r="BO466" s="470"/>
      <c r="BP466" s="574"/>
      <c r="BQ466" s="458"/>
      <c r="BR466" s="577"/>
      <c r="BS466" s="524"/>
      <c r="BT466" s="575"/>
    </row>
    <row r="467" s="435" customFormat="1" ht="18" customHeight="1" spans="1:72">
      <c r="A467" s="451" t="s">
        <v>4032</v>
      </c>
      <c r="B467" s="543">
        <v>44966</v>
      </c>
      <c r="C467" s="534">
        <v>1000013110</v>
      </c>
      <c r="D467" s="451"/>
      <c r="E467" s="457"/>
      <c r="F467" s="453"/>
      <c r="G467" s="453"/>
      <c r="H467" s="453"/>
      <c r="I467" s="453"/>
      <c r="J467" s="453"/>
      <c r="K467" s="453"/>
      <c r="L467" s="453"/>
      <c r="M467" s="453"/>
      <c r="N467" s="453"/>
      <c r="O467" s="453"/>
      <c r="P467" s="453"/>
      <c r="Q467" s="453"/>
      <c r="R467" s="550"/>
      <c r="S467" s="453"/>
      <c r="T467" s="453"/>
      <c r="U467" s="453"/>
      <c r="V467" s="453"/>
      <c r="W467" s="453"/>
      <c r="X467" s="453"/>
      <c r="Y467" s="453"/>
      <c r="Z467" s="489"/>
      <c r="AA467" s="489"/>
      <c r="AB467" s="490"/>
      <c r="AC467" s="453"/>
      <c r="AD467" s="453"/>
      <c r="AE467" s="453"/>
      <c r="AF467" s="453"/>
      <c r="AG467" s="453"/>
      <c r="AH467" s="453"/>
      <c r="AI467" s="453"/>
      <c r="AJ467" s="453"/>
      <c r="AK467" s="453"/>
      <c r="AL467" s="453"/>
      <c r="AM467" s="453"/>
      <c r="AN467" s="453"/>
      <c r="AO467" s="453"/>
      <c r="AP467" s="453"/>
      <c r="AQ467" s="453"/>
      <c r="AR467" s="453"/>
      <c r="AS467" s="453"/>
      <c r="AT467" s="453"/>
      <c r="AU467" s="453"/>
      <c r="AV467" s="453"/>
      <c r="AW467" s="453"/>
      <c r="AX467" s="453"/>
      <c r="AY467" s="453"/>
      <c r="AZ467" s="453">
        <v>4046</v>
      </c>
      <c r="BA467" s="532"/>
      <c r="BB467" s="502"/>
      <c r="BC467" s="503"/>
      <c r="BD467" s="453"/>
      <c r="BE467" s="453"/>
      <c r="BF467" s="470"/>
      <c r="BG467" s="453"/>
      <c r="BH467" s="453"/>
      <c r="BI467" s="453"/>
      <c r="BJ467" s="453"/>
      <c r="BK467" s="453"/>
      <c r="BL467" s="453"/>
      <c r="BM467" s="502"/>
      <c r="BN467" s="490"/>
      <c r="BO467" s="470"/>
      <c r="BP467" s="574"/>
      <c r="BQ467" s="458"/>
      <c r="BR467" s="577"/>
      <c r="BS467" s="524"/>
      <c r="BT467" s="575" t="s">
        <v>4052</v>
      </c>
    </row>
    <row r="468" s="435" customFormat="1" ht="18" customHeight="1" spans="1:72">
      <c r="A468" s="451" t="s">
        <v>4032</v>
      </c>
      <c r="B468" s="543">
        <v>44966</v>
      </c>
      <c r="C468" s="534">
        <v>1000013111</v>
      </c>
      <c r="D468" s="451"/>
      <c r="E468" s="457"/>
      <c r="F468" s="453"/>
      <c r="G468" s="453"/>
      <c r="H468" s="453"/>
      <c r="I468" s="453"/>
      <c r="J468" s="453"/>
      <c r="K468" s="453"/>
      <c r="L468" s="453"/>
      <c r="M468" s="453"/>
      <c r="N468" s="453"/>
      <c r="O468" s="453"/>
      <c r="P468" s="453"/>
      <c r="Q468" s="453"/>
      <c r="R468" s="550"/>
      <c r="S468" s="453"/>
      <c r="T468" s="453"/>
      <c r="U468" s="453"/>
      <c r="V468" s="453"/>
      <c r="W468" s="453"/>
      <c r="X468" s="453"/>
      <c r="Y468" s="453"/>
      <c r="Z468" s="489"/>
      <c r="AA468" s="489"/>
      <c r="AB468" s="490"/>
      <c r="AC468" s="453"/>
      <c r="AD468" s="453"/>
      <c r="AE468" s="453"/>
      <c r="AF468" s="453"/>
      <c r="AG468" s="453"/>
      <c r="AH468" s="453"/>
      <c r="AI468" s="453"/>
      <c r="AJ468" s="453"/>
      <c r="AK468" s="453"/>
      <c r="AL468" s="453"/>
      <c r="AM468" s="453"/>
      <c r="AN468" s="453"/>
      <c r="AO468" s="453"/>
      <c r="AP468" s="453"/>
      <c r="AQ468" s="453"/>
      <c r="AR468" s="453"/>
      <c r="AS468" s="453"/>
      <c r="AT468" s="453"/>
      <c r="AU468" s="453"/>
      <c r="AV468" s="453"/>
      <c r="AW468" s="453"/>
      <c r="AX468" s="453"/>
      <c r="AY468" s="453"/>
      <c r="AZ468" s="453"/>
      <c r="BA468" s="532"/>
      <c r="BB468" s="502">
        <v>4046</v>
      </c>
      <c r="BC468" s="503"/>
      <c r="BD468" s="453"/>
      <c r="BE468" s="453"/>
      <c r="BF468" s="470"/>
      <c r="BG468" s="453"/>
      <c r="BH468" s="453"/>
      <c r="BI468" s="453"/>
      <c r="BJ468" s="453"/>
      <c r="BK468" s="453"/>
      <c r="BL468" s="453"/>
      <c r="BM468" s="502"/>
      <c r="BN468" s="490"/>
      <c r="BO468" s="470"/>
      <c r="BP468" s="574"/>
      <c r="BQ468" s="458"/>
      <c r="BR468" s="577"/>
      <c r="BS468" s="524"/>
      <c r="BT468" s="575" t="s">
        <v>4052</v>
      </c>
    </row>
    <row r="469" s="435" customFormat="1" ht="18" customHeight="1" spans="1:72">
      <c r="A469" s="451" t="s">
        <v>4032</v>
      </c>
      <c r="B469" s="543">
        <v>44975</v>
      </c>
      <c r="C469" s="534">
        <v>1000013251</v>
      </c>
      <c r="D469" s="451"/>
      <c r="E469" s="457"/>
      <c r="F469" s="453"/>
      <c r="G469" s="453"/>
      <c r="H469" s="453"/>
      <c r="I469" s="453"/>
      <c r="J469" s="453"/>
      <c r="K469" s="453"/>
      <c r="L469" s="453"/>
      <c r="M469" s="453"/>
      <c r="N469" s="453"/>
      <c r="O469" s="453"/>
      <c r="P469" s="453"/>
      <c r="Q469" s="453"/>
      <c r="R469" s="550"/>
      <c r="S469" s="453"/>
      <c r="T469" s="453"/>
      <c r="U469" s="453"/>
      <c r="V469" s="453"/>
      <c r="W469" s="453"/>
      <c r="X469" s="453"/>
      <c r="Y469" s="453"/>
      <c r="Z469" s="489"/>
      <c r="AA469" s="489"/>
      <c r="AB469" s="490"/>
      <c r="AC469" s="453"/>
      <c r="AD469" s="453"/>
      <c r="AE469" s="453"/>
      <c r="AF469" s="453"/>
      <c r="AG469" s="453"/>
      <c r="AH469" s="453"/>
      <c r="AI469" s="453"/>
      <c r="AJ469" s="453"/>
      <c r="AK469" s="453"/>
      <c r="AL469" s="453"/>
      <c r="AM469" s="453"/>
      <c r="AN469" s="453"/>
      <c r="AO469" s="453"/>
      <c r="AP469" s="453"/>
      <c r="AQ469" s="453"/>
      <c r="AR469" s="453"/>
      <c r="AS469" s="453"/>
      <c r="AT469" s="453"/>
      <c r="AU469" s="453"/>
      <c r="AV469" s="453"/>
      <c r="AW469" s="453"/>
      <c r="AX469" s="453"/>
      <c r="AY469" s="453"/>
      <c r="AZ469" s="453">
        <v>15680</v>
      </c>
      <c r="BA469" s="532"/>
      <c r="BB469" s="502"/>
      <c r="BC469" s="503"/>
      <c r="BD469" s="453"/>
      <c r="BE469" s="453"/>
      <c r="BF469" s="470"/>
      <c r="BG469" s="453"/>
      <c r="BH469" s="453"/>
      <c r="BI469" s="453"/>
      <c r="BJ469" s="453"/>
      <c r="BK469" s="453"/>
      <c r="BL469" s="453"/>
      <c r="BM469" s="502"/>
      <c r="BN469" s="490"/>
      <c r="BO469" s="470"/>
      <c r="BP469" s="574"/>
      <c r="BQ469" s="458"/>
      <c r="BR469" s="577"/>
      <c r="BS469" s="524"/>
      <c r="BT469" s="575" t="s">
        <v>4053</v>
      </c>
    </row>
    <row r="470" s="435" customFormat="1" ht="18" customHeight="1" spans="1:72">
      <c r="A470" s="451" t="s">
        <v>4032</v>
      </c>
      <c r="B470" s="543">
        <v>44975</v>
      </c>
      <c r="C470" s="534">
        <v>1000013252</v>
      </c>
      <c r="D470" s="451"/>
      <c r="E470" s="457"/>
      <c r="F470" s="453"/>
      <c r="G470" s="453"/>
      <c r="H470" s="453"/>
      <c r="I470" s="453"/>
      <c r="J470" s="453"/>
      <c r="K470" s="453"/>
      <c r="L470" s="453"/>
      <c r="M470" s="453"/>
      <c r="N470" s="453"/>
      <c r="O470" s="453"/>
      <c r="P470" s="453"/>
      <c r="Q470" s="453"/>
      <c r="R470" s="550"/>
      <c r="S470" s="453"/>
      <c r="T470" s="453"/>
      <c r="U470" s="453"/>
      <c r="V470" s="453"/>
      <c r="W470" s="453"/>
      <c r="X470" s="453"/>
      <c r="Y470" s="453"/>
      <c r="Z470" s="489"/>
      <c r="AA470" s="489"/>
      <c r="AB470" s="490"/>
      <c r="AC470" s="453"/>
      <c r="AD470" s="453"/>
      <c r="AE470" s="453"/>
      <c r="AF470" s="453"/>
      <c r="AG470" s="453"/>
      <c r="AH470" s="453"/>
      <c r="AI470" s="453"/>
      <c r="AJ470" s="453"/>
      <c r="AK470" s="453"/>
      <c r="AL470" s="453"/>
      <c r="AM470" s="453"/>
      <c r="AN470" s="453"/>
      <c r="AO470" s="453"/>
      <c r="AP470" s="453"/>
      <c r="AQ470" s="453"/>
      <c r="AR470" s="453"/>
      <c r="AS470" s="453"/>
      <c r="AT470" s="453"/>
      <c r="AU470" s="453"/>
      <c r="AV470" s="453"/>
      <c r="AW470" s="453"/>
      <c r="AX470" s="453"/>
      <c r="AY470" s="453"/>
      <c r="AZ470" s="453"/>
      <c r="BA470" s="532">
        <v>18240</v>
      </c>
      <c r="BB470" s="502"/>
      <c r="BC470" s="503"/>
      <c r="BD470" s="453"/>
      <c r="BE470" s="453"/>
      <c r="BF470" s="470"/>
      <c r="BG470" s="453"/>
      <c r="BH470" s="453"/>
      <c r="BI470" s="453"/>
      <c r="BJ470" s="453"/>
      <c r="BK470" s="453"/>
      <c r="BL470" s="453"/>
      <c r="BM470" s="502"/>
      <c r="BN470" s="490"/>
      <c r="BO470" s="470"/>
      <c r="BP470" s="574"/>
      <c r="BQ470" s="458"/>
      <c r="BR470" s="577"/>
      <c r="BS470" s="524"/>
      <c r="BT470" s="575" t="s">
        <v>4053</v>
      </c>
    </row>
    <row r="471" s="435" customFormat="1" ht="18" customHeight="1" spans="1:72">
      <c r="A471" s="451" t="s">
        <v>4032</v>
      </c>
      <c r="B471" s="543">
        <v>44975</v>
      </c>
      <c r="C471" s="534">
        <v>1000013253</v>
      </c>
      <c r="D471" s="451"/>
      <c r="E471" s="457"/>
      <c r="F471" s="453"/>
      <c r="G471" s="453"/>
      <c r="H471" s="453"/>
      <c r="I471" s="453"/>
      <c r="J471" s="453"/>
      <c r="K471" s="453"/>
      <c r="L471" s="453"/>
      <c r="M471" s="453"/>
      <c r="N471" s="453"/>
      <c r="O471" s="453"/>
      <c r="P471" s="453"/>
      <c r="Q471" s="453"/>
      <c r="R471" s="550"/>
      <c r="S471" s="453"/>
      <c r="T471" s="453"/>
      <c r="U471" s="453"/>
      <c r="V471" s="453"/>
      <c r="W471" s="453"/>
      <c r="X471" s="453"/>
      <c r="Y471" s="453"/>
      <c r="Z471" s="489"/>
      <c r="AA471" s="489"/>
      <c r="AB471" s="490"/>
      <c r="AC471" s="453"/>
      <c r="AD471" s="453"/>
      <c r="AE471" s="453"/>
      <c r="AF471" s="453"/>
      <c r="AG471" s="453"/>
      <c r="AH471" s="453"/>
      <c r="AI471" s="453"/>
      <c r="AJ471" s="453"/>
      <c r="AK471" s="453"/>
      <c r="AL471" s="453"/>
      <c r="AM471" s="453"/>
      <c r="AN471" s="453"/>
      <c r="AO471" s="453"/>
      <c r="AP471" s="453"/>
      <c r="AQ471" s="453"/>
      <c r="AR471" s="453"/>
      <c r="AS471" s="453"/>
      <c r="AT471" s="453"/>
      <c r="AU471" s="453"/>
      <c r="AV471" s="453"/>
      <c r="AW471" s="453"/>
      <c r="AX471" s="453"/>
      <c r="AY471" s="453"/>
      <c r="AZ471" s="453"/>
      <c r="BA471" s="532"/>
      <c r="BB471" s="502">
        <v>17600</v>
      </c>
      <c r="BC471" s="503"/>
      <c r="BD471" s="453"/>
      <c r="BE471" s="453"/>
      <c r="BF471" s="470"/>
      <c r="BG471" s="453"/>
      <c r="BH471" s="453"/>
      <c r="BI471" s="453"/>
      <c r="BJ471" s="453"/>
      <c r="BK471" s="453"/>
      <c r="BL471" s="453"/>
      <c r="BM471" s="502"/>
      <c r="BN471" s="490"/>
      <c r="BO471" s="470"/>
      <c r="BP471" s="574"/>
      <c r="BQ471" s="458"/>
      <c r="BR471" s="577"/>
      <c r="BS471" s="524"/>
      <c r="BT471" s="575" t="s">
        <v>4053</v>
      </c>
    </row>
    <row r="472" s="435" customFormat="1" ht="18" customHeight="1" spans="1:72">
      <c r="A472" s="451" t="s">
        <v>4032</v>
      </c>
      <c r="B472" s="543">
        <v>44986</v>
      </c>
      <c r="C472" s="534">
        <v>1000013323</v>
      </c>
      <c r="D472" s="451"/>
      <c r="E472" s="457"/>
      <c r="F472" s="453"/>
      <c r="G472" s="453"/>
      <c r="H472" s="453"/>
      <c r="I472" s="453"/>
      <c r="J472" s="453"/>
      <c r="K472" s="453"/>
      <c r="L472" s="453"/>
      <c r="M472" s="453"/>
      <c r="N472" s="453"/>
      <c r="O472" s="453"/>
      <c r="P472" s="453"/>
      <c r="Q472" s="453"/>
      <c r="R472" s="550"/>
      <c r="S472" s="453"/>
      <c r="T472" s="453"/>
      <c r="U472" s="453"/>
      <c r="V472" s="453"/>
      <c r="W472" s="453"/>
      <c r="X472" s="453"/>
      <c r="Y472" s="453"/>
      <c r="Z472" s="489"/>
      <c r="AA472" s="489"/>
      <c r="AB472" s="490"/>
      <c r="AC472" s="453"/>
      <c r="AD472" s="453"/>
      <c r="AE472" s="453">
        <v>30001</v>
      </c>
      <c r="AF472" s="453"/>
      <c r="AG472" s="453"/>
      <c r="AH472" s="453"/>
      <c r="AI472" s="453"/>
      <c r="AJ472" s="453"/>
      <c r="AK472" s="453"/>
      <c r="AL472" s="453"/>
      <c r="AM472" s="453"/>
      <c r="AN472" s="453"/>
      <c r="AO472" s="453"/>
      <c r="AP472" s="453"/>
      <c r="AQ472" s="453"/>
      <c r="AR472" s="453"/>
      <c r="AS472" s="453"/>
      <c r="AT472" s="453"/>
      <c r="AU472" s="453"/>
      <c r="AV472" s="453"/>
      <c r="AW472" s="453"/>
      <c r="AX472" s="453"/>
      <c r="AY472" s="453"/>
      <c r="AZ472" s="453"/>
      <c r="BA472" s="532"/>
      <c r="BB472" s="502"/>
      <c r="BC472" s="503"/>
      <c r="BD472" s="453"/>
      <c r="BE472" s="453"/>
      <c r="BF472" s="470"/>
      <c r="BG472" s="453"/>
      <c r="BH472" s="453"/>
      <c r="BI472" s="453"/>
      <c r="BJ472" s="453"/>
      <c r="BK472" s="453"/>
      <c r="BL472" s="453"/>
      <c r="BM472" s="502"/>
      <c r="BN472" s="490"/>
      <c r="BO472" s="470"/>
      <c r="BP472" s="574"/>
      <c r="BQ472" s="458"/>
      <c r="BR472" s="577"/>
      <c r="BS472" s="524"/>
      <c r="BT472" s="575"/>
    </row>
    <row r="473" s="435" customFormat="1" ht="18" customHeight="1" spans="1:72">
      <c r="A473" s="451" t="s">
        <v>4032</v>
      </c>
      <c r="B473" s="543">
        <v>44986</v>
      </c>
      <c r="C473" s="534">
        <v>1000013324</v>
      </c>
      <c r="D473" s="451"/>
      <c r="E473" s="457"/>
      <c r="F473" s="453"/>
      <c r="G473" s="453"/>
      <c r="H473" s="453"/>
      <c r="I473" s="453"/>
      <c r="J473" s="453"/>
      <c r="K473" s="453"/>
      <c r="L473" s="453"/>
      <c r="M473" s="453"/>
      <c r="N473" s="453"/>
      <c r="O473" s="453"/>
      <c r="P473" s="453"/>
      <c r="Q473" s="453"/>
      <c r="R473" s="550"/>
      <c r="S473" s="453"/>
      <c r="T473" s="453"/>
      <c r="U473" s="453"/>
      <c r="V473" s="453"/>
      <c r="W473" s="453"/>
      <c r="X473" s="453"/>
      <c r="Y473" s="453"/>
      <c r="Z473" s="489"/>
      <c r="AA473" s="489"/>
      <c r="AB473" s="490"/>
      <c r="AC473" s="453"/>
      <c r="AD473" s="453"/>
      <c r="AE473" s="453"/>
      <c r="AF473" s="453"/>
      <c r="AG473" s="453"/>
      <c r="AH473" s="453"/>
      <c r="AI473" s="453"/>
      <c r="AJ473" s="453">
        <v>10001</v>
      </c>
      <c r="AK473" s="453"/>
      <c r="AL473" s="453"/>
      <c r="AM473" s="453"/>
      <c r="AN473" s="453"/>
      <c r="AO473" s="453"/>
      <c r="AP473" s="453"/>
      <c r="AQ473" s="453"/>
      <c r="AR473" s="453"/>
      <c r="AS473" s="453"/>
      <c r="AT473" s="453"/>
      <c r="AU473" s="453"/>
      <c r="AV473" s="453"/>
      <c r="AW473" s="453"/>
      <c r="AX473" s="453"/>
      <c r="AY473" s="453"/>
      <c r="AZ473" s="453"/>
      <c r="BA473" s="532"/>
      <c r="BB473" s="502"/>
      <c r="BC473" s="503"/>
      <c r="BD473" s="453"/>
      <c r="BE473" s="453"/>
      <c r="BF473" s="470"/>
      <c r="BG473" s="453"/>
      <c r="BH473" s="453"/>
      <c r="BI473" s="453"/>
      <c r="BJ473" s="453"/>
      <c r="BK473" s="453"/>
      <c r="BL473" s="453"/>
      <c r="BM473" s="502"/>
      <c r="BN473" s="490"/>
      <c r="BO473" s="470"/>
      <c r="BP473" s="574"/>
      <c r="BQ473" s="458"/>
      <c r="BR473" s="577"/>
      <c r="BS473" s="524"/>
      <c r="BT473" s="575"/>
    </row>
    <row r="474" s="435" customFormat="1" ht="18" customHeight="1" spans="1:72">
      <c r="A474" s="451" t="s">
        <v>4032</v>
      </c>
      <c r="B474" s="543">
        <v>44986</v>
      </c>
      <c r="C474" s="534">
        <v>1000013325</v>
      </c>
      <c r="D474" s="451"/>
      <c r="E474" s="457"/>
      <c r="F474" s="453"/>
      <c r="G474" s="453"/>
      <c r="H474" s="453"/>
      <c r="I474" s="453"/>
      <c r="J474" s="453"/>
      <c r="K474" s="453"/>
      <c r="L474" s="453"/>
      <c r="M474" s="453"/>
      <c r="N474" s="453"/>
      <c r="O474" s="453"/>
      <c r="P474" s="453"/>
      <c r="Q474" s="453"/>
      <c r="R474" s="550"/>
      <c r="S474" s="453"/>
      <c r="T474" s="453"/>
      <c r="U474" s="453"/>
      <c r="V474" s="453"/>
      <c r="W474" s="453"/>
      <c r="X474" s="453"/>
      <c r="Y474" s="453"/>
      <c r="Z474" s="489"/>
      <c r="AA474" s="489"/>
      <c r="AB474" s="490"/>
      <c r="AC474" s="453"/>
      <c r="AD474" s="453"/>
      <c r="AE474" s="453"/>
      <c r="AF474" s="453"/>
      <c r="AG474" s="453"/>
      <c r="AH474" s="453"/>
      <c r="AI474" s="453"/>
      <c r="AJ474" s="453"/>
      <c r="AK474" s="453"/>
      <c r="AL474" s="453"/>
      <c r="AM474" s="453"/>
      <c r="AN474" s="453"/>
      <c r="AO474" s="453"/>
      <c r="AP474" s="453"/>
      <c r="AQ474" s="453"/>
      <c r="AR474" s="453"/>
      <c r="AS474" s="453">
        <v>124000</v>
      </c>
      <c r="AT474" s="453"/>
      <c r="AU474" s="453"/>
      <c r="AV474" s="453"/>
      <c r="AW474" s="453"/>
      <c r="AX474" s="453"/>
      <c r="AY474" s="453"/>
      <c r="AZ474" s="453"/>
      <c r="BA474" s="532"/>
      <c r="BB474" s="502"/>
      <c r="BC474" s="503"/>
      <c r="BD474" s="453"/>
      <c r="BE474" s="453"/>
      <c r="BF474" s="470"/>
      <c r="BG474" s="453"/>
      <c r="BH474" s="453"/>
      <c r="BI474" s="453"/>
      <c r="BJ474" s="453"/>
      <c r="BK474" s="453"/>
      <c r="BL474" s="453"/>
      <c r="BM474" s="502"/>
      <c r="BN474" s="490"/>
      <c r="BO474" s="470"/>
      <c r="BP474" s="574"/>
      <c r="BQ474" s="458"/>
      <c r="BR474" s="577"/>
      <c r="BS474" s="524"/>
      <c r="BT474" s="575"/>
    </row>
    <row r="475" s="435" customFormat="1" ht="18" customHeight="1" spans="1:72">
      <c r="A475" s="451" t="s">
        <v>4032</v>
      </c>
      <c r="B475" s="543">
        <v>44992</v>
      </c>
      <c r="C475" s="534">
        <v>1000013398</v>
      </c>
      <c r="D475" s="451"/>
      <c r="E475" s="457"/>
      <c r="F475" s="453"/>
      <c r="G475" s="453"/>
      <c r="H475" s="453"/>
      <c r="I475" s="453"/>
      <c r="J475" s="453"/>
      <c r="K475" s="453"/>
      <c r="L475" s="453"/>
      <c r="M475" s="453"/>
      <c r="N475" s="453"/>
      <c r="O475" s="453"/>
      <c r="P475" s="453"/>
      <c r="Q475" s="453"/>
      <c r="R475" s="550"/>
      <c r="S475" s="453"/>
      <c r="T475" s="453"/>
      <c r="U475" s="453"/>
      <c r="V475" s="453"/>
      <c r="W475" s="453"/>
      <c r="X475" s="453"/>
      <c r="Y475" s="453"/>
      <c r="Z475" s="489"/>
      <c r="AA475" s="489"/>
      <c r="AB475" s="490"/>
      <c r="AC475" s="453"/>
      <c r="AD475" s="453"/>
      <c r="AE475" s="453"/>
      <c r="AF475" s="453"/>
      <c r="AG475" s="453"/>
      <c r="AH475" s="453"/>
      <c r="AI475" s="453"/>
      <c r="AJ475" s="453"/>
      <c r="AK475" s="453"/>
      <c r="AL475" s="453"/>
      <c r="AM475" s="453"/>
      <c r="AN475" s="453"/>
      <c r="AO475" s="453"/>
      <c r="AP475" s="453"/>
      <c r="AQ475" s="453"/>
      <c r="AR475" s="453"/>
      <c r="AS475" s="453"/>
      <c r="AT475" s="453"/>
      <c r="AU475" s="453"/>
      <c r="AV475" s="453"/>
      <c r="AW475" s="453"/>
      <c r="AX475" s="453"/>
      <c r="AY475" s="453"/>
      <c r="AZ475" s="453">
        <v>11200</v>
      </c>
      <c r="BA475" s="532"/>
      <c r="BB475" s="502"/>
      <c r="BC475" s="503"/>
      <c r="BD475" s="453"/>
      <c r="BE475" s="453"/>
      <c r="BF475" s="470"/>
      <c r="BG475" s="453"/>
      <c r="BH475" s="453"/>
      <c r="BI475" s="453"/>
      <c r="BJ475" s="453"/>
      <c r="BK475" s="453"/>
      <c r="BL475" s="453"/>
      <c r="BM475" s="502"/>
      <c r="BN475" s="490"/>
      <c r="BO475" s="470"/>
      <c r="BP475" s="574"/>
      <c r="BQ475" s="458"/>
      <c r="BR475" s="577"/>
      <c r="BS475" s="524"/>
      <c r="BT475" s="575" t="s">
        <v>4054</v>
      </c>
    </row>
    <row r="476" s="435" customFormat="1" ht="18" customHeight="1" spans="1:72">
      <c r="A476" s="451" t="s">
        <v>4032</v>
      </c>
      <c r="B476" s="543">
        <v>44992</v>
      </c>
      <c r="C476" s="534">
        <v>1000013399</v>
      </c>
      <c r="D476" s="451"/>
      <c r="E476" s="457"/>
      <c r="F476" s="453"/>
      <c r="G476" s="453"/>
      <c r="H476" s="453"/>
      <c r="I476" s="453"/>
      <c r="J476" s="453"/>
      <c r="K476" s="453"/>
      <c r="L476" s="453"/>
      <c r="M476" s="453"/>
      <c r="N476" s="453"/>
      <c r="O476" s="453"/>
      <c r="P476" s="453"/>
      <c r="Q476" s="453"/>
      <c r="R476" s="550"/>
      <c r="S476" s="453"/>
      <c r="T476" s="453"/>
      <c r="U476" s="453"/>
      <c r="V476" s="453"/>
      <c r="W476" s="453"/>
      <c r="X476" s="453"/>
      <c r="Y476" s="453"/>
      <c r="Z476" s="489"/>
      <c r="AA476" s="489"/>
      <c r="AB476" s="490"/>
      <c r="AC476" s="453"/>
      <c r="AD476" s="453"/>
      <c r="AE476" s="453"/>
      <c r="AF476" s="453"/>
      <c r="AG476" s="453"/>
      <c r="AH476" s="453"/>
      <c r="AI476" s="453"/>
      <c r="AJ476" s="453"/>
      <c r="AK476" s="453"/>
      <c r="AL476" s="453"/>
      <c r="AM476" s="453"/>
      <c r="AN476" s="453"/>
      <c r="AO476" s="453"/>
      <c r="AP476" s="453"/>
      <c r="AQ476" s="453"/>
      <c r="AR476" s="453"/>
      <c r="AS476" s="453"/>
      <c r="AT476" s="453"/>
      <c r="AU476" s="453"/>
      <c r="AV476" s="453"/>
      <c r="AW476" s="453"/>
      <c r="AX476" s="453"/>
      <c r="AY476" s="453"/>
      <c r="AZ476" s="453"/>
      <c r="BA476" s="532">
        <v>19840</v>
      </c>
      <c r="BB476" s="502"/>
      <c r="BC476" s="503"/>
      <c r="BD476" s="453"/>
      <c r="BE476" s="453"/>
      <c r="BF476" s="470"/>
      <c r="BG476" s="453"/>
      <c r="BH476" s="453"/>
      <c r="BI476" s="453"/>
      <c r="BJ476" s="453"/>
      <c r="BK476" s="453"/>
      <c r="BL476" s="453"/>
      <c r="BM476" s="502"/>
      <c r="BN476" s="490"/>
      <c r="BO476" s="470"/>
      <c r="BP476" s="574"/>
      <c r="BQ476" s="458"/>
      <c r="BR476" s="577"/>
      <c r="BS476" s="524"/>
      <c r="BT476" s="575" t="s">
        <v>4055</v>
      </c>
    </row>
    <row r="477" s="435" customFormat="1" ht="18" customHeight="1" spans="1:72">
      <c r="A477" s="451" t="s">
        <v>4032</v>
      </c>
      <c r="B477" s="543">
        <v>44992</v>
      </c>
      <c r="C477" s="534">
        <v>1000013400</v>
      </c>
      <c r="D477" s="451"/>
      <c r="E477" s="457"/>
      <c r="F477" s="453"/>
      <c r="G477" s="453"/>
      <c r="H477" s="453"/>
      <c r="I477" s="453"/>
      <c r="J477" s="453"/>
      <c r="K477" s="453"/>
      <c r="L477" s="453"/>
      <c r="M477" s="453"/>
      <c r="N477" s="453"/>
      <c r="O477" s="453"/>
      <c r="P477" s="453"/>
      <c r="Q477" s="453"/>
      <c r="R477" s="550"/>
      <c r="S477" s="453"/>
      <c r="T477" s="453"/>
      <c r="U477" s="453"/>
      <c r="V477" s="453"/>
      <c r="W477" s="453"/>
      <c r="X477" s="453"/>
      <c r="Y477" s="453"/>
      <c r="Z477" s="489"/>
      <c r="AA477" s="489"/>
      <c r="AB477" s="490"/>
      <c r="AC477" s="453"/>
      <c r="AD477" s="453"/>
      <c r="AE477" s="453"/>
      <c r="AF477" s="453"/>
      <c r="AG477" s="453"/>
      <c r="AH477" s="453"/>
      <c r="AI477" s="453"/>
      <c r="AJ477" s="453"/>
      <c r="AK477" s="453"/>
      <c r="AL477" s="453"/>
      <c r="AM477" s="453"/>
      <c r="AN477" s="453"/>
      <c r="AO477" s="453"/>
      <c r="AP477" s="453"/>
      <c r="AQ477" s="453"/>
      <c r="AR477" s="453"/>
      <c r="AS477" s="453"/>
      <c r="AT477" s="453"/>
      <c r="AU477" s="453"/>
      <c r="AV477" s="453"/>
      <c r="AW477" s="453"/>
      <c r="AX477" s="453"/>
      <c r="AY477" s="453"/>
      <c r="AZ477" s="453"/>
      <c r="BA477" s="532"/>
      <c r="BB477" s="502">
        <v>18240</v>
      </c>
      <c r="BC477" s="503"/>
      <c r="BD477" s="453"/>
      <c r="BE477" s="453"/>
      <c r="BF477" s="470"/>
      <c r="BG477" s="453"/>
      <c r="BH477" s="453"/>
      <c r="BI477" s="453"/>
      <c r="BJ477" s="453"/>
      <c r="BK477" s="453"/>
      <c r="BL477" s="453"/>
      <c r="BM477" s="502"/>
      <c r="BN477" s="490"/>
      <c r="BO477" s="470"/>
      <c r="BP477" s="574"/>
      <c r="BQ477" s="458"/>
      <c r="BR477" s="577"/>
      <c r="BS477" s="524"/>
      <c r="BT477" s="575" t="s">
        <v>4055</v>
      </c>
    </row>
    <row r="478" s="435" customFormat="1" ht="18" customHeight="1" spans="1:72">
      <c r="A478" s="451" t="s">
        <v>4032</v>
      </c>
      <c r="B478" s="543">
        <v>45007</v>
      </c>
      <c r="C478" s="534">
        <v>1000013570</v>
      </c>
      <c r="D478" s="451"/>
      <c r="E478" s="457"/>
      <c r="F478" s="453"/>
      <c r="G478" s="453"/>
      <c r="H478" s="453"/>
      <c r="I478" s="453"/>
      <c r="J478" s="453"/>
      <c r="K478" s="453"/>
      <c r="L478" s="453"/>
      <c r="M478" s="453"/>
      <c r="N478" s="453"/>
      <c r="O478" s="453"/>
      <c r="P478" s="453"/>
      <c r="Q478" s="453"/>
      <c r="R478" s="550"/>
      <c r="S478" s="453"/>
      <c r="T478" s="453"/>
      <c r="U478" s="453"/>
      <c r="V478" s="453"/>
      <c r="W478" s="453"/>
      <c r="X478" s="453"/>
      <c r="Y478" s="453"/>
      <c r="Z478" s="489"/>
      <c r="AA478" s="489"/>
      <c r="AB478" s="490"/>
      <c r="AC478" s="453"/>
      <c r="AD478" s="453"/>
      <c r="AE478" s="453">
        <v>50000</v>
      </c>
      <c r="AF478" s="453"/>
      <c r="AG478" s="453"/>
      <c r="AH478" s="453"/>
      <c r="AI478" s="453"/>
      <c r="AJ478" s="453"/>
      <c r="AK478" s="453"/>
      <c r="AL478" s="453"/>
      <c r="AM478" s="453"/>
      <c r="AN478" s="453"/>
      <c r="AO478" s="453"/>
      <c r="AP478" s="453"/>
      <c r="AQ478" s="453"/>
      <c r="AR478" s="453"/>
      <c r="AS478" s="453"/>
      <c r="AT478" s="453"/>
      <c r="AU478" s="453"/>
      <c r="AV478" s="453"/>
      <c r="AW478" s="453"/>
      <c r="AX478" s="453"/>
      <c r="AY478" s="453"/>
      <c r="AZ478" s="453"/>
      <c r="BA478" s="532"/>
      <c r="BB478" s="502"/>
      <c r="BC478" s="503"/>
      <c r="BD478" s="453"/>
      <c r="BE478" s="453"/>
      <c r="BF478" s="470"/>
      <c r="BG478" s="453"/>
      <c r="BH478" s="453"/>
      <c r="BI478" s="453"/>
      <c r="BJ478" s="453"/>
      <c r="BK478" s="453"/>
      <c r="BL478" s="453"/>
      <c r="BM478" s="502"/>
      <c r="BN478" s="490"/>
      <c r="BO478" s="470"/>
      <c r="BP478" s="574"/>
      <c r="BQ478" s="458"/>
      <c r="BR478" s="577"/>
      <c r="BS478" s="524"/>
      <c r="BT478" s="575"/>
    </row>
    <row r="479" s="435" customFormat="1" ht="18" customHeight="1" spans="1:72">
      <c r="A479" s="451" t="s">
        <v>4032</v>
      </c>
      <c r="B479" s="543">
        <v>45007</v>
      </c>
      <c r="C479" s="534">
        <v>1000013571</v>
      </c>
      <c r="D479" s="451"/>
      <c r="E479" s="457"/>
      <c r="F479" s="453"/>
      <c r="G479" s="453"/>
      <c r="H479" s="453"/>
      <c r="I479" s="453"/>
      <c r="J479" s="453"/>
      <c r="K479" s="453"/>
      <c r="L479" s="453"/>
      <c r="M479" s="453"/>
      <c r="N479" s="453"/>
      <c r="O479" s="453"/>
      <c r="P479" s="453"/>
      <c r="Q479" s="453"/>
      <c r="R479" s="550"/>
      <c r="S479" s="453"/>
      <c r="T479" s="453"/>
      <c r="U479" s="453"/>
      <c r="V479" s="453"/>
      <c r="W479" s="453"/>
      <c r="X479" s="453"/>
      <c r="Y479" s="453"/>
      <c r="Z479" s="489"/>
      <c r="AA479" s="489"/>
      <c r="AB479" s="490"/>
      <c r="AC479" s="453"/>
      <c r="AD479" s="453"/>
      <c r="AE479" s="453"/>
      <c r="AF479" s="453"/>
      <c r="AG479" s="453"/>
      <c r="AH479" s="453"/>
      <c r="AI479" s="453"/>
      <c r="AJ479" s="453"/>
      <c r="AK479" s="453"/>
      <c r="AL479" s="453"/>
      <c r="AM479" s="453"/>
      <c r="AN479" s="453"/>
      <c r="AO479" s="453"/>
      <c r="AP479" s="453"/>
      <c r="AQ479" s="453"/>
      <c r="AR479" s="453"/>
      <c r="AS479" s="453">
        <v>100000</v>
      </c>
      <c r="AT479" s="453"/>
      <c r="AU479" s="453"/>
      <c r="AV479" s="453"/>
      <c r="AW479" s="453"/>
      <c r="AX479" s="453"/>
      <c r="AY479" s="453"/>
      <c r="AZ479" s="453"/>
      <c r="BA479" s="532"/>
      <c r="BB479" s="502"/>
      <c r="BC479" s="503"/>
      <c r="BD479" s="453"/>
      <c r="BE479" s="453"/>
      <c r="BF479" s="470"/>
      <c r="BG479" s="453"/>
      <c r="BH479" s="453"/>
      <c r="BI479" s="453"/>
      <c r="BJ479" s="453"/>
      <c r="BK479" s="453"/>
      <c r="BL479" s="453"/>
      <c r="BM479" s="502"/>
      <c r="BN479" s="490"/>
      <c r="BO479" s="470"/>
      <c r="BP479" s="574"/>
      <c r="BQ479" s="458"/>
      <c r="BR479" s="577"/>
      <c r="BS479" s="524"/>
      <c r="BT479" s="575"/>
    </row>
    <row r="480" s="435" customFormat="1" ht="18" customHeight="1" spans="1:72">
      <c r="A480" s="451" t="s">
        <v>4032</v>
      </c>
      <c r="B480" s="543">
        <v>45007</v>
      </c>
      <c r="C480" s="534">
        <v>1000013572</v>
      </c>
      <c r="D480" s="451"/>
      <c r="E480" s="457"/>
      <c r="F480" s="453"/>
      <c r="G480" s="453"/>
      <c r="H480" s="453"/>
      <c r="I480" s="453"/>
      <c r="J480" s="453"/>
      <c r="K480" s="453"/>
      <c r="L480" s="453"/>
      <c r="M480" s="453"/>
      <c r="N480" s="453"/>
      <c r="O480" s="453"/>
      <c r="P480" s="453"/>
      <c r="Q480" s="453"/>
      <c r="R480" s="550"/>
      <c r="S480" s="453"/>
      <c r="T480" s="453"/>
      <c r="U480" s="453"/>
      <c r="V480" s="453"/>
      <c r="W480" s="453"/>
      <c r="X480" s="453"/>
      <c r="Y480" s="453"/>
      <c r="Z480" s="489"/>
      <c r="AA480" s="489"/>
      <c r="AB480" s="490"/>
      <c r="AC480" s="453"/>
      <c r="AD480" s="453"/>
      <c r="AE480" s="453"/>
      <c r="AF480" s="453"/>
      <c r="AG480" s="453"/>
      <c r="AH480" s="453"/>
      <c r="AI480" s="453"/>
      <c r="AJ480" s="453"/>
      <c r="AK480" s="453"/>
      <c r="AL480" s="453"/>
      <c r="AM480" s="453"/>
      <c r="AN480" s="453"/>
      <c r="AO480" s="453"/>
      <c r="AP480" s="453"/>
      <c r="AQ480" s="453"/>
      <c r="AR480" s="453"/>
      <c r="AS480" s="453"/>
      <c r="AT480" s="453"/>
      <c r="AU480" s="453"/>
      <c r="AV480" s="453"/>
      <c r="AW480" s="453"/>
      <c r="AX480" s="453"/>
      <c r="AY480" s="453"/>
      <c r="AZ480" s="453"/>
      <c r="BA480" s="532"/>
      <c r="BB480" s="502"/>
      <c r="BC480" s="503"/>
      <c r="BD480" s="453"/>
      <c r="BE480" s="453"/>
      <c r="BF480" s="470"/>
      <c r="BG480" s="453"/>
      <c r="BH480" s="453"/>
      <c r="BI480" s="453"/>
      <c r="BJ480" s="561"/>
      <c r="BK480" s="453"/>
      <c r="BL480" s="453"/>
      <c r="BM480" s="502"/>
      <c r="BN480" s="490"/>
      <c r="BO480" s="470"/>
      <c r="BP480" s="574"/>
      <c r="BQ480" s="458"/>
      <c r="BR480" s="577"/>
      <c r="BS480" s="524"/>
      <c r="BT480" s="575"/>
    </row>
    <row r="481" s="435" customFormat="1" ht="18" customHeight="1" spans="1:72">
      <c r="A481" s="451" t="s">
        <v>4032</v>
      </c>
      <c r="B481" s="543">
        <v>45040</v>
      </c>
      <c r="C481" s="534">
        <v>1000014055</v>
      </c>
      <c r="D481" s="451"/>
      <c r="E481" s="457"/>
      <c r="F481" s="453"/>
      <c r="G481" s="453"/>
      <c r="H481" s="453"/>
      <c r="I481" s="453"/>
      <c r="J481" s="453"/>
      <c r="K481" s="453"/>
      <c r="L481" s="453"/>
      <c r="M481" s="453"/>
      <c r="N481" s="453"/>
      <c r="O481" s="453"/>
      <c r="P481" s="453"/>
      <c r="Q481" s="453"/>
      <c r="R481" s="550"/>
      <c r="S481" s="453"/>
      <c r="T481" s="453"/>
      <c r="U481" s="453"/>
      <c r="V481" s="453"/>
      <c r="W481" s="453"/>
      <c r="X481" s="453"/>
      <c r="Y481" s="453"/>
      <c r="Z481" s="489"/>
      <c r="AA481" s="489"/>
      <c r="AB481" s="490"/>
      <c r="AC481" s="453"/>
      <c r="AD481" s="453"/>
      <c r="AE481" s="453">
        <v>200000</v>
      </c>
      <c r="AF481" s="453"/>
      <c r="AG481" s="453"/>
      <c r="AH481" s="453"/>
      <c r="AI481" s="453"/>
      <c r="AJ481" s="453"/>
      <c r="AK481" s="453"/>
      <c r="AL481" s="453"/>
      <c r="AM481" s="453"/>
      <c r="AN481" s="453"/>
      <c r="AO481" s="453"/>
      <c r="AP481" s="453"/>
      <c r="AQ481" s="453"/>
      <c r="AR481" s="453"/>
      <c r="AS481" s="453"/>
      <c r="AT481" s="453"/>
      <c r="AU481" s="453"/>
      <c r="AV481" s="453"/>
      <c r="AW481" s="453"/>
      <c r="AX481" s="453"/>
      <c r="AY481" s="453"/>
      <c r="AZ481" s="453"/>
      <c r="BA481" s="532"/>
      <c r="BB481" s="502"/>
      <c r="BC481" s="503"/>
      <c r="BD481" s="453"/>
      <c r="BE481" s="453"/>
      <c r="BF481" s="470"/>
      <c r="BG481" s="453"/>
      <c r="BH481" s="453"/>
      <c r="BI481" s="453"/>
      <c r="BJ481" s="561"/>
      <c r="BK481" s="453"/>
      <c r="BL481" s="453"/>
      <c r="BM481" s="502"/>
      <c r="BN481" s="490"/>
      <c r="BO481" s="470"/>
      <c r="BP481" s="574"/>
      <c r="BQ481" s="458"/>
      <c r="BR481" s="577"/>
      <c r="BS481" s="524"/>
      <c r="BT481" s="575"/>
    </row>
    <row r="482" s="435" customFormat="1" ht="18" customHeight="1" spans="1:72">
      <c r="A482" s="451" t="s">
        <v>4032</v>
      </c>
      <c r="B482" s="543">
        <v>45040</v>
      </c>
      <c r="C482" s="534">
        <v>1000014056</v>
      </c>
      <c r="D482" s="451"/>
      <c r="E482" s="457"/>
      <c r="F482" s="453"/>
      <c r="G482" s="453"/>
      <c r="H482" s="453"/>
      <c r="I482" s="453"/>
      <c r="J482" s="453"/>
      <c r="K482" s="453"/>
      <c r="L482" s="453"/>
      <c r="M482" s="453"/>
      <c r="N482" s="453"/>
      <c r="O482" s="453"/>
      <c r="P482" s="453"/>
      <c r="Q482" s="453"/>
      <c r="R482" s="550"/>
      <c r="S482" s="453"/>
      <c r="T482" s="453"/>
      <c r="U482" s="453"/>
      <c r="V482" s="453"/>
      <c r="W482" s="453"/>
      <c r="X482" s="453"/>
      <c r="Y482" s="453"/>
      <c r="Z482" s="489"/>
      <c r="AA482" s="489"/>
      <c r="AB482" s="490"/>
      <c r="AC482" s="453"/>
      <c r="AD482" s="453"/>
      <c r="AE482" s="453"/>
      <c r="AF482" s="453"/>
      <c r="AG482" s="453"/>
      <c r="AH482" s="453"/>
      <c r="AI482" s="453"/>
      <c r="AJ482" s="453">
        <v>20001</v>
      </c>
      <c r="AK482" s="453"/>
      <c r="AL482" s="453"/>
      <c r="AM482" s="453"/>
      <c r="AN482" s="453"/>
      <c r="AO482" s="453"/>
      <c r="AP482" s="453"/>
      <c r="AQ482" s="453"/>
      <c r="AR482" s="453"/>
      <c r="AS482" s="453"/>
      <c r="AT482" s="453"/>
      <c r="AU482" s="453"/>
      <c r="AV482" s="453"/>
      <c r="AW482" s="453"/>
      <c r="AX482" s="453"/>
      <c r="AY482" s="453"/>
      <c r="AZ482" s="453"/>
      <c r="BA482" s="532"/>
      <c r="BB482" s="502"/>
      <c r="BC482" s="503"/>
      <c r="BD482" s="453"/>
      <c r="BE482" s="453"/>
      <c r="BF482" s="470"/>
      <c r="BG482" s="453"/>
      <c r="BH482" s="453"/>
      <c r="BI482" s="453"/>
      <c r="BJ482" s="561"/>
      <c r="BK482" s="453"/>
      <c r="BL482" s="453"/>
      <c r="BM482" s="502"/>
      <c r="BN482" s="490"/>
      <c r="BO482" s="470"/>
      <c r="BP482" s="574"/>
      <c r="BQ482" s="458"/>
      <c r="BR482" s="577"/>
      <c r="BS482" s="524"/>
      <c r="BT482" s="575"/>
    </row>
    <row r="483" s="435" customFormat="1" ht="18" customHeight="1" spans="1:72">
      <c r="A483" s="451" t="s">
        <v>4032</v>
      </c>
      <c r="B483" s="543">
        <v>45040</v>
      </c>
      <c r="C483" s="534">
        <v>1000014057</v>
      </c>
      <c r="D483" s="451"/>
      <c r="E483" s="457"/>
      <c r="F483" s="453"/>
      <c r="G483" s="453"/>
      <c r="H483" s="453"/>
      <c r="I483" s="453"/>
      <c r="J483" s="453"/>
      <c r="K483" s="453"/>
      <c r="L483" s="453"/>
      <c r="M483" s="453"/>
      <c r="N483" s="453"/>
      <c r="O483" s="453"/>
      <c r="P483" s="453"/>
      <c r="Q483" s="453"/>
      <c r="R483" s="550"/>
      <c r="S483" s="453"/>
      <c r="T483" s="453"/>
      <c r="U483" s="453"/>
      <c r="V483" s="453"/>
      <c r="W483" s="453"/>
      <c r="X483" s="453"/>
      <c r="Y483" s="453"/>
      <c r="Z483" s="489"/>
      <c r="AA483" s="489"/>
      <c r="AB483" s="490"/>
      <c r="AC483" s="453"/>
      <c r="AD483" s="453"/>
      <c r="AE483" s="453"/>
      <c r="AF483" s="453"/>
      <c r="AG483" s="453"/>
      <c r="AH483" s="453"/>
      <c r="AI483" s="453"/>
      <c r="AJ483" s="453"/>
      <c r="AK483" s="453"/>
      <c r="AL483" s="453"/>
      <c r="AM483" s="453"/>
      <c r="AN483" s="453"/>
      <c r="AO483" s="453"/>
      <c r="AP483" s="453"/>
      <c r="AQ483" s="453"/>
      <c r="AR483" s="453"/>
      <c r="AS483" s="453">
        <v>300000</v>
      </c>
      <c r="AT483" s="453"/>
      <c r="AU483" s="453"/>
      <c r="AV483" s="453"/>
      <c r="AW483" s="453"/>
      <c r="AX483" s="453"/>
      <c r="AY483" s="453"/>
      <c r="AZ483" s="453"/>
      <c r="BA483" s="532"/>
      <c r="BB483" s="502"/>
      <c r="BC483" s="503"/>
      <c r="BD483" s="453"/>
      <c r="BE483" s="453"/>
      <c r="BF483" s="470"/>
      <c r="BG483" s="453"/>
      <c r="BH483" s="453"/>
      <c r="BI483" s="453"/>
      <c r="BJ483" s="561"/>
      <c r="BK483" s="453"/>
      <c r="BL483" s="453"/>
      <c r="BM483" s="502"/>
      <c r="BN483" s="490"/>
      <c r="BO483" s="470"/>
      <c r="BP483" s="574"/>
      <c r="BQ483" s="458"/>
      <c r="BR483" s="577"/>
      <c r="BS483" s="524"/>
      <c r="BT483" s="575"/>
    </row>
    <row r="484" s="435" customFormat="1" ht="18" customHeight="1" spans="1:72">
      <c r="A484" s="451" t="s">
        <v>4032</v>
      </c>
      <c r="B484" s="543">
        <v>45040</v>
      </c>
      <c r="C484" s="534">
        <v>1000014051</v>
      </c>
      <c r="D484" s="451"/>
      <c r="E484" s="457"/>
      <c r="F484" s="453"/>
      <c r="G484" s="453"/>
      <c r="H484" s="453"/>
      <c r="I484" s="453"/>
      <c r="J484" s="453"/>
      <c r="K484" s="453"/>
      <c r="L484" s="550">
        <v>70000</v>
      </c>
      <c r="M484" s="453"/>
      <c r="N484" s="453"/>
      <c r="O484" s="453"/>
      <c r="P484" s="453"/>
      <c r="Q484" s="453"/>
      <c r="R484" s="550"/>
      <c r="S484" s="453"/>
      <c r="T484" s="453"/>
      <c r="U484" s="453"/>
      <c r="V484" s="453"/>
      <c r="W484" s="453"/>
      <c r="X484" s="453"/>
      <c r="Y484" s="453"/>
      <c r="Z484" s="489"/>
      <c r="AA484" s="489"/>
      <c r="AB484" s="490"/>
      <c r="AC484" s="453"/>
      <c r="AD484" s="453"/>
      <c r="AE484" s="453"/>
      <c r="AF484" s="453"/>
      <c r="AG484" s="453"/>
      <c r="AH484" s="453"/>
      <c r="AI484" s="453"/>
      <c r="AJ484" s="453"/>
      <c r="AK484" s="453"/>
      <c r="AL484" s="453"/>
      <c r="AM484" s="453"/>
      <c r="AN484" s="453"/>
      <c r="AO484" s="453"/>
      <c r="AP484" s="453"/>
      <c r="AQ484" s="453"/>
      <c r="AR484" s="453"/>
      <c r="AS484" s="453"/>
      <c r="AT484" s="453"/>
      <c r="AU484" s="453"/>
      <c r="AV484" s="453"/>
      <c r="AW484" s="453"/>
      <c r="AX484" s="453"/>
      <c r="AY484" s="453"/>
      <c r="AZ484" s="453"/>
      <c r="BA484" s="532"/>
      <c r="BB484" s="502"/>
      <c r="BC484" s="503"/>
      <c r="BD484" s="453"/>
      <c r="BE484" s="453"/>
      <c r="BF484" s="470"/>
      <c r="BG484" s="453"/>
      <c r="BH484" s="453"/>
      <c r="BI484" s="453"/>
      <c r="BJ484" s="561"/>
      <c r="BK484" s="453"/>
      <c r="BL484" s="453"/>
      <c r="BM484" s="502"/>
      <c r="BN484" s="490"/>
      <c r="BO484" s="470"/>
      <c r="BP484" s="574"/>
      <c r="BQ484" s="458"/>
      <c r="BR484" s="577"/>
      <c r="BS484" s="524"/>
      <c r="BT484" s="575"/>
    </row>
    <row r="485" s="435" customFormat="1" ht="18" customHeight="1" spans="1:72">
      <c r="A485" s="451" t="s">
        <v>4032</v>
      </c>
      <c r="B485" s="543">
        <v>45040</v>
      </c>
      <c r="C485" s="534">
        <v>1000014052</v>
      </c>
      <c r="D485" s="451"/>
      <c r="E485" s="457"/>
      <c r="F485" s="453"/>
      <c r="G485" s="453"/>
      <c r="H485" s="453"/>
      <c r="I485" s="453"/>
      <c r="J485" s="453"/>
      <c r="K485" s="453"/>
      <c r="L485" s="453"/>
      <c r="M485" s="550">
        <v>6001</v>
      </c>
      <c r="N485" s="453"/>
      <c r="O485" s="453"/>
      <c r="P485" s="453"/>
      <c r="Q485" s="453"/>
      <c r="R485" s="550"/>
      <c r="S485" s="453"/>
      <c r="T485" s="453"/>
      <c r="U485" s="453"/>
      <c r="V485" s="453"/>
      <c r="W485" s="453"/>
      <c r="X485" s="453"/>
      <c r="Y485" s="453"/>
      <c r="Z485" s="489"/>
      <c r="AA485" s="489"/>
      <c r="AB485" s="490"/>
      <c r="AC485" s="453"/>
      <c r="AD485" s="453"/>
      <c r="AE485" s="453"/>
      <c r="AF485" s="453"/>
      <c r="AG485" s="453"/>
      <c r="AH485" s="453"/>
      <c r="AI485" s="453"/>
      <c r="AJ485" s="453"/>
      <c r="AK485" s="453"/>
      <c r="AL485" s="453"/>
      <c r="AM485" s="453"/>
      <c r="AN485" s="453"/>
      <c r="AO485" s="453"/>
      <c r="AP485" s="453"/>
      <c r="AQ485" s="453"/>
      <c r="AR485" s="453"/>
      <c r="AS485" s="453"/>
      <c r="AT485" s="453"/>
      <c r="AU485" s="453"/>
      <c r="AV485" s="453"/>
      <c r="AW485" s="453"/>
      <c r="AX485" s="453"/>
      <c r="AY485" s="453"/>
      <c r="AZ485" s="453"/>
      <c r="BA485" s="532"/>
      <c r="BB485" s="502"/>
      <c r="BC485" s="503"/>
      <c r="BD485" s="453"/>
      <c r="BE485" s="453"/>
      <c r="BF485" s="470"/>
      <c r="BG485" s="453"/>
      <c r="BH485" s="453"/>
      <c r="BI485" s="453"/>
      <c r="BJ485" s="561"/>
      <c r="BK485" s="453"/>
      <c r="BL485" s="453"/>
      <c r="BM485" s="502"/>
      <c r="BN485" s="490"/>
      <c r="BO485" s="470"/>
      <c r="BP485" s="574"/>
      <c r="BQ485" s="458"/>
      <c r="BR485" s="577"/>
      <c r="BS485" s="524"/>
      <c r="BT485" s="575"/>
    </row>
    <row r="486" s="435" customFormat="1" ht="18" customHeight="1" spans="1:72">
      <c r="A486" s="451" t="s">
        <v>4032</v>
      </c>
      <c r="B486" s="543">
        <v>45040</v>
      </c>
      <c r="C486" s="534">
        <v>1000014053</v>
      </c>
      <c r="D486" s="451"/>
      <c r="E486" s="457"/>
      <c r="F486" s="453"/>
      <c r="G486" s="453"/>
      <c r="H486" s="453"/>
      <c r="I486" s="453"/>
      <c r="J486" s="453"/>
      <c r="K486" s="453"/>
      <c r="L486" s="453"/>
      <c r="M486" s="453"/>
      <c r="N486" s="550">
        <v>5001</v>
      </c>
      <c r="O486" s="550"/>
      <c r="P486" s="550"/>
      <c r="Q486" s="550"/>
      <c r="R486" s="550"/>
      <c r="S486" s="453"/>
      <c r="T486" s="453"/>
      <c r="U486" s="453"/>
      <c r="V486" s="453"/>
      <c r="W486" s="453"/>
      <c r="X486" s="453"/>
      <c r="Y486" s="453"/>
      <c r="Z486" s="489"/>
      <c r="AA486" s="489"/>
      <c r="AB486" s="490"/>
      <c r="AC486" s="453"/>
      <c r="AD486" s="453"/>
      <c r="AE486" s="453"/>
      <c r="AF486" s="453"/>
      <c r="AG486" s="453"/>
      <c r="AH486" s="453"/>
      <c r="AI486" s="453"/>
      <c r="AJ486" s="453"/>
      <c r="AK486" s="453"/>
      <c r="AL486" s="453"/>
      <c r="AM486" s="453"/>
      <c r="AN486" s="453"/>
      <c r="AO486" s="453"/>
      <c r="AP486" s="453"/>
      <c r="AQ486" s="453"/>
      <c r="AR486" s="453"/>
      <c r="AS486" s="453"/>
      <c r="AT486" s="453"/>
      <c r="AU486" s="453"/>
      <c r="AV486" s="453"/>
      <c r="AW486" s="453"/>
      <c r="AX486" s="453"/>
      <c r="AY486" s="453"/>
      <c r="AZ486" s="453"/>
      <c r="BA486" s="532"/>
      <c r="BB486" s="502"/>
      <c r="BC486" s="503"/>
      <c r="BD486" s="453"/>
      <c r="BE486" s="453"/>
      <c r="BF486" s="470"/>
      <c r="BG486" s="453"/>
      <c r="BH486" s="453"/>
      <c r="BI486" s="453"/>
      <c r="BJ486" s="561"/>
      <c r="BK486" s="453"/>
      <c r="BL486" s="453"/>
      <c r="BM486" s="502"/>
      <c r="BN486" s="490"/>
      <c r="BO486" s="470"/>
      <c r="BP486" s="574"/>
      <c r="BQ486" s="458"/>
      <c r="BR486" s="577"/>
      <c r="BS486" s="524"/>
      <c r="BT486" s="575"/>
    </row>
    <row r="487" s="435" customFormat="1" ht="18" customHeight="1" spans="1:72">
      <c r="A487" s="451" t="s">
        <v>4032</v>
      </c>
      <c r="B487" s="543">
        <v>45040</v>
      </c>
      <c r="C487" s="534">
        <v>1000014054</v>
      </c>
      <c r="D487" s="451"/>
      <c r="E487" s="457"/>
      <c r="F487" s="453"/>
      <c r="G487" s="453"/>
      <c r="H487" s="453"/>
      <c r="I487" s="453"/>
      <c r="J487" s="453"/>
      <c r="K487" s="453"/>
      <c r="L487" s="453"/>
      <c r="M487" s="453"/>
      <c r="N487" s="453"/>
      <c r="O487" s="453"/>
      <c r="P487" s="453"/>
      <c r="Q487" s="453"/>
      <c r="R487" s="550"/>
      <c r="S487" s="550">
        <v>70000</v>
      </c>
      <c r="T487" s="550"/>
      <c r="U487" s="550"/>
      <c r="V487" s="550"/>
      <c r="W487" s="550"/>
      <c r="X487" s="550"/>
      <c r="Y487" s="550"/>
      <c r="Z487" s="583"/>
      <c r="AA487" s="583"/>
      <c r="AB487" s="490"/>
      <c r="AC487" s="453"/>
      <c r="AD487" s="453"/>
      <c r="AE487" s="453"/>
      <c r="AF487" s="453"/>
      <c r="AG487" s="453"/>
      <c r="AH487" s="453"/>
      <c r="AI487" s="453"/>
      <c r="AJ487" s="453"/>
      <c r="AK487" s="453"/>
      <c r="AL487" s="453"/>
      <c r="AM487" s="453"/>
      <c r="AN487" s="453"/>
      <c r="AO487" s="453"/>
      <c r="AP487" s="453"/>
      <c r="AQ487" s="453"/>
      <c r="AR487" s="453"/>
      <c r="AS487" s="453"/>
      <c r="AT487" s="453"/>
      <c r="AU487" s="453"/>
      <c r="AV487" s="453"/>
      <c r="AW487" s="453"/>
      <c r="AX487" s="453"/>
      <c r="AY487" s="453"/>
      <c r="AZ487" s="453"/>
      <c r="BA487" s="532"/>
      <c r="BB487" s="502"/>
      <c r="BC487" s="503"/>
      <c r="BD487" s="453"/>
      <c r="BE487" s="453"/>
      <c r="BF487" s="470"/>
      <c r="BG487" s="453"/>
      <c r="BH487" s="453"/>
      <c r="BI487" s="453"/>
      <c r="BJ487" s="561"/>
      <c r="BK487" s="453"/>
      <c r="BL487" s="453"/>
      <c r="BM487" s="502"/>
      <c r="BN487" s="490"/>
      <c r="BO487" s="470"/>
      <c r="BP487" s="574"/>
      <c r="BQ487" s="458"/>
      <c r="BR487" s="577"/>
      <c r="BS487" s="524"/>
      <c r="BT487" s="575"/>
    </row>
    <row r="488" s="435" customFormat="1" ht="18" customHeight="1" spans="1:72">
      <c r="A488" s="451" t="s">
        <v>4032</v>
      </c>
      <c r="B488" s="543">
        <v>45040</v>
      </c>
      <c r="C488" s="534">
        <v>1000014058</v>
      </c>
      <c r="D488" s="451"/>
      <c r="E488" s="457"/>
      <c r="F488" s="453"/>
      <c r="G488" s="453"/>
      <c r="H488" s="453"/>
      <c r="I488" s="453"/>
      <c r="J488" s="453"/>
      <c r="K488" s="453"/>
      <c r="L488" s="453"/>
      <c r="M488" s="453"/>
      <c r="N488" s="453"/>
      <c r="O488" s="453"/>
      <c r="P488" s="453"/>
      <c r="Q488" s="453"/>
      <c r="R488" s="550"/>
      <c r="S488" s="453"/>
      <c r="T488" s="453"/>
      <c r="U488" s="453"/>
      <c r="V488" s="453"/>
      <c r="W488" s="453"/>
      <c r="X488" s="453"/>
      <c r="Y488" s="453"/>
      <c r="Z488" s="489"/>
      <c r="AA488" s="489"/>
      <c r="AB488" s="490"/>
      <c r="AC488" s="453"/>
      <c r="AD488" s="453"/>
      <c r="AE488" s="453"/>
      <c r="AF488" s="453"/>
      <c r="AG488" s="453"/>
      <c r="AH488" s="453"/>
      <c r="AI488" s="453"/>
      <c r="AJ488" s="453"/>
      <c r="AK488" s="453"/>
      <c r="AL488" s="453"/>
      <c r="AM488" s="453"/>
      <c r="AN488" s="453"/>
      <c r="AO488" s="453"/>
      <c r="AP488" s="453"/>
      <c r="AQ488" s="453"/>
      <c r="AR488" s="453"/>
      <c r="AS488" s="453"/>
      <c r="AT488" s="453"/>
      <c r="AU488" s="453"/>
      <c r="AV488" s="453"/>
      <c r="AW488" s="453"/>
      <c r="AX488" s="453"/>
      <c r="AY488" s="453"/>
      <c r="AZ488" s="453"/>
      <c r="BA488" s="532"/>
      <c r="BB488" s="502"/>
      <c r="BC488" s="503"/>
      <c r="BD488" s="453"/>
      <c r="BE488" s="453"/>
      <c r="BF488" s="470"/>
      <c r="BG488" s="453"/>
      <c r="BH488" s="453"/>
      <c r="BI488" s="453"/>
      <c r="BJ488" s="561"/>
      <c r="BK488" s="453"/>
      <c r="BL488" s="453"/>
      <c r="BM488" s="502"/>
      <c r="BN488" s="490"/>
      <c r="BO488" s="470"/>
      <c r="BP488" s="574"/>
      <c r="BQ488" s="458"/>
      <c r="BR488" s="577"/>
      <c r="BS488" s="524"/>
      <c r="BT488" s="575"/>
    </row>
    <row r="489" s="435" customFormat="1" ht="18" customHeight="1" spans="1:72">
      <c r="A489" s="451" t="s">
        <v>4032</v>
      </c>
      <c r="B489" s="543">
        <v>45055</v>
      </c>
      <c r="C489" s="534">
        <v>1000014261</v>
      </c>
      <c r="D489" s="451"/>
      <c r="E489" s="457"/>
      <c r="F489" s="453"/>
      <c r="G489" s="453"/>
      <c r="H489" s="453"/>
      <c r="I489" s="453"/>
      <c r="J489" s="453"/>
      <c r="K489" s="453"/>
      <c r="L489" s="453"/>
      <c r="M489" s="453"/>
      <c r="N489" s="453"/>
      <c r="O489" s="453"/>
      <c r="P489" s="453"/>
      <c r="Q489" s="453"/>
      <c r="R489" s="550"/>
      <c r="S489" s="453"/>
      <c r="T489" s="453"/>
      <c r="U489" s="453"/>
      <c r="V489" s="453"/>
      <c r="W489" s="453"/>
      <c r="X489" s="453"/>
      <c r="Y489" s="453"/>
      <c r="Z489" s="489"/>
      <c r="AA489" s="489"/>
      <c r="AB489" s="490"/>
      <c r="AC489" s="453"/>
      <c r="AD489" s="453"/>
      <c r="AE489" s="453"/>
      <c r="AF489" s="453"/>
      <c r="AG489" s="453"/>
      <c r="AH489" s="453"/>
      <c r="AI489" s="453"/>
      <c r="AJ489" s="453"/>
      <c r="AK489" s="453"/>
      <c r="AL489" s="453"/>
      <c r="AM489" s="453"/>
      <c r="AN489" s="453"/>
      <c r="AO489" s="453"/>
      <c r="AP489" s="453"/>
      <c r="AQ489" s="453"/>
      <c r="AR489" s="453"/>
      <c r="AS489" s="453"/>
      <c r="AT489" s="453">
        <v>50001</v>
      </c>
      <c r="AU489" s="453"/>
      <c r="AV489" s="453"/>
      <c r="AW489" s="453"/>
      <c r="AX489" s="453"/>
      <c r="AY489" s="453"/>
      <c r="AZ489" s="453"/>
      <c r="BA489" s="532"/>
      <c r="BB489" s="502"/>
      <c r="BC489" s="503"/>
      <c r="BD489" s="453"/>
      <c r="BE489" s="453"/>
      <c r="BF489" s="470"/>
      <c r="BG489" s="453"/>
      <c r="BH489" s="453"/>
      <c r="BI489" s="453"/>
      <c r="BJ489" s="561"/>
      <c r="BK489" s="453"/>
      <c r="BL489" s="453"/>
      <c r="BM489" s="502"/>
      <c r="BN489" s="490"/>
      <c r="BO489" s="470"/>
      <c r="BP489" s="574"/>
      <c r="BQ489" s="458"/>
      <c r="BR489" s="577"/>
      <c r="BS489" s="524"/>
      <c r="BT489" s="575"/>
    </row>
    <row r="490" s="435" customFormat="1" ht="18" customHeight="1" spans="1:72">
      <c r="A490" s="451" t="s">
        <v>4032</v>
      </c>
      <c r="B490" s="543">
        <v>45055</v>
      </c>
      <c r="C490" s="534">
        <v>1000014279</v>
      </c>
      <c r="D490" s="451"/>
      <c r="E490" s="457"/>
      <c r="F490" s="453"/>
      <c r="G490" s="453"/>
      <c r="H490" s="453"/>
      <c r="I490" s="453"/>
      <c r="J490" s="453"/>
      <c r="K490" s="453"/>
      <c r="L490" s="453"/>
      <c r="M490" s="453"/>
      <c r="N490" s="453"/>
      <c r="O490" s="453"/>
      <c r="P490" s="453"/>
      <c r="Q490" s="453"/>
      <c r="R490" s="550"/>
      <c r="S490" s="453"/>
      <c r="T490" s="453"/>
      <c r="U490" s="453"/>
      <c r="V490" s="453"/>
      <c r="W490" s="453"/>
      <c r="X490" s="453"/>
      <c r="Y490" s="453"/>
      <c r="Z490" s="489"/>
      <c r="AA490" s="489"/>
      <c r="AB490" s="490"/>
      <c r="AC490" s="453"/>
      <c r="AD490" s="453"/>
      <c r="AE490" s="453"/>
      <c r="AF490" s="453"/>
      <c r="AG490" s="453"/>
      <c r="AH490" s="453"/>
      <c r="AI490" s="453"/>
      <c r="AJ490" s="453"/>
      <c r="AK490" s="453"/>
      <c r="AL490" s="453"/>
      <c r="AM490" s="453"/>
      <c r="AN490" s="453"/>
      <c r="AO490" s="453"/>
      <c r="AP490" s="453"/>
      <c r="AQ490" s="453"/>
      <c r="AR490" s="453"/>
      <c r="AS490" s="453"/>
      <c r="AT490" s="453"/>
      <c r="AU490" s="453"/>
      <c r="AV490" s="453"/>
      <c r="AW490" s="453"/>
      <c r="AX490" s="453"/>
      <c r="AY490" s="453"/>
      <c r="AZ490" s="453">
        <v>2560</v>
      </c>
      <c r="BA490" s="532"/>
      <c r="BB490" s="502"/>
      <c r="BC490" s="503"/>
      <c r="BD490" s="453"/>
      <c r="BE490" s="453"/>
      <c r="BF490" s="470"/>
      <c r="BG490" s="453"/>
      <c r="BH490" s="453"/>
      <c r="BI490" s="453"/>
      <c r="BJ490" s="561"/>
      <c r="BK490" s="453"/>
      <c r="BL490" s="453"/>
      <c r="BM490" s="502"/>
      <c r="BN490" s="490"/>
      <c r="BO490" s="470"/>
      <c r="BP490" s="574"/>
      <c r="BQ490" s="458"/>
      <c r="BR490" s="577"/>
      <c r="BS490" s="524"/>
      <c r="BT490" s="575" t="s">
        <v>4056</v>
      </c>
    </row>
    <row r="491" s="435" customFormat="1" ht="18" customHeight="1" spans="1:72">
      <c r="A491" s="451" t="s">
        <v>4032</v>
      </c>
      <c r="B491" s="543">
        <v>45055</v>
      </c>
      <c r="C491" s="534">
        <v>1000014253</v>
      </c>
      <c r="D491" s="451"/>
      <c r="E491" s="457"/>
      <c r="F491" s="453"/>
      <c r="G491" s="453"/>
      <c r="H491" s="453"/>
      <c r="I491" s="453"/>
      <c r="J491" s="453"/>
      <c r="K491" s="453"/>
      <c r="L491" s="582">
        <v>20001</v>
      </c>
      <c r="M491" s="527"/>
      <c r="N491" s="527"/>
      <c r="O491" s="527"/>
      <c r="P491" s="527"/>
      <c r="Q491" s="527"/>
      <c r="R491" s="582"/>
      <c r="S491" s="527"/>
      <c r="T491" s="527"/>
      <c r="U491" s="527"/>
      <c r="V491" s="527"/>
      <c r="W491" s="527"/>
      <c r="X491" s="527"/>
      <c r="Y491" s="527"/>
      <c r="Z491" s="584"/>
      <c r="AA491" s="584"/>
      <c r="AB491" s="490"/>
      <c r="AC491" s="453"/>
      <c r="AD491" s="453"/>
      <c r="AE491" s="453"/>
      <c r="AF491" s="453"/>
      <c r="AG491" s="453"/>
      <c r="AH491" s="453"/>
      <c r="AI491" s="453"/>
      <c r="AJ491" s="453"/>
      <c r="AK491" s="453"/>
      <c r="AL491" s="453"/>
      <c r="AM491" s="453"/>
      <c r="AN491" s="453"/>
      <c r="AO491" s="453"/>
      <c r="AP491" s="453"/>
      <c r="AQ491" s="453"/>
      <c r="AR491" s="453"/>
      <c r="AS491" s="453"/>
      <c r="AT491" s="453"/>
      <c r="AU491" s="453"/>
      <c r="AV491" s="453"/>
      <c r="AW491" s="453"/>
      <c r="AX491" s="453"/>
      <c r="AY491" s="453"/>
      <c r="AZ491" s="453"/>
      <c r="BA491" s="532"/>
      <c r="BB491" s="502"/>
      <c r="BC491" s="503"/>
      <c r="BD491" s="453"/>
      <c r="BE491" s="453"/>
      <c r="BF491" s="470"/>
      <c r="BG491" s="453"/>
      <c r="BH491" s="453"/>
      <c r="BI491" s="453"/>
      <c r="BJ491" s="561"/>
      <c r="BK491" s="453"/>
      <c r="BL491" s="453"/>
      <c r="BM491" s="502"/>
      <c r="BN491" s="490"/>
      <c r="BO491" s="470"/>
      <c r="BP491" s="574"/>
      <c r="BQ491" s="458"/>
      <c r="BR491" s="577"/>
      <c r="BS491" s="524"/>
      <c r="BT491" s="575"/>
    </row>
    <row r="492" s="435" customFormat="1" ht="18" customHeight="1" spans="1:72">
      <c r="A492" s="451" t="s">
        <v>4032</v>
      </c>
      <c r="B492" s="543">
        <v>45055</v>
      </c>
      <c r="C492" s="534">
        <v>1000014254</v>
      </c>
      <c r="D492" s="451"/>
      <c r="E492" s="457"/>
      <c r="F492" s="453"/>
      <c r="G492" s="453"/>
      <c r="H492" s="453"/>
      <c r="I492" s="453"/>
      <c r="J492" s="453"/>
      <c r="K492" s="453"/>
      <c r="L492" s="527"/>
      <c r="M492" s="582">
        <v>5001</v>
      </c>
      <c r="N492" s="527"/>
      <c r="O492" s="527"/>
      <c r="P492" s="527"/>
      <c r="Q492" s="527"/>
      <c r="R492" s="582"/>
      <c r="S492" s="527"/>
      <c r="T492" s="527"/>
      <c r="U492" s="527"/>
      <c r="V492" s="527"/>
      <c r="W492" s="527"/>
      <c r="X492" s="527"/>
      <c r="Y492" s="527"/>
      <c r="Z492" s="584"/>
      <c r="AA492" s="584"/>
      <c r="AB492" s="490"/>
      <c r="AC492" s="453"/>
      <c r="AD492" s="453"/>
      <c r="AE492" s="453"/>
      <c r="AF492" s="453"/>
      <c r="AG492" s="453"/>
      <c r="AH492" s="453"/>
      <c r="AI492" s="453"/>
      <c r="AJ492" s="453"/>
      <c r="AK492" s="453"/>
      <c r="AL492" s="453"/>
      <c r="AM492" s="453"/>
      <c r="AN492" s="453"/>
      <c r="AO492" s="453"/>
      <c r="AP492" s="453"/>
      <c r="AQ492" s="453"/>
      <c r="AR492" s="453"/>
      <c r="AS492" s="453"/>
      <c r="AT492" s="453"/>
      <c r="AU492" s="453"/>
      <c r="AV492" s="453"/>
      <c r="AW492" s="453"/>
      <c r="AX492" s="453"/>
      <c r="AY492" s="453"/>
      <c r="AZ492" s="453"/>
      <c r="BA492" s="532"/>
      <c r="BB492" s="502"/>
      <c r="BC492" s="503"/>
      <c r="BD492" s="453"/>
      <c r="BE492" s="453"/>
      <c r="BF492" s="470"/>
      <c r="BG492" s="453"/>
      <c r="BH492" s="453"/>
      <c r="BI492" s="453"/>
      <c r="BJ492" s="561"/>
      <c r="BK492" s="453"/>
      <c r="BL492" s="453"/>
      <c r="BM492" s="502"/>
      <c r="BN492" s="490"/>
      <c r="BO492" s="470"/>
      <c r="BP492" s="574"/>
      <c r="BQ492" s="458"/>
      <c r="BR492" s="577"/>
      <c r="BS492" s="524"/>
      <c r="BT492" s="575"/>
    </row>
    <row r="493" s="435" customFormat="1" ht="18" customHeight="1" spans="1:72">
      <c r="A493" s="451" t="s">
        <v>4032</v>
      </c>
      <c r="B493" s="543">
        <v>45055</v>
      </c>
      <c r="C493" s="534">
        <v>1000014255</v>
      </c>
      <c r="D493" s="451"/>
      <c r="E493" s="457"/>
      <c r="F493" s="453"/>
      <c r="G493" s="453"/>
      <c r="H493" s="453"/>
      <c r="I493" s="453"/>
      <c r="J493" s="453"/>
      <c r="K493" s="453"/>
      <c r="L493" s="527"/>
      <c r="M493" s="527"/>
      <c r="N493" s="582">
        <v>2001</v>
      </c>
      <c r="O493" s="582"/>
      <c r="P493" s="582"/>
      <c r="Q493" s="582"/>
      <c r="R493" s="582"/>
      <c r="S493" s="527"/>
      <c r="T493" s="527"/>
      <c r="U493" s="527"/>
      <c r="V493" s="527"/>
      <c r="W493" s="527"/>
      <c r="X493" s="527"/>
      <c r="Y493" s="527"/>
      <c r="Z493" s="584"/>
      <c r="AA493" s="584"/>
      <c r="AB493" s="490"/>
      <c r="AC493" s="453"/>
      <c r="AD493" s="453"/>
      <c r="AE493" s="453"/>
      <c r="AF493" s="453"/>
      <c r="AG493" s="453"/>
      <c r="AH493" s="453"/>
      <c r="AI493" s="453"/>
      <c r="AJ493" s="453"/>
      <c r="AK493" s="453"/>
      <c r="AL493" s="453"/>
      <c r="AM493" s="453"/>
      <c r="AN493" s="453"/>
      <c r="AO493" s="453"/>
      <c r="AP493" s="453"/>
      <c r="AQ493" s="453"/>
      <c r="AR493" s="453"/>
      <c r="AS493" s="453"/>
      <c r="AT493" s="453"/>
      <c r="AU493" s="453"/>
      <c r="AV493" s="453"/>
      <c r="AW493" s="453"/>
      <c r="AX493" s="453"/>
      <c r="AY493" s="453"/>
      <c r="AZ493" s="453"/>
      <c r="BA493" s="532"/>
      <c r="BB493" s="502"/>
      <c r="BC493" s="503"/>
      <c r="BD493" s="453"/>
      <c r="BE493" s="453"/>
      <c r="BF493" s="470"/>
      <c r="BG493" s="453"/>
      <c r="BH493" s="453"/>
      <c r="BI493" s="453"/>
      <c r="BJ493" s="561"/>
      <c r="BK493" s="453"/>
      <c r="BL493" s="453"/>
      <c r="BM493" s="502"/>
      <c r="BN493" s="490"/>
      <c r="BO493" s="470"/>
      <c r="BP493" s="574"/>
      <c r="BQ493" s="458"/>
      <c r="BR493" s="577"/>
      <c r="BS493" s="524"/>
      <c r="BT493" s="575"/>
    </row>
    <row r="494" s="435" customFormat="1" ht="18" customHeight="1" spans="1:72">
      <c r="A494" s="451" t="s">
        <v>4032</v>
      </c>
      <c r="B494" s="543">
        <v>45055</v>
      </c>
      <c r="C494" s="534">
        <v>1000014256</v>
      </c>
      <c r="D494" s="451"/>
      <c r="E494" s="457"/>
      <c r="F494" s="453"/>
      <c r="G494" s="453"/>
      <c r="H494" s="453"/>
      <c r="I494" s="453"/>
      <c r="J494" s="453"/>
      <c r="K494" s="453"/>
      <c r="L494" s="527"/>
      <c r="M494" s="527"/>
      <c r="N494" s="527"/>
      <c r="O494" s="527"/>
      <c r="P494" s="527"/>
      <c r="Q494" s="527"/>
      <c r="R494" s="582"/>
      <c r="S494" s="582">
        <v>30001</v>
      </c>
      <c r="T494" s="582"/>
      <c r="U494" s="582"/>
      <c r="V494" s="582"/>
      <c r="W494" s="582"/>
      <c r="X494" s="582"/>
      <c r="Y494" s="582"/>
      <c r="Z494" s="585"/>
      <c r="AA494" s="585"/>
      <c r="AB494" s="490"/>
      <c r="AC494" s="453"/>
      <c r="AD494" s="453"/>
      <c r="AE494" s="453"/>
      <c r="AF494" s="453"/>
      <c r="AG494" s="453"/>
      <c r="AH494" s="453"/>
      <c r="AI494" s="453"/>
      <c r="AJ494" s="453"/>
      <c r="AK494" s="453"/>
      <c r="AL494" s="453"/>
      <c r="AM494" s="453"/>
      <c r="AN494" s="453"/>
      <c r="AO494" s="453"/>
      <c r="AP494" s="453"/>
      <c r="AQ494" s="453"/>
      <c r="AR494" s="453"/>
      <c r="AS494" s="453"/>
      <c r="AT494" s="453"/>
      <c r="AU494" s="453"/>
      <c r="AV494" s="453"/>
      <c r="AW494" s="453"/>
      <c r="AX494" s="453"/>
      <c r="AY494" s="453"/>
      <c r="AZ494" s="453"/>
      <c r="BA494" s="532"/>
      <c r="BB494" s="502"/>
      <c r="BC494" s="503"/>
      <c r="BD494" s="453"/>
      <c r="BE494" s="453"/>
      <c r="BF494" s="470"/>
      <c r="BG494" s="453"/>
      <c r="BH494" s="453"/>
      <c r="BI494" s="453"/>
      <c r="BJ494" s="561"/>
      <c r="BK494" s="453"/>
      <c r="BL494" s="453"/>
      <c r="BM494" s="502"/>
      <c r="BN494" s="490"/>
      <c r="BO494" s="470"/>
      <c r="BP494" s="574"/>
      <c r="BQ494" s="458"/>
      <c r="BR494" s="577"/>
      <c r="BS494" s="524"/>
      <c r="BT494" s="575"/>
    </row>
    <row r="495" s="435" customFormat="1" ht="18" customHeight="1" spans="1:72">
      <c r="A495" s="451" t="s">
        <v>4032</v>
      </c>
      <c r="B495" s="543">
        <v>45072</v>
      </c>
      <c r="C495" s="534">
        <v>1000014581</v>
      </c>
      <c r="D495" s="451"/>
      <c r="E495" s="457"/>
      <c r="F495" s="453"/>
      <c r="G495" s="453"/>
      <c r="H495" s="453"/>
      <c r="I495" s="453"/>
      <c r="J495" s="453"/>
      <c r="K495" s="453"/>
      <c r="L495" s="453"/>
      <c r="M495" s="453"/>
      <c r="N495" s="453"/>
      <c r="O495" s="453"/>
      <c r="P495" s="453"/>
      <c r="Q495" s="453"/>
      <c r="R495" s="550"/>
      <c r="S495" s="453"/>
      <c r="T495" s="453"/>
      <c r="U495" s="453"/>
      <c r="V495" s="453"/>
      <c r="W495" s="453"/>
      <c r="X495" s="453"/>
      <c r="Y495" s="453"/>
      <c r="Z495" s="489"/>
      <c r="AA495" s="489"/>
      <c r="AB495" s="490"/>
      <c r="AC495" s="453"/>
      <c r="AD495" s="453"/>
      <c r="AE495" s="453"/>
      <c r="AF495" s="453"/>
      <c r="AG495" s="453"/>
      <c r="AH495" s="453"/>
      <c r="AI495" s="453"/>
      <c r="AJ495" s="453"/>
      <c r="AK495" s="453"/>
      <c r="AL495" s="453"/>
      <c r="AM495" s="453"/>
      <c r="AN495" s="453"/>
      <c r="AO495" s="453"/>
      <c r="AP495" s="453"/>
      <c r="AQ495" s="453"/>
      <c r="AR495" s="453"/>
      <c r="AS495" s="453"/>
      <c r="AT495" s="453"/>
      <c r="AU495" s="453"/>
      <c r="AV495" s="453"/>
      <c r="AW495" s="453"/>
      <c r="AX495" s="453"/>
      <c r="AY495" s="453"/>
      <c r="AZ495" s="453">
        <v>10560</v>
      </c>
      <c r="BA495" s="532"/>
      <c r="BB495" s="502"/>
      <c r="BC495" s="503"/>
      <c r="BD495" s="453"/>
      <c r="BE495" s="453"/>
      <c r="BF495" s="470"/>
      <c r="BG495" s="453"/>
      <c r="BH495" s="453"/>
      <c r="BI495" s="453"/>
      <c r="BJ495" s="561"/>
      <c r="BK495" s="453"/>
      <c r="BL495" s="453"/>
      <c r="BM495" s="502"/>
      <c r="BN495" s="490"/>
      <c r="BO495" s="470"/>
      <c r="BP495" s="574"/>
      <c r="BQ495" s="458"/>
      <c r="BR495" s="577"/>
      <c r="BS495" s="524"/>
      <c r="BT495" s="586" t="s">
        <v>4057</v>
      </c>
    </row>
    <row r="496" s="435" customFormat="1" ht="18" customHeight="1" spans="1:72">
      <c r="A496" s="451" t="s">
        <v>4032</v>
      </c>
      <c r="B496" s="543">
        <v>45072</v>
      </c>
      <c r="C496" s="534">
        <v>1000014582</v>
      </c>
      <c r="D496" s="451"/>
      <c r="E496" s="457"/>
      <c r="F496" s="453"/>
      <c r="G496" s="453"/>
      <c r="H496" s="453"/>
      <c r="I496" s="453"/>
      <c r="J496" s="453"/>
      <c r="K496" s="453"/>
      <c r="L496" s="453"/>
      <c r="M496" s="453"/>
      <c r="N496" s="453"/>
      <c r="O496" s="453"/>
      <c r="P496" s="453"/>
      <c r="Q496" s="453"/>
      <c r="R496" s="550"/>
      <c r="S496" s="453"/>
      <c r="T496" s="453"/>
      <c r="U496" s="453"/>
      <c r="V496" s="453"/>
      <c r="W496" s="453"/>
      <c r="X496" s="453"/>
      <c r="Y496" s="453"/>
      <c r="Z496" s="489"/>
      <c r="AA496" s="489"/>
      <c r="AB496" s="490"/>
      <c r="AC496" s="453"/>
      <c r="AD496" s="453"/>
      <c r="AE496" s="453"/>
      <c r="AF496" s="453"/>
      <c r="AG496" s="453"/>
      <c r="AH496" s="453"/>
      <c r="AI496" s="453"/>
      <c r="AJ496" s="453"/>
      <c r="AK496" s="453"/>
      <c r="AL496" s="453"/>
      <c r="AM496" s="453"/>
      <c r="AN496" s="453"/>
      <c r="AO496" s="453"/>
      <c r="AP496" s="453"/>
      <c r="AQ496" s="453"/>
      <c r="AR496" s="453"/>
      <c r="AS496" s="453"/>
      <c r="AT496" s="453"/>
      <c r="AU496" s="453"/>
      <c r="AV496" s="453"/>
      <c r="AW496" s="453"/>
      <c r="AX496" s="453"/>
      <c r="AY496" s="453"/>
      <c r="AZ496" s="453"/>
      <c r="BA496" s="532"/>
      <c r="BB496" s="502">
        <v>2240</v>
      </c>
      <c r="BC496" s="503"/>
      <c r="BD496" s="453"/>
      <c r="BE496" s="453"/>
      <c r="BF496" s="470"/>
      <c r="BG496" s="453"/>
      <c r="BH496" s="453"/>
      <c r="BI496" s="453"/>
      <c r="BJ496" s="453"/>
      <c r="BK496" s="453"/>
      <c r="BL496" s="453"/>
      <c r="BM496" s="502"/>
      <c r="BN496" s="490"/>
      <c r="BO496" s="470"/>
      <c r="BP496" s="574"/>
      <c r="BQ496" s="458"/>
      <c r="BR496" s="577"/>
      <c r="BS496" s="524"/>
      <c r="BT496" s="586" t="s">
        <v>4057</v>
      </c>
    </row>
    <row r="497" s="435" customFormat="1" ht="18" customHeight="1" spans="1:72">
      <c r="A497" s="451" t="s">
        <v>4032</v>
      </c>
      <c r="B497" s="543">
        <v>45092</v>
      </c>
      <c r="C497" s="534">
        <v>1000014929</v>
      </c>
      <c r="D497" s="451"/>
      <c r="E497" s="457"/>
      <c r="F497" s="453"/>
      <c r="G497" s="453"/>
      <c r="H497" s="453"/>
      <c r="I497" s="453"/>
      <c r="J497" s="453"/>
      <c r="K497" s="453"/>
      <c r="L497" s="453"/>
      <c r="M497" s="453"/>
      <c r="N497" s="453"/>
      <c r="O497" s="453"/>
      <c r="P497" s="453"/>
      <c r="Q497" s="453"/>
      <c r="R497" s="550"/>
      <c r="S497" s="453"/>
      <c r="T497" s="453"/>
      <c r="U497" s="453"/>
      <c r="V497" s="453"/>
      <c r="W497" s="453"/>
      <c r="X497" s="453"/>
      <c r="Y497" s="453"/>
      <c r="Z497" s="489"/>
      <c r="AA497" s="489"/>
      <c r="AB497" s="490"/>
      <c r="AC497" s="453"/>
      <c r="AD497" s="453"/>
      <c r="AE497" s="453">
        <v>5001</v>
      </c>
      <c r="AF497" s="453"/>
      <c r="AG497" s="453"/>
      <c r="AH497" s="453"/>
      <c r="AI497" s="453"/>
      <c r="AJ497" s="453"/>
      <c r="AK497" s="453"/>
      <c r="AL497" s="453"/>
      <c r="AM497" s="453"/>
      <c r="AN497" s="453"/>
      <c r="AO497" s="453"/>
      <c r="AP497" s="453"/>
      <c r="AQ497" s="453"/>
      <c r="AR497" s="453"/>
      <c r="AS497" s="453"/>
      <c r="AT497" s="453"/>
      <c r="AU497" s="453"/>
      <c r="AV497" s="453"/>
      <c r="AW497" s="453"/>
      <c r="AX497" s="453"/>
      <c r="AY497" s="453"/>
      <c r="AZ497" s="453"/>
      <c r="BA497" s="532"/>
      <c r="BB497" s="502"/>
      <c r="BC497" s="503"/>
      <c r="BD497" s="453"/>
      <c r="BE497" s="453"/>
      <c r="BF497" s="470"/>
      <c r="BG497" s="453"/>
      <c r="BH497" s="453"/>
      <c r="BI497" s="453"/>
      <c r="BJ497" s="453"/>
      <c r="BK497" s="453"/>
      <c r="BL497" s="453"/>
      <c r="BM497" s="502"/>
      <c r="BN497" s="490"/>
      <c r="BO497" s="470"/>
      <c r="BP497" s="574"/>
      <c r="BQ497" s="458"/>
      <c r="BR497" s="577"/>
      <c r="BS497" s="524"/>
      <c r="BT497" s="586"/>
    </row>
    <row r="498" s="435" customFormat="1" ht="18" customHeight="1" spans="1:72">
      <c r="A498" s="451" t="s">
        <v>4032</v>
      </c>
      <c r="B498" s="543">
        <v>45092</v>
      </c>
      <c r="C498" s="534">
        <v>1000014930</v>
      </c>
      <c r="D498" s="451"/>
      <c r="E498" s="457"/>
      <c r="F498" s="453"/>
      <c r="G498" s="453"/>
      <c r="H498" s="453"/>
      <c r="I498" s="453"/>
      <c r="J498" s="453"/>
      <c r="K498" s="453"/>
      <c r="L498" s="453"/>
      <c r="M498" s="453"/>
      <c r="N498" s="453"/>
      <c r="O498" s="453"/>
      <c r="P498" s="453"/>
      <c r="Q498" s="453"/>
      <c r="R498" s="550"/>
      <c r="S498" s="453"/>
      <c r="T498" s="453"/>
      <c r="U498" s="453"/>
      <c r="V498" s="453"/>
      <c r="W498" s="453"/>
      <c r="X498" s="453"/>
      <c r="Y498" s="453"/>
      <c r="Z498" s="489"/>
      <c r="AA498" s="489"/>
      <c r="AB498" s="490"/>
      <c r="AC498" s="453"/>
      <c r="AD498" s="453"/>
      <c r="AE498" s="453"/>
      <c r="AF498" s="453"/>
      <c r="AG498" s="453"/>
      <c r="AH498" s="453"/>
      <c r="AI498" s="453"/>
      <c r="AJ498" s="453">
        <v>2001</v>
      </c>
      <c r="AK498" s="453"/>
      <c r="AL498" s="453"/>
      <c r="AM498" s="453"/>
      <c r="AN498" s="453"/>
      <c r="AO498" s="453"/>
      <c r="AP498" s="453"/>
      <c r="AQ498" s="453"/>
      <c r="AR498" s="453"/>
      <c r="AS498" s="453"/>
      <c r="AT498" s="453"/>
      <c r="AU498" s="453"/>
      <c r="AV498" s="453"/>
      <c r="AW498" s="453"/>
      <c r="AX498" s="453"/>
      <c r="AY498" s="453"/>
      <c r="AZ498" s="453"/>
      <c r="BA498" s="532"/>
      <c r="BB498" s="502"/>
      <c r="BC498" s="503"/>
      <c r="BD498" s="453"/>
      <c r="BE498" s="453"/>
      <c r="BF498" s="470"/>
      <c r="BG498" s="453"/>
      <c r="BH498" s="453"/>
      <c r="BI498" s="453"/>
      <c r="BJ498" s="453"/>
      <c r="BK498" s="453"/>
      <c r="BL498" s="453"/>
      <c r="BM498" s="502"/>
      <c r="BN498" s="490"/>
      <c r="BO498" s="470"/>
      <c r="BP498" s="574"/>
      <c r="BQ498" s="458"/>
      <c r="BR498" s="577"/>
      <c r="BS498" s="524"/>
      <c r="BT498" s="586"/>
    </row>
    <row r="499" s="435" customFormat="1" ht="15" customHeight="1" spans="1:72">
      <c r="A499" s="451" t="s">
        <v>4032</v>
      </c>
      <c r="B499" s="543">
        <v>45092</v>
      </c>
      <c r="C499" s="534">
        <v>1000014931</v>
      </c>
      <c r="D499" s="451"/>
      <c r="E499" s="457"/>
      <c r="F499" s="453"/>
      <c r="G499" s="453"/>
      <c r="H499" s="453"/>
      <c r="I499" s="453"/>
      <c r="J499" s="453"/>
      <c r="K499" s="453"/>
      <c r="L499" s="453"/>
      <c r="M499" s="453"/>
      <c r="N499" s="453"/>
      <c r="O499" s="453"/>
      <c r="P499" s="453"/>
      <c r="Q499" s="453"/>
      <c r="R499" s="550"/>
      <c r="S499" s="453"/>
      <c r="T499" s="453"/>
      <c r="U499" s="453"/>
      <c r="V499" s="453"/>
      <c r="W499" s="453"/>
      <c r="X499" s="453"/>
      <c r="Y499" s="453"/>
      <c r="Z499" s="489"/>
      <c r="AA499" s="489"/>
      <c r="AB499" s="490"/>
      <c r="AC499" s="453"/>
      <c r="AD499" s="453"/>
      <c r="AE499" s="453"/>
      <c r="AF499" s="453"/>
      <c r="AG499" s="453"/>
      <c r="AH499" s="453"/>
      <c r="AI499" s="453"/>
      <c r="AJ499" s="453"/>
      <c r="AK499" s="453"/>
      <c r="AL499" s="453"/>
      <c r="AM499" s="453"/>
      <c r="AN499" s="453"/>
      <c r="AO499" s="453"/>
      <c r="AP499" s="453"/>
      <c r="AQ499" s="453"/>
      <c r="AR499" s="453"/>
      <c r="AS499" s="453"/>
      <c r="AT499" s="453">
        <v>10001</v>
      </c>
      <c r="AU499" s="453"/>
      <c r="AV499" s="453"/>
      <c r="AW499" s="453"/>
      <c r="AX499" s="453"/>
      <c r="AY499" s="453"/>
      <c r="AZ499" s="453"/>
      <c r="BA499" s="532"/>
      <c r="BB499" s="502"/>
      <c r="BC499" s="503"/>
      <c r="BD499" s="453"/>
      <c r="BE499" s="453"/>
      <c r="BF499" s="470"/>
      <c r="BG499" s="453"/>
      <c r="BH499" s="453"/>
      <c r="BI499" s="453"/>
      <c r="BJ499" s="453"/>
      <c r="BK499" s="453"/>
      <c r="BL499" s="453"/>
      <c r="BM499" s="502"/>
      <c r="BN499" s="490"/>
      <c r="BO499" s="470"/>
      <c r="BP499" s="574"/>
      <c r="BQ499" s="458"/>
      <c r="BR499" s="577"/>
      <c r="BS499" s="524"/>
      <c r="BT499" s="586"/>
    </row>
    <row r="500" s="435" customFormat="1" ht="14" customHeight="1" spans="1:72">
      <c r="A500" s="451" t="s">
        <v>4032</v>
      </c>
      <c r="B500" s="543">
        <v>45106</v>
      </c>
      <c r="C500" s="534">
        <v>1000015105</v>
      </c>
      <c r="D500" s="451"/>
      <c r="E500" s="457"/>
      <c r="F500" s="453"/>
      <c r="G500" s="453"/>
      <c r="H500" s="453"/>
      <c r="I500" s="453"/>
      <c r="J500" s="453"/>
      <c r="K500" s="453"/>
      <c r="L500" s="453">
        <v>10001</v>
      </c>
      <c r="M500" s="453"/>
      <c r="N500" s="453"/>
      <c r="O500" s="453"/>
      <c r="P500" s="453"/>
      <c r="Q500" s="453"/>
      <c r="R500" s="550"/>
      <c r="S500" s="453"/>
      <c r="T500" s="453"/>
      <c r="U500" s="453"/>
      <c r="V500" s="453"/>
      <c r="W500" s="453"/>
      <c r="X500" s="453"/>
      <c r="Y500" s="453"/>
      <c r="Z500" s="489"/>
      <c r="AA500" s="489"/>
      <c r="AB500" s="490"/>
      <c r="AC500" s="453"/>
      <c r="AD500" s="453"/>
      <c r="AE500" s="453"/>
      <c r="AF500" s="453"/>
      <c r="AG500" s="453"/>
      <c r="AH500" s="453"/>
      <c r="AI500" s="453"/>
      <c r="AJ500" s="453"/>
      <c r="AK500" s="453"/>
      <c r="AL500" s="453"/>
      <c r="AM500" s="453"/>
      <c r="AN500" s="453"/>
      <c r="AO500" s="453"/>
      <c r="AP500" s="453"/>
      <c r="AQ500" s="453"/>
      <c r="AR500" s="453"/>
      <c r="AS500" s="453"/>
      <c r="AT500" s="453"/>
      <c r="AU500" s="453"/>
      <c r="AV500" s="453"/>
      <c r="AW500" s="453"/>
      <c r="AX500" s="453"/>
      <c r="AY500" s="453"/>
      <c r="AZ500" s="453"/>
      <c r="BA500" s="532"/>
      <c r="BB500" s="502"/>
      <c r="BC500" s="503"/>
      <c r="BD500" s="453"/>
      <c r="BE500" s="453"/>
      <c r="BF500" s="470"/>
      <c r="BG500" s="453"/>
      <c r="BH500" s="453"/>
      <c r="BI500" s="453"/>
      <c r="BJ500" s="453"/>
      <c r="BK500" s="453"/>
      <c r="BL500" s="453"/>
      <c r="BM500" s="502"/>
      <c r="BN500" s="490"/>
      <c r="BO500" s="470"/>
      <c r="BP500" s="574"/>
      <c r="BQ500" s="458"/>
      <c r="BR500" s="577"/>
      <c r="BS500" s="524"/>
      <c r="BT500" s="586"/>
    </row>
    <row r="501" s="435" customFormat="1" ht="18" customHeight="1" spans="1:72">
      <c r="A501" s="451" t="s">
        <v>4032</v>
      </c>
      <c r="B501" s="543">
        <v>45106</v>
      </c>
      <c r="C501" s="534">
        <v>1000015106</v>
      </c>
      <c r="D501" s="451"/>
      <c r="E501" s="457"/>
      <c r="F501" s="453"/>
      <c r="G501" s="453"/>
      <c r="H501" s="453"/>
      <c r="I501" s="453"/>
      <c r="J501" s="453"/>
      <c r="K501" s="453"/>
      <c r="L501" s="453"/>
      <c r="M501" s="453"/>
      <c r="N501" s="453">
        <v>2400</v>
      </c>
      <c r="O501" s="453"/>
      <c r="P501" s="453"/>
      <c r="Q501" s="453"/>
      <c r="R501" s="550"/>
      <c r="S501" s="453"/>
      <c r="T501" s="453"/>
      <c r="U501" s="453"/>
      <c r="V501" s="453"/>
      <c r="W501" s="453"/>
      <c r="X501" s="453"/>
      <c r="Y501" s="453"/>
      <c r="Z501" s="489"/>
      <c r="AA501" s="489"/>
      <c r="AB501" s="490"/>
      <c r="AC501" s="453"/>
      <c r="AD501" s="453"/>
      <c r="AE501" s="453"/>
      <c r="AF501" s="453"/>
      <c r="AG501" s="453"/>
      <c r="AH501" s="453"/>
      <c r="AI501" s="453"/>
      <c r="AJ501" s="453"/>
      <c r="AK501" s="453"/>
      <c r="AL501" s="453"/>
      <c r="AM501" s="453"/>
      <c r="AN501" s="453"/>
      <c r="AO501" s="453"/>
      <c r="AP501" s="453"/>
      <c r="AQ501" s="453"/>
      <c r="AR501" s="453"/>
      <c r="AS501" s="453"/>
      <c r="AT501" s="453"/>
      <c r="AU501" s="453"/>
      <c r="AV501" s="453"/>
      <c r="AW501" s="453"/>
      <c r="AX501" s="453"/>
      <c r="AY501" s="453"/>
      <c r="AZ501" s="453"/>
      <c r="BA501" s="532"/>
      <c r="BB501" s="502"/>
      <c r="BC501" s="503"/>
      <c r="BD501" s="453"/>
      <c r="BE501" s="453"/>
      <c r="BF501" s="470"/>
      <c r="BG501" s="453"/>
      <c r="BH501" s="453"/>
      <c r="BI501" s="453"/>
      <c r="BJ501" s="453"/>
      <c r="BK501" s="453"/>
      <c r="BL501" s="453"/>
      <c r="BM501" s="502"/>
      <c r="BN501" s="490"/>
      <c r="BO501" s="470"/>
      <c r="BP501" s="574"/>
      <c r="BQ501" s="458"/>
      <c r="BR501" s="577"/>
      <c r="BS501" s="524"/>
      <c r="BT501" s="586"/>
    </row>
    <row r="502" s="435" customFormat="1" ht="18" customHeight="1" spans="1:72">
      <c r="A502" s="451" t="s">
        <v>4032</v>
      </c>
      <c r="B502" s="543">
        <v>45106</v>
      </c>
      <c r="C502" s="534">
        <v>1000015107</v>
      </c>
      <c r="D502" s="451"/>
      <c r="E502" s="457"/>
      <c r="F502" s="453"/>
      <c r="G502" s="453"/>
      <c r="H502" s="453"/>
      <c r="I502" s="453"/>
      <c r="J502" s="453"/>
      <c r="K502" s="453"/>
      <c r="L502" s="453"/>
      <c r="M502" s="453"/>
      <c r="N502" s="453"/>
      <c r="O502" s="453"/>
      <c r="P502" s="453"/>
      <c r="Q502" s="453"/>
      <c r="R502" s="550"/>
      <c r="S502" s="453">
        <v>20001</v>
      </c>
      <c r="T502" s="453"/>
      <c r="U502" s="453"/>
      <c r="V502" s="453"/>
      <c r="W502" s="453"/>
      <c r="X502" s="453"/>
      <c r="Y502" s="453"/>
      <c r="Z502" s="489"/>
      <c r="AA502" s="489"/>
      <c r="AB502" s="490"/>
      <c r="AC502" s="453"/>
      <c r="AD502" s="453"/>
      <c r="AE502" s="453"/>
      <c r="AF502" s="453"/>
      <c r="AG502" s="453"/>
      <c r="AH502" s="453"/>
      <c r="AI502" s="453"/>
      <c r="AJ502" s="453"/>
      <c r="AK502" s="453"/>
      <c r="AL502" s="453"/>
      <c r="AM502" s="453"/>
      <c r="AN502" s="453"/>
      <c r="AO502" s="453"/>
      <c r="AP502" s="453"/>
      <c r="AQ502" s="453"/>
      <c r="AR502" s="453"/>
      <c r="AS502" s="453"/>
      <c r="AT502" s="453"/>
      <c r="AU502" s="453"/>
      <c r="AV502" s="453"/>
      <c r="AW502" s="453"/>
      <c r="AX502" s="453"/>
      <c r="AY502" s="453"/>
      <c r="AZ502" s="453"/>
      <c r="BA502" s="532"/>
      <c r="BB502" s="502"/>
      <c r="BC502" s="503"/>
      <c r="BD502" s="453"/>
      <c r="BE502" s="453"/>
      <c r="BF502" s="470"/>
      <c r="BG502" s="453"/>
      <c r="BH502" s="453"/>
      <c r="BI502" s="453"/>
      <c r="BJ502" s="453"/>
      <c r="BK502" s="453"/>
      <c r="BL502" s="453"/>
      <c r="BM502" s="502"/>
      <c r="BN502" s="490"/>
      <c r="BO502" s="470"/>
      <c r="BP502" s="574"/>
      <c r="BQ502" s="458"/>
      <c r="BR502" s="577"/>
      <c r="BS502" s="524"/>
      <c r="BT502" s="586"/>
    </row>
    <row r="503" s="435" customFormat="1" ht="18" customHeight="1" spans="1:72">
      <c r="A503" s="451" t="s">
        <v>4032</v>
      </c>
      <c r="B503" s="543">
        <v>45121</v>
      </c>
      <c r="C503" s="581">
        <v>1000015439</v>
      </c>
      <c r="D503" s="451"/>
      <c r="E503" s="457"/>
      <c r="F503" s="453"/>
      <c r="G503" s="453"/>
      <c r="H503" s="453"/>
      <c r="I503" s="453"/>
      <c r="J503" s="453"/>
      <c r="K503" s="453"/>
      <c r="L503" s="453"/>
      <c r="M503" s="453"/>
      <c r="N503" s="453"/>
      <c r="O503" s="453"/>
      <c r="P503" s="453"/>
      <c r="Q503" s="453"/>
      <c r="R503" s="550"/>
      <c r="S503" s="453"/>
      <c r="T503" s="453"/>
      <c r="U503" s="453"/>
      <c r="V503" s="453"/>
      <c r="W503" s="453"/>
      <c r="X503" s="453"/>
      <c r="Y503" s="453"/>
      <c r="Z503" s="489"/>
      <c r="AA503" s="489"/>
      <c r="AB503" s="490"/>
      <c r="AC503" s="453"/>
      <c r="AD503" s="453"/>
      <c r="AE503" s="453">
        <v>23000</v>
      </c>
      <c r="AF503" s="453"/>
      <c r="AG503" s="453"/>
      <c r="AH503" s="453"/>
      <c r="AI503" s="453"/>
      <c r="AJ503" s="453"/>
      <c r="AK503" s="453"/>
      <c r="AL503" s="453"/>
      <c r="AM503" s="453"/>
      <c r="AN503" s="453"/>
      <c r="AO503" s="453"/>
      <c r="AP503" s="453"/>
      <c r="AQ503" s="453"/>
      <c r="AR503" s="453"/>
      <c r="AS503" s="453"/>
      <c r="AT503" s="453"/>
      <c r="AU503" s="453"/>
      <c r="AV503" s="453"/>
      <c r="AW503" s="453"/>
      <c r="AX503" s="453"/>
      <c r="AY503" s="453"/>
      <c r="AZ503" s="453"/>
      <c r="BA503" s="532"/>
      <c r="BB503" s="502"/>
      <c r="BC503" s="503"/>
      <c r="BD503" s="453"/>
      <c r="BE503" s="453"/>
      <c r="BF503" s="470"/>
      <c r="BG503" s="453"/>
      <c r="BH503" s="453"/>
      <c r="BI503" s="453"/>
      <c r="BJ503" s="453"/>
      <c r="BK503" s="453"/>
      <c r="BL503" s="453"/>
      <c r="BM503" s="502"/>
      <c r="BN503" s="490"/>
      <c r="BO503" s="470"/>
      <c r="BP503" s="574"/>
      <c r="BQ503" s="458"/>
      <c r="BR503" s="577"/>
      <c r="BS503" s="524"/>
      <c r="BT503" s="586"/>
    </row>
    <row r="504" s="435" customFormat="1" ht="18" customHeight="1" spans="1:72">
      <c r="A504" s="451" t="s">
        <v>4032</v>
      </c>
      <c r="B504" s="543">
        <v>45121</v>
      </c>
      <c r="C504" s="581">
        <v>1000015440</v>
      </c>
      <c r="D504" s="451"/>
      <c r="E504" s="457"/>
      <c r="F504" s="453"/>
      <c r="G504" s="453"/>
      <c r="H504" s="453"/>
      <c r="I504" s="453"/>
      <c r="J504" s="453"/>
      <c r="K504" s="453"/>
      <c r="L504" s="453"/>
      <c r="M504" s="453"/>
      <c r="N504" s="453"/>
      <c r="O504" s="453"/>
      <c r="P504" s="453"/>
      <c r="Q504" s="453"/>
      <c r="R504" s="550"/>
      <c r="S504" s="453"/>
      <c r="T504" s="453"/>
      <c r="U504" s="453"/>
      <c r="V504" s="453"/>
      <c r="W504" s="453"/>
      <c r="X504" s="453"/>
      <c r="Y504" s="453"/>
      <c r="Z504" s="489"/>
      <c r="AA504" s="489"/>
      <c r="AB504" s="490"/>
      <c r="AC504" s="453"/>
      <c r="AD504" s="453"/>
      <c r="AE504" s="453"/>
      <c r="AF504" s="453"/>
      <c r="AG504" s="453"/>
      <c r="AH504" s="453"/>
      <c r="AI504" s="453"/>
      <c r="AJ504" s="453">
        <v>8238</v>
      </c>
      <c r="AK504" s="453"/>
      <c r="AL504" s="453"/>
      <c r="AM504" s="453"/>
      <c r="AN504" s="453"/>
      <c r="AO504" s="453"/>
      <c r="AP504" s="453"/>
      <c r="AQ504" s="453"/>
      <c r="AR504" s="453"/>
      <c r="AS504" s="453"/>
      <c r="AT504" s="453"/>
      <c r="AU504" s="453"/>
      <c r="AV504" s="453"/>
      <c r="AW504" s="453"/>
      <c r="AX504" s="453"/>
      <c r="AY504" s="453"/>
      <c r="AZ504" s="453"/>
      <c r="BA504" s="532"/>
      <c r="BB504" s="502"/>
      <c r="BC504" s="503"/>
      <c r="BD504" s="453"/>
      <c r="BE504" s="453"/>
      <c r="BF504" s="470"/>
      <c r="BG504" s="453"/>
      <c r="BH504" s="453"/>
      <c r="BI504" s="453"/>
      <c r="BJ504" s="453"/>
      <c r="BK504" s="453"/>
      <c r="BL504" s="453"/>
      <c r="BM504" s="502"/>
      <c r="BN504" s="490"/>
      <c r="BO504" s="470"/>
      <c r="BP504" s="574"/>
      <c r="BQ504" s="458"/>
      <c r="BR504" s="577"/>
      <c r="BS504" s="524"/>
      <c r="BT504" s="586"/>
    </row>
    <row r="505" s="435" customFormat="1" ht="18" customHeight="1" spans="1:72">
      <c r="A505" s="451" t="s">
        <v>4032</v>
      </c>
      <c r="B505" s="543">
        <v>45121</v>
      </c>
      <c r="C505" s="581">
        <v>1000015441</v>
      </c>
      <c r="D505" s="451"/>
      <c r="E505" s="457"/>
      <c r="F505" s="453"/>
      <c r="G505" s="453"/>
      <c r="H505" s="453"/>
      <c r="I505" s="453"/>
      <c r="J505" s="453"/>
      <c r="K505" s="453"/>
      <c r="L505" s="453"/>
      <c r="M505" s="453"/>
      <c r="N505" s="453"/>
      <c r="O505" s="453"/>
      <c r="P505" s="453"/>
      <c r="Q505" s="453"/>
      <c r="R505" s="550"/>
      <c r="S505" s="453"/>
      <c r="T505" s="453"/>
      <c r="U505" s="453"/>
      <c r="V505" s="453"/>
      <c r="W505" s="453"/>
      <c r="X505" s="453"/>
      <c r="Y505" s="453"/>
      <c r="Z505" s="489"/>
      <c r="AA505" s="489"/>
      <c r="AB505" s="490"/>
      <c r="AC505" s="453"/>
      <c r="AD505" s="453"/>
      <c r="AE505" s="453"/>
      <c r="AF505" s="453"/>
      <c r="AG505" s="453"/>
      <c r="AH505" s="453"/>
      <c r="AI505" s="453"/>
      <c r="AJ505" s="453"/>
      <c r="AK505" s="453"/>
      <c r="AL505" s="453"/>
      <c r="AM505" s="453"/>
      <c r="AN505" s="453"/>
      <c r="AO505" s="453"/>
      <c r="AP505" s="453"/>
      <c r="AQ505" s="453"/>
      <c r="AR505" s="453"/>
      <c r="AS505" s="453"/>
      <c r="AT505" s="453">
        <v>40000</v>
      </c>
      <c r="AU505" s="453"/>
      <c r="AV505" s="453"/>
      <c r="AW505" s="453"/>
      <c r="AX505" s="453"/>
      <c r="AY505" s="453"/>
      <c r="AZ505" s="453"/>
      <c r="BA505" s="532"/>
      <c r="BB505" s="502"/>
      <c r="BC505" s="503"/>
      <c r="BD505" s="453"/>
      <c r="BE505" s="453"/>
      <c r="BF505" s="470"/>
      <c r="BG505" s="453"/>
      <c r="BH505" s="453"/>
      <c r="BI505" s="453"/>
      <c r="BJ505" s="453"/>
      <c r="BK505" s="453"/>
      <c r="BL505" s="453"/>
      <c r="BM505" s="502"/>
      <c r="BN505" s="490"/>
      <c r="BO505" s="470"/>
      <c r="BP505" s="574"/>
      <c r="BQ505" s="458"/>
      <c r="BR505" s="577"/>
      <c r="BS505" s="524"/>
      <c r="BT505" s="586"/>
    </row>
    <row r="506" s="435" customFormat="1" ht="18" customHeight="1" spans="1:72">
      <c r="A506" s="451" t="s">
        <v>4032</v>
      </c>
      <c r="B506" s="543">
        <v>45121</v>
      </c>
      <c r="C506" s="534">
        <v>1000015437</v>
      </c>
      <c r="D506" s="451"/>
      <c r="E506" s="457"/>
      <c r="F506" s="453"/>
      <c r="G506" s="453"/>
      <c r="H506" s="453"/>
      <c r="I506" s="453"/>
      <c r="J506" s="453"/>
      <c r="K506" s="453"/>
      <c r="L506" s="453"/>
      <c r="M506" s="453"/>
      <c r="N506" s="453">
        <v>1500</v>
      </c>
      <c r="O506" s="453"/>
      <c r="P506" s="453"/>
      <c r="Q506" s="453"/>
      <c r="R506" s="550"/>
      <c r="S506" s="453"/>
      <c r="T506" s="453"/>
      <c r="U506" s="453"/>
      <c r="V506" s="453"/>
      <c r="W506" s="453"/>
      <c r="X506" s="453"/>
      <c r="Y506" s="453"/>
      <c r="Z506" s="489"/>
      <c r="AA506" s="489"/>
      <c r="AB506" s="490"/>
      <c r="AC506" s="453"/>
      <c r="AD506" s="453"/>
      <c r="AE506" s="453"/>
      <c r="AF506" s="453"/>
      <c r="AG506" s="453"/>
      <c r="AH506" s="453"/>
      <c r="AI506" s="453"/>
      <c r="AJ506" s="453"/>
      <c r="AK506" s="453"/>
      <c r="AL506" s="453"/>
      <c r="AM506" s="453"/>
      <c r="AN506" s="453"/>
      <c r="AO506" s="453"/>
      <c r="AP506" s="453"/>
      <c r="AQ506" s="453"/>
      <c r="AR506" s="453"/>
      <c r="AS506" s="453"/>
      <c r="AT506" s="453"/>
      <c r="AU506" s="453"/>
      <c r="AV506" s="453"/>
      <c r="AW506" s="453"/>
      <c r="AX506" s="453"/>
      <c r="AY506" s="453"/>
      <c r="AZ506" s="453"/>
      <c r="BA506" s="532"/>
      <c r="BB506" s="502"/>
      <c r="BC506" s="503"/>
      <c r="BD506" s="453"/>
      <c r="BE506" s="453"/>
      <c r="BF506" s="470"/>
      <c r="BG506" s="453"/>
      <c r="BH506" s="453"/>
      <c r="BI506" s="453"/>
      <c r="BJ506" s="453"/>
      <c r="BK506" s="453"/>
      <c r="BL506" s="453"/>
      <c r="BM506" s="502"/>
      <c r="BN506" s="490"/>
      <c r="BO506" s="470"/>
      <c r="BP506" s="574"/>
      <c r="BQ506" s="458"/>
      <c r="BR506" s="577"/>
      <c r="BS506" s="524"/>
      <c r="BT506" s="586"/>
    </row>
    <row r="507" s="435" customFormat="1" ht="18" customHeight="1" spans="1:72">
      <c r="A507" s="451" t="s">
        <v>4032</v>
      </c>
      <c r="B507" s="543">
        <v>45135</v>
      </c>
      <c r="C507" s="581">
        <v>1000015694</v>
      </c>
      <c r="D507" s="451"/>
      <c r="E507" s="457"/>
      <c r="F507" s="453"/>
      <c r="G507" s="453"/>
      <c r="H507" s="453"/>
      <c r="I507" s="453"/>
      <c r="J507" s="453"/>
      <c r="K507" s="453"/>
      <c r="L507" s="453"/>
      <c r="M507" s="453"/>
      <c r="N507" s="453"/>
      <c r="O507" s="453"/>
      <c r="P507" s="453"/>
      <c r="Q507" s="453"/>
      <c r="R507" s="550"/>
      <c r="S507" s="550">
        <v>4000</v>
      </c>
      <c r="T507" s="550"/>
      <c r="U507" s="550"/>
      <c r="V507" s="550"/>
      <c r="W507" s="550"/>
      <c r="X507" s="550"/>
      <c r="Y507" s="550"/>
      <c r="Z507" s="583"/>
      <c r="AA507" s="583"/>
      <c r="AB507" s="490"/>
      <c r="AC507" s="453"/>
      <c r="AD507" s="453"/>
      <c r="AE507" s="453"/>
      <c r="AF507" s="453"/>
      <c r="AG507" s="453"/>
      <c r="AH507" s="453"/>
      <c r="AI507" s="453"/>
      <c r="AJ507" s="453"/>
      <c r="AK507" s="453"/>
      <c r="AL507" s="453"/>
      <c r="AM507" s="453"/>
      <c r="AN507" s="453"/>
      <c r="AO507" s="453"/>
      <c r="AP507" s="453"/>
      <c r="AQ507" s="453"/>
      <c r="AR507" s="453"/>
      <c r="AS507" s="453"/>
      <c r="AT507" s="453"/>
      <c r="AU507" s="453"/>
      <c r="AV507" s="453"/>
      <c r="AW507" s="453"/>
      <c r="AX507" s="453"/>
      <c r="AY507" s="453"/>
      <c r="AZ507" s="453"/>
      <c r="BA507" s="532"/>
      <c r="BB507" s="502"/>
      <c r="BC507" s="503"/>
      <c r="BD507" s="453"/>
      <c r="BE507" s="453"/>
      <c r="BF507" s="470"/>
      <c r="BG507" s="453"/>
      <c r="BH507" s="453"/>
      <c r="BI507" s="453"/>
      <c r="BJ507" s="453"/>
      <c r="BK507" s="453"/>
      <c r="BL507" s="453"/>
      <c r="BM507" s="502"/>
      <c r="BN507" s="490"/>
      <c r="BO507" s="470"/>
      <c r="BP507" s="574"/>
      <c r="BQ507" s="458"/>
      <c r="BR507" s="577"/>
      <c r="BS507" s="524"/>
      <c r="BT507" s="586"/>
    </row>
    <row r="508" s="435" customFormat="1" ht="18" customHeight="1" spans="1:72">
      <c r="A508" s="451" t="s">
        <v>4032</v>
      </c>
      <c r="B508" s="543">
        <v>45135</v>
      </c>
      <c r="C508" s="581">
        <v>1000015693</v>
      </c>
      <c r="D508" s="451"/>
      <c r="E508" s="457"/>
      <c r="F508" s="453"/>
      <c r="G508" s="453"/>
      <c r="H508" s="453"/>
      <c r="I508" s="453"/>
      <c r="J508" s="453"/>
      <c r="K508" s="453"/>
      <c r="L508" s="453"/>
      <c r="M508" s="453"/>
      <c r="N508" s="453">
        <v>1500</v>
      </c>
      <c r="O508" s="453"/>
      <c r="P508" s="453"/>
      <c r="Q508" s="453"/>
      <c r="R508" s="550"/>
      <c r="S508" s="453"/>
      <c r="T508" s="453"/>
      <c r="U508" s="453"/>
      <c r="V508" s="453"/>
      <c r="W508" s="453"/>
      <c r="X508" s="453"/>
      <c r="Y508" s="453"/>
      <c r="Z508" s="489"/>
      <c r="AA508" s="489"/>
      <c r="AB508" s="490"/>
      <c r="AC508" s="453"/>
      <c r="AD508" s="453"/>
      <c r="AE508" s="453"/>
      <c r="AF508" s="453"/>
      <c r="AG508" s="453"/>
      <c r="AH508" s="453"/>
      <c r="AI508" s="453"/>
      <c r="AJ508" s="453"/>
      <c r="AK508" s="453"/>
      <c r="AL508" s="453"/>
      <c r="AM508" s="453"/>
      <c r="AN508" s="453"/>
      <c r="AO508" s="453"/>
      <c r="AP508" s="453"/>
      <c r="AQ508" s="453"/>
      <c r="AR508" s="453"/>
      <c r="AS508" s="453"/>
      <c r="AT508" s="453"/>
      <c r="AU508" s="453"/>
      <c r="AV508" s="453"/>
      <c r="AW508" s="453"/>
      <c r="AX508" s="453"/>
      <c r="AY508" s="453"/>
      <c r="AZ508" s="453"/>
      <c r="BA508" s="532"/>
      <c r="BB508" s="502"/>
      <c r="BC508" s="503"/>
      <c r="BD508" s="453"/>
      <c r="BE508" s="453"/>
      <c r="BF508" s="470"/>
      <c r="BG508" s="453"/>
      <c r="BH508" s="453"/>
      <c r="BI508" s="453"/>
      <c r="BJ508" s="453"/>
      <c r="BK508" s="453"/>
      <c r="BL508" s="453"/>
      <c r="BM508" s="502"/>
      <c r="BN508" s="490"/>
      <c r="BO508" s="470"/>
      <c r="BP508" s="574"/>
      <c r="BQ508" s="458"/>
      <c r="BR508" s="577"/>
      <c r="BS508" s="524"/>
      <c r="BT508" s="586"/>
    </row>
    <row r="509" s="435" customFormat="1" ht="18" customHeight="1" spans="1:72">
      <c r="A509" s="451" t="s">
        <v>4032</v>
      </c>
      <c r="B509" s="543">
        <v>45153</v>
      </c>
      <c r="C509" s="581">
        <v>1000016023</v>
      </c>
      <c r="D509" s="451"/>
      <c r="E509" s="457"/>
      <c r="F509" s="453"/>
      <c r="G509" s="453"/>
      <c r="H509" s="453"/>
      <c r="I509" s="453"/>
      <c r="J509" s="453"/>
      <c r="K509" s="453"/>
      <c r="L509" s="453"/>
      <c r="M509" s="453"/>
      <c r="N509" s="453"/>
      <c r="O509" s="453"/>
      <c r="P509" s="453"/>
      <c r="Q509" s="453"/>
      <c r="R509" s="550"/>
      <c r="S509" s="453"/>
      <c r="T509" s="453"/>
      <c r="U509" s="453"/>
      <c r="V509" s="453"/>
      <c r="W509" s="453"/>
      <c r="X509" s="453"/>
      <c r="Y509" s="453"/>
      <c r="Z509" s="489"/>
      <c r="AA509" s="489"/>
      <c r="AB509" s="490"/>
      <c r="AC509" s="453"/>
      <c r="AD509" s="453"/>
      <c r="AE509" s="453"/>
      <c r="AF509" s="453"/>
      <c r="AG509" s="453"/>
      <c r="AH509" s="453"/>
      <c r="AI509" s="453"/>
      <c r="AJ509" s="453"/>
      <c r="AK509" s="453"/>
      <c r="AL509" s="453"/>
      <c r="AM509" s="453"/>
      <c r="AN509" s="453"/>
      <c r="AO509" s="453"/>
      <c r="AP509" s="453"/>
      <c r="AQ509" s="453"/>
      <c r="AR509" s="453"/>
      <c r="AS509" s="453"/>
      <c r="AT509" s="453"/>
      <c r="AU509" s="453"/>
      <c r="AV509" s="453"/>
      <c r="AW509" s="453"/>
      <c r="AX509" s="453"/>
      <c r="AY509" s="453">
        <v>37506</v>
      </c>
      <c r="AZ509" s="453"/>
      <c r="BA509" s="532"/>
      <c r="BB509" s="502"/>
      <c r="BC509" s="503"/>
      <c r="BD509" s="453"/>
      <c r="BE509" s="453"/>
      <c r="BF509" s="470"/>
      <c r="BG509" s="453"/>
      <c r="BH509" s="453"/>
      <c r="BI509" s="453"/>
      <c r="BJ509" s="453"/>
      <c r="BK509" s="453"/>
      <c r="BL509" s="453"/>
      <c r="BM509" s="502"/>
      <c r="BN509" s="490"/>
      <c r="BO509" s="470"/>
      <c r="BP509" s="574"/>
      <c r="BQ509" s="458"/>
      <c r="BR509" s="577"/>
      <c r="BS509" s="524"/>
      <c r="BT509" s="586" t="s">
        <v>4058</v>
      </c>
    </row>
    <row r="510" s="435" customFormat="1" ht="18" customHeight="1" spans="1:72">
      <c r="A510" s="451" t="s">
        <v>4032</v>
      </c>
      <c r="B510" s="543">
        <v>45155</v>
      </c>
      <c r="C510" s="581">
        <v>1000016055</v>
      </c>
      <c r="D510" s="451"/>
      <c r="E510" s="457"/>
      <c r="F510" s="453"/>
      <c r="G510" s="453"/>
      <c r="H510" s="453"/>
      <c r="I510" s="453"/>
      <c r="J510" s="453"/>
      <c r="K510" s="453"/>
      <c r="L510" s="453"/>
      <c r="M510" s="453"/>
      <c r="N510" s="453"/>
      <c r="O510" s="453"/>
      <c r="P510" s="453"/>
      <c r="Q510" s="453"/>
      <c r="R510" s="550"/>
      <c r="S510" s="453"/>
      <c r="T510" s="453"/>
      <c r="U510" s="453"/>
      <c r="V510" s="453"/>
      <c r="W510" s="453"/>
      <c r="X510" s="453"/>
      <c r="Y510" s="453"/>
      <c r="Z510" s="489"/>
      <c r="AA510" s="489"/>
      <c r="AB510" s="490"/>
      <c r="AC510" s="453"/>
      <c r="AD510" s="453"/>
      <c r="AE510" s="453"/>
      <c r="AF510" s="453">
        <v>80000</v>
      </c>
      <c r="AG510" s="453"/>
      <c r="AH510" s="453"/>
      <c r="AI510" s="453"/>
      <c r="AJ510" s="453"/>
      <c r="AK510" s="453"/>
      <c r="AL510" s="453"/>
      <c r="AM510" s="453"/>
      <c r="AN510" s="453"/>
      <c r="AO510" s="453"/>
      <c r="AP510" s="453"/>
      <c r="AQ510" s="453"/>
      <c r="AR510" s="453"/>
      <c r="AS510" s="453"/>
      <c r="AT510" s="453"/>
      <c r="AU510" s="453"/>
      <c r="AV510" s="453"/>
      <c r="AW510" s="453"/>
      <c r="AX510" s="453"/>
      <c r="AY510" s="453"/>
      <c r="AZ510" s="453"/>
      <c r="BA510" s="532"/>
      <c r="BB510" s="502"/>
      <c r="BC510" s="503"/>
      <c r="BD510" s="453"/>
      <c r="BE510" s="453"/>
      <c r="BF510" s="470"/>
      <c r="BG510" s="453"/>
      <c r="BH510" s="453"/>
      <c r="BI510" s="453"/>
      <c r="BJ510" s="453"/>
      <c r="BK510" s="453"/>
      <c r="BL510" s="453"/>
      <c r="BM510" s="502"/>
      <c r="BN510" s="490"/>
      <c r="BO510" s="470"/>
      <c r="BP510" s="574"/>
      <c r="BQ510" s="458"/>
      <c r="BR510" s="577"/>
      <c r="BS510" s="524"/>
      <c r="BT510" s="586"/>
    </row>
    <row r="511" s="435" customFormat="1" ht="18" customHeight="1" spans="1:72">
      <c r="A511" s="451" t="s">
        <v>4032</v>
      </c>
      <c r="B511" s="543">
        <v>45155</v>
      </c>
      <c r="C511" s="581">
        <v>1000016056</v>
      </c>
      <c r="D511" s="451"/>
      <c r="E511" s="457"/>
      <c r="F511" s="453"/>
      <c r="G511" s="453"/>
      <c r="H511" s="453"/>
      <c r="I511" s="453"/>
      <c r="J511" s="453"/>
      <c r="K511" s="453"/>
      <c r="L511" s="453"/>
      <c r="M511" s="453"/>
      <c r="N511" s="453"/>
      <c r="O511" s="453"/>
      <c r="P511" s="453"/>
      <c r="Q511" s="453"/>
      <c r="R511" s="550"/>
      <c r="S511" s="453"/>
      <c r="T511" s="453"/>
      <c r="U511" s="453"/>
      <c r="V511" s="453"/>
      <c r="W511" s="453"/>
      <c r="X511" s="453"/>
      <c r="Y511" s="453"/>
      <c r="Z511" s="489"/>
      <c r="AA511" s="489"/>
      <c r="AB511" s="490"/>
      <c r="AC511" s="453"/>
      <c r="AD511" s="453"/>
      <c r="AE511" s="453"/>
      <c r="AF511" s="453"/>
      <c r="AG511" s="453"/>
      <c r="AH511" s="453"/>
      <c r="AI511" s="453"/>
      <c r="AJ511" s="453"/>
      <c r="AK511" s="453">
        <v>10000</v>
      </c>
      <c r="AL511" s="453"/>
      <c r="AM511" s="453"/>
      <c r="AN511" s="453"/>
      <c r="AO511" s="453"/>
      <c r="AP511" s="453"/>
      <c r="AQ511" s="453"/>
      <c r="AR511" s="453"/>
      <c r="AS511" s="453"/>
      <c r="AT511" s="453"/>
      <c r="AU511" s="453"/>
      <c r="AV511" s="453"/>
      <c r="AW511" s="453"/>
      <c r="AX511" s="453"/>
      <c r="AY511" s="453"/>
      <c r="AZ511" s="453"/>
      <c r="BA511" s="532"/>
      <c r="BB511" s="502"/>
      <c r="BC511" s="503"/>
      <c r="BD511" s="453"/>
      <c r="BE511" s="453"/>
      <c r="BF511" s="470"/>
      <c r="BG511" s="453"/>
      <c r="BH511" s="453"/>
      <c r="BI511" s="453"/>
      <c r="BJ511" s="453"/>
      <c r="BK511" s="453"/>
      <c r="BL511" s="453"/>
      <c r="BM511" s="502"/>
      <c r="BN511" s="490"/>
      <c r="BO511" s="470"/>
      <c r="BP511" s="574"/>
      <c r="BQ511" s="458"/>
      <c r="BR511" s="577"/>
      <c r="BS511" s="524"/>
      <c r="BT511" s="586"/>
    </row>
    <row r="512" s="435" customFormat="1" ht="18" customHeight="1" spans="1:72">
      <c r="A512" s="451" t="s">
        <v>4032</v>
      </c>
      <c r="B512" s="543">
        <v>45155</v>
      </c>
      <c r="C512" s="581">
        <v>1000016057</v>
      </c>
      <c r="D512" s="451"/>
      <c r="E512" s="457"/>
      <c r="F512" s="453"/>
      <c r="G512" s="453"/>
      <c r="H512" s="453"/>
      <c r="I512" s="453"/>
      <c r="J512" s="453"/>
      <c r="K512" s="453"/>
      <c r="L512" s="453"/>
      <c r="M512" s="453"/>
      <c r="N512" s="453"/>
      <c r="O512" s="453"/>
      <c r="P512" s="453"/>
      <c r="Q512" s="453"/>
      <c r="R512" s="550"/>
      <c r="S512" s="453"/>
      <c r="T512" s="453"/>
      <c r="U512" s="453"/>
      <c r="V512" s="453"/>
      <c r="W512" s="453"/>
      <c r="X512" s="453"/>
      <c r="Y512" s="453"/>
      <c r="Z512" s="489"/>
      <c r="AA512" s="489"/>
      <c r="AB512" s="490"/>
      <c r="AC512" s="453"/>
      <c r="AD512" s="453"/>
      <c r="AE512" s="453"/>
      <c r="AF512" s="453"/>
      <c r="AG512" s="453"/>
      <c r="AH512" s="453"/>
      <c r="AI512" s="453"/>
      <c r="AJ512" s="453"/>
      <c r="AK512" s="453"/>
      <c r="AL512" s="453"/>
      <c r="AM512" s="453"/>
      <c r="AN512" s="453"/>
      <c r="AO512" s="453"/>
      <c r="AP512" s="453"/>
      <c r="AQ512" s="453"/>
      <c r="AR512" s="453"/>
      <c r="AS512" s="453"/>
      <c r="AT512" s="453"/>
      <c r="AU512" s="453">
        <v>136000</v>
      </c>
      <c r="AV512" s="453"/>
      <c r="AW512" s="453"/>
      <c r="AX512" s="453"/>
      <c r="AY512" s="453"/>
      <c r="AZ512" s="453"/>
      <c r="BA512" s="532"/>
      <c r="BB512" s="502"/>
      <c r="BC512" s="503"/>
      <c r="BD512" s="453"/>
      <c r="BE512" s="453"/>
      <c r="BF512" s="470"/>
      <c r="BG512" s="453"/>
      <c r="BH512" s="453"/>
      <c r="BI512" s="453"/>
      <c r="BJ512" s="453"/>
      <c r="BK512" s="453"/>
      <c r="BL512" s="453"/>
      <c r="BM512" s="502"/>
      <c r="BN512" s="490"/>
      <c r="BO512" s="470"/>
      <c r="BP512" s="574"/>
      <c r="BQ512" s="458"/>
      <c r="BR512" s="577"/>
      <c r="BS512" s="524"/>
      <c r="BT512" s="586"/>
    </row>
    <row r="513" s="435" customFormat="1" ht="18" customHeight="1" spans="1:72">
      <c r="A513" s="451" t="s">
        <v>4032</v>
      </c>
      <c r="B513" s="543">
        <v>45168</v>
      </c>
      <c r="C513" s="581">
        <v>1000016194</v>
      </c>
      <c r="D513" s="451"/>
      <c r="E513" s="457"/>
      <c r="F513" s="453"/>
      <c r="G513" s="453"/>
      <c r="H513" s="453"/>
      <c r="I513" s="453"/>
      <c r="J513" s="453"/>
      <c r="K513" s="453"/>
      <c r="L513" s="453"/>
      <c r="M513" s="453"/>
      <c r="N513" s="453"/>
      <c r="O513" s="453"/>
      <c r="P513" s="453"/>
      <c r="Q513" s="453"/>
      <c r="R513" s="550"/>
      <c r="S513" s="453"/>
      <c r="T513" s="453"/>
      <c r="U513" s="453"/>
      <c r="V513" s="453"/>
      <c r="W513" s="453"/>
      <c r="X513" s="453"/>
      <c r="Y513" s="453"/>
      <c r="Z513" s="489"/>
      <c r="AA513" s="489"/>
      <c r="AB513" s="490"/>
      <c r="AC513" s="453"/>
      <c r="AD513" s="453"/>
      <c r="AE513" s="453"/>
      <c r="AF513" s="453"/>
      <c r="AG513" s="453"/>
      <c r="AH513" s="453"/>
      <c r="AI513" s="453"/>
      <c r="AJ513" s="453"/>
      <c r="AK513" s="453"/>
      <c r="AL513" s="453"/>
      <c r="AM513" s="453"/>
      <c r="AN513" s="453"/>
      <c r="AO513" s="453"/>
      <c r="AP513" s="453"/>
      <c r="AQ513" s="453"/>
      <c r="AR513" s="453"/>
      <c r="AS513" s="453"/>
      <c r="AT513" s="453"/>
      <c r="AU513" s="453"/>
      <c r="AV513" s="453"/>
      <c r="AW513" s="453"/>
      <c r="AX513" s="453">
        <v>21414</v>
      </c>
      <c r="AY513" s="453"/>
      <c r="AZ513" s="453"/>
      <c r="BA513" s="532"/>
      <c r="BB513" s="502"/>
      <c r="BC513" s="503"/>
      <c r="BD513" s="453"/>
      <c r="BE513" s="453"/>
      <c r="BF513" s="470"/>
      <c r="BG513" s="453"/>
      <c r="BH513" s="453"/>
      <c r="BI513" s="453"/>
      <c r="BJ513" s="453"/>
      <c r="BK513" s="453"/>
      <c r="BL513" s="453"/>
      <c r="BM513" s="502"/>
      <c r="BN513" s="490"/>
      <c r="BO513" s="470"/>
      <c r="BP513" s="574"/>
      <c r="BQ513" s="458"/>
      <c r="BR513" s="577"/>
      <c r="BS513" s="524"/>
      <c r="BT513" s="586" t="s">
        <v>4059</v>
      </c>
    </row>
    <row r="514" s="435" customFormat="1" ht="18" customHeight="1" spans="1:72">
      <c r="A514" s="451" t="s">
        <v>4032</v>
      </c>
      <c r="B514" s="543">
        <v>45182</v>
      </c>
      <c r="C514" s="581">
        <v>1000016356</v>
      </c>
      <c r="D514" s="451"/>
      <c r="E514" s="457"/>
      <c r="F514" s="453"/>
      <c r="G514" s="453"/>
      <c r="H514" s="453"/>
      <c r="I514" s="453"/>
      <c r="J514" s="453"/>
      <c r="K514" s="453"/>
      <c r="L514" s="453"/>
      <c r="M514" s="453"/>
      <c r="N514" s="453"/>
      <c r="O514" s="453"/>
      <c r="P514" s="453"/>
      <c r="Q514" s="453"/>
      <c r="R514" s="550"/>
      <c r="S514" s="453"/>
      <c r="T514" s="453"/>
      <c r="U514" s="453"/>
      <c r="V514" s="453"/>
      <c r="W514" s="453"/>
      <c r="X514" s="453"/>
      <c r="Y514" s="453"/>
      <c r="Z514" s="489"/>
      <c r="AA514" s="489"/>
      <c r="AB514" s="490"/>
      <c r="AC514" s="453"/>
      <c r="AD514" s="453"/>
      <c r="AE514" s="453"/>
      <c r="AF514" s="453">
        <v>10001</v>
      </c>
      <c r="AG514" s="453"/>
      <c r="AH514" s="453"/>
      <c r="AI514" s="453"/>
      <c r="AJ514" s="453"/>
      <c r="AK514" s="453"/>
      <c r="AL514" s="453"/>
      <c r="AM514" s="453"/>
      <c r="AN514" s="453"/>
      <c r="AO514" s="453"/>
      <c r="AP514" s="453"/>
      <c r="AQ514" s="453"/>
      <c r="AR514" s="453"/>
      <c r="AS514" s="453"/>
      <c r="AT514" s="453"/>
      <c r="AU514" s="453"/>
      <c r="AV514" s="453"/>
      <c r="AW514" s="453"/>
      <c r="AX514" s="453"/>
      <c r="AY514" s="453"/>
      <c r="AZ514" s="453"/>
      <c r="BA514" s="532"/>
      <c r="BB514" s="502"/>
      <c r="BC514" s="503"/>
      <c r="BD514" s="453"/>
      <c r="BE514" s="453"/>
      <c r="BF514" s="470"/>
      <c r="BG514" s="453"/>
      <c r="BH514" s="453"/>
      <c r="BI514" s="453"/>
      <c r="BJ514" s="453"/>
      <c r="BK514" s="453"/>
      <c r="BL514" s="453"/>
      <c r="BM514" s="502"/>
      <c r="BN514" s="490"/>
      <c r="BO514" s="470"/>
      <c r="BP514" s="574"/>
      <c r="BQ514" s="458"/>
      <c r="BR514" s="577"/>
      <c r="BS514" s="524"/>
      <c r="BT514" s="586"/>
    </row>
    <row r="515" s="435" customFormat="1" ht="18" customHeight="1" spans="1:72">
      <c r="A515" s="451" t="s">
        <v>4032</v>
      </c>
      <c r="B515" s="543">
        <v>45182</v>
      </c>
      <c r="C515" s="581">
        <v>1000016357</v>
      </c>
      <c r="D515" s="451"/>
      <c r="E515" s="457"/>
      <c r="F515" s="453"/>
      <c r="G515" s="453"/>
      <c r="H515" s="453"/>
      <c r="I515" s="453"/>
      <c r="J515" s="453"/>
      <c r="K515" s="453"/>
      <c r="L515" s="453"/>
      <c r="M515" s="453"/>
      <c r="N515" s="453"/>
      <c r="O515" s="453"/>
      <c r="P515" s="453"/>
      <c r="Q515" s="453"/>
      <c r="R515" s="550"/>
      <c r="S515" s="453"/>
      <c r="T515" s="453"/>
      <c r="U515" s="453"/>
      <c r="V515" s="453"/>
      <c r="W515" s="453"/>
      <c r="X515" s="453"/>
      <c r="Y515" s="453"/>
      <c r="Z515" s="489"/>
      <c r="AA515" s="489"/>
      <c r="AB515" s="490"/>
      <c r="AC515" s="453"/>
      <c r="AD515" s="453"/>
      <c r="AE515" s="453"/>
      <c r="AF515" s="453"/>
      <c r="AG515" s="453"/>
      <c r="AH515" s="453"/>
      <c r="AI515" s="453"/>
      <c r="AJ515" s="453"/>
      <c r="AK515" s="453">
        <v>15000</v>
      </c>
      <c r="AL515" s="453"/>
      <c r="AM515" s="453"/>
      <c r="AN515" s="453"/>
      <c r="AO515" s="453"/>
      <c r="AP515" s="453"/>
      <c r="AQ515" s="453"/>
      <c r="AR515" s="453"/>
      <c r="AS515" s="453"/>
      <c r="AT515" s="453"/>
      <c r="AU515" s="453"/>
      <c r="AV515" s="453"/>
      <c r="AW515" s="453"/>
      <c r="AX515" s="453"/>
      <c r="AY515" s="453"/>
      <c r="AZ515" s="453"/>
      <c r="BA515" s="532"/>
      <c r="BB515" s="502"/>
      <c r="BC515" s="503"/>
      <c r="BD515" s="453"/>
      <c r="BE515" s="453"/>
      <c r="BF515" s="470"/>
      <c r="BG515" s="453"/>
      <c r="BH515" s="453"/>
      <c r="BI515" s="453"/>
      <c r="BJ515" s="453"/>
      <c r="BK515" s="453"/>
      <c r="BL515" s="453"/>
      <c r="BM515" s="502"/>
      <c r="BN515" s="490"/>
      <c r="BO515" s="470"/>
      <c r="BP515" s="574"/>
      <c r="BQ515" s="458"/>
      <c r="BR515" s="577"/>
      <c r="BS515" s="524"/>
      <c r="BT515" s="586"/>
    </row>
    <row r="516" s="435" customFormat="1" ht="18" customHeight="1" spans="1:72">
      <c r="A516" s="451" t="s">
        <v>4032</v>
      </c>
      <c r="B516" s="543">
        <v>45182</v>
      </c>
      <c r="C516" s="581">
        <v>1000016358</v>
      </c>
      <c r="D516" s="451"/>
      <c r="E516" s="457"/>
      <c r="F516" s="453"/>
      <c r="G516" s="453"/>
      <c r="H516" s="453"/>
      <c r="I516" s="453"/>
      <c r="J516" s="453"/>
      <c r="K516" s="453"/>
      <c r="L516" s="453"/>
      <c r="M516" s="453"/>
      <c r="N516" s="453"/>
      <c r="O516" s="453"/>
      <c r="P516" s="453"/>
      <c r="Q516" s="453"/>
      <c r="R516" s="550"/>
      <c r="S516" s="453"/>
      <c r="T516" s="453"/>
      <c r="U516" s="453"/>
      <c r="V516" s="453"/>
      <c r="W516" s="453"/>
      <c r="X516" s="453"/>
      <c r="Y516" s="453"/>
      <c r="Z516" s="489"/>
      <c r="AA516" s="489"/>
      <c r="AB516" s="490"/>
      <c r="AC516" s="453"/>
      <c r="AD516" s="453"/>
      <c r="AE516" s="453"/>
      <c r="AF516" s="453"/>
      <c r="AG516" s="453"/>
      <c r="AH516" s="453"/>
      <c r="AI516" s="453"/>
      <c r="AJ516" s="453"/>
      <c r="AK516" s="453"/>
      <c r="AL516" s="453"/>
      <c r="AM516" s="453"/>
      <c r="AN516" s="453"/>
      <c r="AO516" s="453"/>
      <c r="AP516" s="453"/>
      <c r="AQ516" s="453"/>
      <c r="AR516" s="453"/>
      <c r="AS516" s="453"/>
      <c r="AT516" s="453"/>
      <c r="AU516" s="453">
        <v>40000</v>
      </c>
      <c r="AV516" s="453"/>
      <c r="AW516" s="453"/>
      <c r="AX516" s="453"/>
      <c r="AY516" s="453"/>
      <c r="AZ516" s="453"/>
      <c r="BA516" s="532"/>
      <c r="BB516" s="502"/>
      <c r="BC516" s="503"/>
      <c r="BD516" s="453"/>
      <c r="BE516" s="453"/>
      <c r="BF516" s="470"/>
      <c r="BG516" s="453"/>
      <c r="BH516" s="453"/>
      <c r="BI516" s="453"/>
      <c r="BJ516" s="453"/>
      <c r="BK516" s="453"/>
      <c r="BL516" s="453"/>
      <c r="BM516" s="502"/>
      <c r="BN516" s="490"/>
      <c r="BO516" s="470"/>
      <c r="BP516" s="574"/>
      <c r="BQ516" s="458"/>
      <c r="BR516" s="577"/>
      <c r="BS516" s="524"/>
      <c r="BT516" s="586"/>
    </row>
    <row r="517" s="435" customFormat="1" ht="18" customHeight="1" spans="1:72">
      <c r="A517" s="451" t="s">
        <v>4032</v>
      </c>
      <c r="B517" s="543">
        <v>45182</v>
      </c>
      <c r="C517" s="534">
        <v>1000016351</v>
      </c>
      <c r="D517" s="451"/>
      <c r="E517" s="457"/>
      <c r="F517" s="453"/>
      <c r="G517" s="453"/>
      <c r="H517" s="453"/>
      <c r="I517" s="453"/>
      <c r="J517" s="453"/>
      <c r="K517" s="453"/>
      <c r="L517" s="453">
        <v>6000</v>
      </c>
      <c r="M517" s="453"/>
      <c r="N517" s="453"/>
      <c r="O517" s="453"/>
      <c r="P517" s="453"/>
      <c r="Q517" s="453"/>
      <c r="R517" s="550"/>
      <c r="S517" s="453"/>
      <c r="T517" s="453"/>
      <c r="U517" s="453"/>
      <c r="V517" s="453"/>
      <c r="W517" s="453"/>
      <c r="X517" s="453"/>
      <c r="Y517" s="453"/>
      <c r="Z517" s="489"/>
      <c r="AA517" s="489"/>
      <c r="AB517" s="490"/>
      <c r="AC517" s="453"/>
      <c r="AD517" s="453"/>
      <c r="AE517" s="453"/>
      <c r="AF517" s="453"/>
      <c r="AG517" s="453"/>
      <c r="AH517" s="453"/>
      <c r="AI517" s="453"/>
      <c r="AJ517" s="453"/>
      <c r="AK517" s="453"/>
      <c r="AL517" s="453"/>
      <c r="AM517" s="453"/>
      <c r="AN517" s="453"/>
      <c r="AO517" s="453"/>
      <c r="AP517" s="453"/>
      <c r="AQ517" s="453"/>
      <c r="AR517" s="453"/>
      <c r="AS517" s="453"/>
      <c r="AT517" s="453"/>
      <c r="AU517" s="453"/>
      <c r="AV517" s="453"/>
      <c r="AW517" s="453"/>
      <c r="AX517" s="453"/>
      <c r="AY517" s="453"/>
      <c r="AZ517" s="453"/>
      <c r="BA517" s="532"/>
      <c r="BB517" s="502"/>
      <c r="BC517" s="503"/>
      <c r="BD517" s="453"/>
      <c r="BE517" s="453"/>
      <c r="BF517" s="470"/>
      <c r="BG517" s="453"/>
      <c r="BH517" s="453"/>
      <c r="BI517" s="453"/>
      <c r="BJ517" s="453"/>
      <c r="BK517" s="453"/>
      <c r="BL517" s="453"/>
      <c r="BM517" s="502"/>
      <c r="BN517" s="490"/>
      <c r="BO517" s="470"/>
      <c r="BP517" s="574"/>
      <c r="BQ517" s="458"/>
      <c r="BR517" s="577"/>
      <c r="BS517" s="524"/>
      <c r="BT517" s="586"/>
    </row>
    <row r="518" s="435" customFormat="1" ht="18" customHeight="1" spans="1:72">
      <c r="A518" s="451" t="s">
        <v>4032</v>
      </c>
      <c r="B518" s="543">
        <v>45219</v>
      </c>
      <c r="C518" s="534">
        <v>1000016818</v>
      </c>
      <c r="D518" s="587" t="s">
        <v>4060</v>
      </c>
      <c r="E518" s="457" t="s">
        <v>2051</v>
      </c>
      <c r="F518" s="453"/>
      <c r="G518" s="453"/>
      <c r="H518" s="453"/>
      <c r="I518" s="453"/>
      <c r="J518" s="453"/>
      <c r="K518" s="453"/>
      <c r="L518" s="453"/>
      <c r="M518" s="453"/>
      <c r="N518" s="453"/>
      <c r="O518" s="453"/>
      <c r="P518" s="453"/>
      <c r="Q518" s="453"/>
      <c r="R518" s="550"/>
      <c r="S518" s="453"/>
      <c r="T518" s="453"/>
      <c r="U518" s="453"/>
      <c r="V518" s="453"/>
      <c r="W518" s="453"/>
      <c r="X518" s="453"/>
      <c r="Y518" s="453"/>
      <c r="Z518" s="489"/>
      <c r="AA518" s="489"/>
      <c r="AB518" s="490"/>
      <c r="AC518" s="453"/>
      <c r="AD518" s="453"/>
      <c r="AE518" s="453"/>
      <c r="AF518" s="453"/>
      <c r="AG518" s="453"/>
      <c r="AH518" s="453"/>
      <c r="AI518" s="453"/>
      <c r="AJ518" s="453"/>
      <c r="AK518" s="453"/>
      <c r="AL518" s="453"/>
      <c r="AM518" s="453"/>
      <c r="AN518" s="453"/>
      <c r="AO518" s="453"/>
      <c r="AP518" s="453"/>
      <c r="AQ518" s="453"/>
      <c r="AR518" s="453"/>
      <c r="AS518" s="453"/>
      <c r="AT518" s="453"/>
      <c r="AU518" s="453"/>
      <c r="AV518" s="453"/>
      <c r="AW518" s="453"/>
      <c r="AX518" s="453"/>
      <c r="AY518" s="453"/>
      <c r="AZ518" s="453">
        <v>13440</v>
      </c>
      <c r="BA518" s="532"/>
      <c r="BB518" s="502"/>
      <c r="BC518" s="503"/>
      <c r="BD518" s="453"/>
      <c r="BE518" s="453"/>
      <c r="BF518" s="470"/>
      <c r="BG518" s="453"/>
      <c r="BH518" s="453"/>
      <c r="BI518" s="453"/>
      <c r="BJ518" s="453"/>
      <c r="BK518" s="453"/>
      <c r="BL518" s="453"/>
      <c r="BM518" s="502"/>
      <c r="BN518" s="490"/>
      <c r="BO518" s="470"/>
      <c r="BP518" s="574"/>
      <c r="BQ518" s="458"/>
      <c r="BR518" s="577"/>
      <c r="BS518" s="524"/>
      <c r="BT518" s="586" t="s">
        <v>4061</v>
      </c>
    </row>
    <row r="519" s="435" customFormat="1" ht="18" customHeight="1" spans="1:72">
      <c r="A519" s="451" t="s">
        <v>4032</v>
      </c>
      <c r="B519" s="543">
        <v>45219</v>
      </c>
      <c r="C519" s="534">
        <v>1000016819</v>
      </c>
      <c r="D519" s="587" t="s">
        <v>4060</v>
      </c>
      <c r="E519" s="457" t="s">
        <v>2062</v>
      </c>
      <c r="F519" s="453"/>
      <c r="G519" s="453"/>
      <c r="H519" s="453"/>
      <c r="I519" s="453"/>
      <c r="J519" s="453"/>
      <c r="K519" s="453"/>
      <c r="L519" s="453"/>
      <c r="M519" s="453"/>
      <c r="N519" s="453"/>
      <c r="O519" s="453"/>
      <c r="P519" s="453"/>
      <c r="Q519" s="453"/>
      <c r="R519" s="550"/>
      <c r="S519" s="453"/>
      <c r="T519" s="453"/>
      <c r="U519" s="453"/>
      <c r="V519" s="453"/>
      <c r="W519" s="453"/>
      <c r="X519" s="453"/>
      <c r="Y519" s="453"/>
      <c r="Z519" s="489"/>
      <c r="AA519" s="489"/>
      <c r="AB519" s="490"/>
      <c r="AC519" s="453"/>
      <c r="AD519" s="453"/>
      <c r="AE519" s="453"/>
      <c r="AF519" s="453"/>
      <c r="AG519" s="453"/>
      <c r="AH519" s="453"/>
      <c r="AI519" s="453"/>
      <c r="AJ519" s="453"/>
      <c r="AK519" s="453"/>
      <c r="AL519" s="453"/>
      <c r="AM519" s="453"/>
      <c r="AN519" s="453"/>
      <c r="AO519" s="453"/>
      <c r="AP519" s="453"/>
      <c r="AQ519" s="453"/>
      <c r="AR519" s="453"/>
      <c r="AS519" s="453"/>
      <c r="AT519" s="453"/>
      <c r="AU519" s="453"/>
      <c r="AV519" s="453"/>
      <c r="AW519" s="453"/>
      <c r="AX519" s="453"/>
      <c r="AY519" s="453"/>
      <c r="AZ519" s="453"/>
      <c r="BA519" s="532"/>
      <c r="BB519" s="502">
        <v>11520</v>
      </c>
      <c r="BC519" s="503"/>
      <c r="BD519" s="453"/>
      <c r="BE519" s="453"/>
      <c r="BF519" s="470"/>
      <c r="BG519" s="453"/>
      <c r="BH519" s="453"/>
      <c r="BI519" s="453"/>
      <c r="BJ519" s="453"/>
      <c r="BK519" s="453"/>
      <c r="BL519" s="453"/>
      <c r="BM519" s="502"/>
      <c r="BN519" s="490"/>
      <c r="BO519" s="470"/>
      <c r="BP519" s="574"/>
      <c r="BQ519" s="458"/>
      <c r="BR519" s="577"/>
      <c r="BS519" s="524"/>
      <c r="BT519" s="586" t="s">
        <v>4061</v>
      </c>
    </row>
    <row r="520" s="435" customFormat="1" ht="18" customHeight="1" spans="1:72">
      <c r="A520" s="451" t="s">
        <v>4032</v>
      </c>
      <c r="B520" s="543">
        <v>45224</v>
      </c>
      <c r="C520" s="534">
        <v>1000016883</v>
      </c>
      <c r="D520" s="587" t="s">
        <v>4062</v>
      </c>
      <c r="E520" s="588">
        <v>25282</v>
      </c>
      <c r="F520" s="453"/>
      <c r="G520" s="453"/>
      <c r="H520" s="453"/>
      <c r="I520" s="453"/>
      <c r="J520" s="453"/>
      <c r="K520" s="453"/>
      <c r="L520" s="453"/>
      <c r="M520" s="453"/>
      <c r="N520" s="453"/>
      <c r="O520" s="453"/>
      <c r="P520" s="453"/>
      <c r="Q520" s="453"/>
      <c r="R520" s="550"/>
      <c r="S520" s="453"/>
      <c r="T520" s="453"/>
      <c r="U520" s="453"/>
      <c r="V520" s="453"/>
      <c r="W520" s="453"/>
      <c r="X520" s="453"/>
      <c r="Y520" s="453"/>
      <c r="Z520" s="489"/>
      <c r="AA520" s="489"/>
      <c r="AB520" s="490"/>
      <c r="AC520" s="453"/>
      <c r="AD520" s="453"/>
      <c r="AE520" s="453"/>
      <c r="AF520" s="453">
        <v>50000</v>
      </c>
      <c r="AG520" s="453"/>
      <c r="AH520" s="453"/>
      <c r="AI520" s="453"/>
      <c r="AJ520" s="453"/>
      <c r="AK520" s="453"/>
      <c r="AL520" s="453"/>
      <c r="AM520" s="453"/>
      <c r="AN520" s="453"/>
      <c r="AO520" s="453"/>
      <c r="AP520" s="453"/>
      <c r="AQ520" s="453"/>
      <c r="AR520" s="453"/>
      <c r="AS520" s="453"/>
      <c r="AT520" s="453"/>
      <c r="AU520" s="453"/>
      <c r="AV520" s="453"/>
      <c r="AW520" s="453"/>
      <c r="AX520" s="453"/>
      <c r="AY520" s="453"/>
      <c r="AZ520" s="453"/>
      <c r="BA520" s="532"/>
      <c r="BB520" s="502"/>
      <c r="BC520" s="503"/>
      <c r="BD520" s="453"/>
      <c r="BE520" s="453"/>
      <c r="BF520" s="470"/>
      <c r="BG520" s="453"/>
      <c r="BH520" s="453"/>
      <c r="BI520" s="453"/>
      <c r="BJ520" s="453"/>
      <c r="BK520" s="453"/>
      <c r="BL520" s="453"/>
      <c r="BM520" s="502"/>
      <c r="BN520" s="490"/>
      <c r="BO520" s="470"/>
      <c r="BP520" s="574"/>
      <c r="BQ520" s="458"/>
      <c r="BR520" s="577"/>
      <c r="BS520" s="524"/>
      <c r="BT520" s="586"/>
    </row>
    <row r="521" s="435" customFormat="1" ht="18" customHeight="1" spans="1:72">
      <c r="A521" s="451" t="s">
        <v>4032</v>
      </c>
      <c r="B521" s="543">
        <v>45224</v>
      </c>
      <c r="C521" s="534">
        <v>1000016884</v>
      </c>
      <c r="D521" s="587" t="s">
        <v>4062</v>
      </c>
      <c r="E521" s="588">
        <v>25282</v>
      </c>
      <c r="F521" s="453"/>
      <c r="G521" s="453"/>
      <c r="H521" s="453"/>
      <c r="I521" s="453"/>
      <c r="J521" s="453"/>
      <c r="K521" s="453"/>
      <c r="L521" s="453"/>
      <c r="M521" s="453"/>
      <c r="N521" s="453"/>
      <c r="O521" s="453"/>
      <c r="P521" s="453"/>
      <c r="Q521" s="453"/>
      <c r="R521" s="550"/>
      <c r="S521" s="453"/>
      <c r="T521" s="453"/>
      <c r="U521" s="453"/>
      <c r="V521" s="453"/>
      <c r="W521" s="453"/>
      <c r="X521" s="453"/>
      <c r="Y521" s="453"/>
      <c r="Z521" s="489"/>
      <c r="AA521" s="489"/>
      <c r="AB521" s="490"/>
      <c r="AC521" s="453"/>
      <c r="AD521" s="453"/>
      <c r="AE521" s="453"/>
      <c r="AF521" s="453"/>
      <c r="AG521" s="453"/>
      <c r="AH521" s="453"/>
      <c r="AI521" s="453"/>
      <c r="AJ521" s="453"/>
      <c r="AK521" s="453">
        <v>5001</v>
      </c>
      <c r="AL521" s="453"/>
      <c r="AM521" s="453"/>
      <c r="AN521" s="453"/>
      <c r="AO521" s="453"/>
      <c r="AP521" s="453"/>
      <c r="AQ521" s="453"/>
      <c r="AR521" s="453"/>
      <c r="AS521" s="453"/>
      <c r="AT521" s="453"/>
      <c r="AU521" s="453"/>
      <c r="AV521" s="453"/>
      <c r="AW521" s="453"/>
      <c r="AX521" s="453"/>
      <c r="AY521" s="453"/>
      <c r="AZ521" s="453"/>
      <c r="BA521" s="532"/>
      <c r="BB521" s="502"/>
      <c r="BC521" s="503"/>
      <c r="BD521" s="453"/>
      <c r="BE521" s="453"/>
      <c r="BF521" s="470"/>
      <c r="BG521" s="453"/>
      <c r="BH521" s="453"/>
      <c r="BI521" s="453"/>
      <c r="BJ521" s="453"/>
      <c r="BK521" s="453"/>
      <c r="BL521" s="453"/>
      <c r="BM521" s="502"/>
      <c r="BN521" s="490"/>
      <c r="BO521" s="470"/>
      <c r="BP521" s="574"/>
      <c r="BQ521" s="458"/>
      <c r="BR521" s="577"/>
      <c r="BS521" s="524"/>
      <c r="BT521" s="586"/>
    </row>
    <row r="522" s="435" customFormat="1" ht="18" customHeight="1" spans="1:72">
      <c r="A522" s="451" t="s">
        <v>4032</v>
      </c>
      <c r="B522" s="543">
        <v>45224</v>
      </c>
      <c r="C522" s="534">
        <v>1000016885</v>
      </c>
      <c r="D522" s="587" t="s">
        <v>4062</v>
      </c>
      <c r="E522" s="588">
        <v>25282</v>
      </c>
      <c r="F522" s="453"/>
      <c r="G522" s="453"/>
      <c r="H522" s="453"/>
      <c r="I522" s="453"/>
      <c r="J522" s="453"/>
      <c r="K522" s="453"/>
      <c r="L522" s="453"/>
      <c r="M522" s="453"/>
      <c r="N522" s="453"/>
      <c r="O522" s="453"/>
      <c r="P522" s="453"/>
      <c r="Q522" s="453"/>
      <c r="R522" s="550"/>
      <c r="S522" s="453"/>
      <c r="T522" s="453"/>
      <c r="U522" s="453"/>
      <c r="V522" s="453"/>
      <c r="W522" s="453"/>
      <c r="X522" s="453"/>
      <c r="Y522" s="453"/>
      <c r="Z522" s="489"/>
      <c r="AA522" s="489"/>
      <c r="AB522" s="490"/>
      <c r="AC522" s="453"/>
      <c r="AD522" s="453"/>
      <c r="AE522" s="453"/>
      <c r="AF522" s="453"/>
      <c r="AG522" s="453"/>
      <c r="AH522" s="453"/>
      <c r="AI522" s="453"/>
      <c r="AJ522" s="453"/>
      <c r="AK522" s="453"/>
      <c r="AL522" s="453"/>
      <c r="AM522" s="453"/>
      <c r="AN522" s="453"/>
      <c r="AO522" s="453"/>
      <c r="AP522" s="453"/>
      <c r="AQ522" s="453"/>
      <c r="AR522" s="453"/>
      <c r="AS522" s="453"/>
      <c r="AT522" s="453"/>
      <c r="AU522" s="453">
        <v>120000</v>
      </c>
      <c r="AV522" s="453"/>
      <c r="AW522" s="453"/>
      <c r="AX522" s="453"/>
      <c r="AY522" s="453"/>
      <c r="AZ522" s="453"/>
      <c r="BA522" s="532"/>
      <c r="BB522" s="502"/>
      <c r="BC522" s="503"/>
      <c r="BD522" s="453"/>
      <c r="BE522" s="453"/>
      <c r="BF522" s="470"/>
      <c r="BG522" s="453"/>
      <c r="BH522" s="453"/>
      <c r="BI522" s="453"/>
      <c r="BJ522" s="453"/>
      <c r="BK522" s="453"/>
      <c r="BL522" s="453"/>
      <c r="BM522" s="502"/>
      <c r="BN522" s="490"/>
      <c r="BO522" s="470"/>
      <c r="BP522" s="574"/>
      <c r="BQ522" s="458"/>
      <c r="BR522" s="577"/>
      <c r="BS522" s="524"/>
      <c r="BT522" s="586"/>
    </row>
    <row r="523" s="435" customFormat="1" ht="18" customHeight="1" spans="1:72">
      <c r="A523" s="451" t="s">
        <v>4032</v>
      </c>
      <c r="B523" s="543">
        <v>45224</v>
      </c>
      <c r="C523" s="581">
        <v>1000016877</v>
      </c>
      <c r="D523" s="587"/>
      <c r="E523" s="457"/>
      <c r="F523" s="453"/>
      <c r="G523" s="453"/>
      <c r="H523" s="453"/>
      <c r="I523" s="453"/>
      <c r="J523" s="453"/>
      <c r="K523" s="453"/>
      <c r="L523" s="550">
        <v>1001</v>
      </c>
      <c r="M523" s="453"/>
      <c r="N523" s="453"/>
      <c r="O523" s="453"/>
      <c r="P523" s="453"/>
      <c r="Q523" s="453"/>
      <c r="R523" s="550"/>
      <c r="S523" s="453"/>
      <c r="T523" s="453"/>
      <c r="U523" s="453"/>
      <c r="V523" s="453"/>
      <c r="W523" s="453"/>
      <c r="X523" s="453"/>
      <c r="Y523" s="453"/>
      <c r="Z523" s="489"/>
      <c r="AA523" s="489"/>
      <c r="AB523" s="490"/>
      <c r="AC523" s="453"/>
      <c r="AD523" s="453"/>
      <c r="AE523" s="453"/>
      <c r="AF523" s="453"/>
      <c r="AG523" s="453"/>
      <c r="AH523" s="453"/>
      <c r="AI523" s="453"/>
      <c r="AJ523" s="453"/>
      <c r="AK523" s="453"/>
      <c r="AL523" s="453"/>
      <c r="AM523" s="453"/>
      <c r="AN523" s="453"/>
      <c r="AO523" s="453"/>
      <c r="AP523" s="453"/>
      <c r="AQ523" s="453"/>
      <c r="AR523" s="453"/>
      <c r="AS523" s="453"/>
      <c r="AT523" s="453"/>
      <c r="AU523" s="453"/>
      <c r="AV523" s="453"/>
      <c r="AW523" s="453"/>
      <c r="AX523" s="453"/>
      <c r="AY523" s="453"/>
      <c r="AZ523" s="453"/>
      <c r="BA523" s="532"/>
      <c r="BB523" s="502"/>
      <c r="BC523" s="503"/>
      <c r="BD523" s="453"/>
      <c r="BE523" s="453"/>
      <c r="BF523" s="470"/>
      <c r="BG523" s="453"/>
      <c r="BH523" s="453"/>
      <c r="BI523" s="453"/>
      <c r="BJ523" s="453"/>
      <c r="BK523" s="453"/>
      <c r="BL523" s="453"/>
      <c r="BM523" s="502"/>
      <c r="BN523" s="490"/>
      <c r="BO523" s="470"/>
      <c r="BP523" s="574"/>
      <c r="BQ523" s="458"/>
      <c r="BR523" s="577"/>
      <c r="BS523" s="524"/>
      <c r="BT523" s="586"/>
    </row>
    <row r="524" s="435" customFormat="1" ht="18" customHeight="1" spans="1:72">
      <c r="A524" s="451" t="s">
        <v>4032</v>
      </c>
      <c r="B524" s="543">
        <v>45224</v>
      </c>
      <c r="C524" s="581">
        <v>1000016878</v>
      </c>
      <c r="D524" s="587"/>
      <c r="E524" s="457"/>
      <c r="F524" s="453"/>
      <c r="G524" s="453"/>
      <c r="H524" s="453"/>
      <c r="I524" s="453"/>
      <c r="J524" s="453"/>
      <c r="K524" s="453"/>
      <c r="L524" s="453"/>
      <c r="M524" s="453"/>
      <c r="N524" s="453"/>
      <c r="O524" s="453"/>
      <c r="P524" s="453"/>
      <c r="Q524" s="453"/>
      <c r="R524" s="550"/>
      <c r="S524" s="550">
        <v>9000</v>
      </c>
      <c r="T524" s="550"/>
      <c r="U524" s="550"/>
      <c r="V524" s="550"/>
      <c r="W524" s="550"/>
      <c r="X524" s="550"/>
      <c r="Y524" s="550"/>
      <c r="Z524" s="583"/>
      <c r="AA524" s="583"/>
      <c r="AB524" s="490"/>
      <c r="AC524" s="453"/>
      <c r="AD524" s="453"/>
      <c r="AE524" s="453"/>
      <c r="AF524" s="453"/>
      <c r="AG524" s="453"/>
      <c r="AH524" s="453"/>
      <c r="AI524" s="453"/>
      <c r="AJ524" s="453"/>
      <c r="AK524" s="453"/>
      <c r="AL524" s="453"/>
      <c r="AM524" s="453"/>
      <c r="AN524" s="453"/>
      <c r="AO524" s="453"/>
      <c r="AP524" s="453"/>
      <c r="AQ524" s="453"/>
      <c r="AR524" s="453"/>
      <c r="AS524" s="453"/>
      <c r="AT524" s="453"/>
      <c r="AU524" s="453"/>
      <c r="AV524" s="453"/>
      <c r="AW524" s="453"/>
      <c r="AX524" s="453"/>
      <c r="AY524" s="453"/>
      <c r="AZ524" s="453"/>
      <c r="BA524" s="532"/>
      <c r="BB524" s="502"/>
      <c r="BC524" s="503"/>
      <c r="BD524" s="453"/>
      <c r="BE524" s="453"/>
      <c r="BF524" s="470"/>
      <c r="BG524" s="453"/>
      <c r="BH524" s="453"/>
      <c r="BI524" s="453"/>
      <c r="BJ524" s="453"/>
      <c r="BK524" s="453"/>
      <c r="BL524" s="453"/>
      <c r="BM524" s="502"/>
      <c r="BN524" s="490"/>
      <c r="BO524" s="470"/>
      <c r="BP524" s="574"/>
      <c r="BQ524" s="458"/>
      <c r="BR524" s="577"/>
      <c r="BS524" s="524"/>
      <c r="BT524" s="586"/>
    </row>
    <row r="525" s="435" customFormat="1" ht="18" customHeight="1" spans="1:72">
      <c r="A525" s="451" t="s">
        <v>4032</v>
      </c>
      <c r="B525" s="543">
        <v>45232</v>
      </c>
      <c r="C525" s="581">
        <v>1000017040</v>
      </c>
      <c r="D525" s="451"/>
      <c r="E525" s="457"/>
      <c r="F525" s="453"/>
      <c r="G525" s="453"/>
      <c r="H525" s="453"/>
      <c r="I525" s="453"/>
      <c r="J525" s="453"/>
      <c r="K525" s="453"/>
      <c r="L525" s="453"/>
      <c r="M525" s="453"/>
      <c r="N525" s="453"/>
      <c r="O525" s="453"/>
      <c r="P525" s="453"/>
      <c r="Q525" s="453"/>
      <c r="R525" s="550"/>
      <c r="S525" s="453"/>
      <c r="T525" s="453"/>
      <c r="U525" s="453">
        <v>9846</v>
      </c>
      <c r="V525" s="453"/>
      <c r="W525" s="453"/>
      <c r="X525" s="453"/>
      <c r="Y525" s="453"/>
      <c r="Z525" s="489"/>
      <c r="AA525" s="489"/>
      <c r="AB525" s="490"/>
      <c r="AC525" s="453"/>
      <c r="AD525" s="453"/>
      <c r="AE525" s="453"/>
      <c r="AF525" s="453"/>
      <c r="AG525" s="453"/>
      <c r="AH525" s="453"/>
      <c r="AI525" s="453"/>
      <c r="AJ525" s="453"/>
      <c r="AK525" s="453"/>
      <c r="AL525" s="453"/>
      <c r="AM525" s="453"/>
      <c r="AN525" s="453"/>
      <c r="AO525" s="453"/>
      <c r="AP525" s="453"/>
      <c r="AQ525" s="453"/>
      <c r="AR525" s="453"/>
      <c r="AS525" s="453"/>
      <c r="AT525" s="453"/>
      <c r="AU525" s="453"/>
      <c r="AV525" s="453"/>
      <c r="AW525" s="453"/>
      <c r="AX525" s="453"/>
      <c r="AY525" s="453"/>
      <c r="AZ525" s="453"/>
      <c r="BA525" s="532"/>
      <c r="BB525" s="502"/>
      <c r="BC525" s="503"/>
      <c r="BD525" s="453"/>
      <c r="BE525" s="453"/>
      <c r="BF525" s="470"/>
      <c r="BG525" s="453"/>
      <c r="BH525" s="453"/>
      <c r="BI525" s="453"/>
      <c r="BJ525" s="453"/>
      <c r="BK525" s="453"/>
      <c r="BL525" s="453"/>
      <c r="BM525" s="502"/>
      <c r="BN525" s="490"/>
      <c r="BO525" s="470"/>
      <c r="BP525" s="574"/>
      <c r="BQ525" s="458"/>
      <c r="BR525" s="577"/>
      <c r="BS525" s="524"/>
      <c r="BT525" s="586"/>
    </row>
    <row r="526" s="435" customFormat="1" ht="18" customHeight="1" spans="1:72">
      <c r="A526" s="451" t="s">
        <v>4032</v>
      </c>
      <c r="B526" s="543">
        <v>45233</v>
      </c>
      <c r="C526" s="581">
        <v>1000017065</v>
      </c>
      <c r="D526" s="451"/>
      <c r="E526" s="457"/>
      <c r="F526" s="453"/>
      <c r="G526" s="453"/>
      <c r="H526" s="453"/>
      <c r="I526" s="453"/>
      <c r="J526" s="453"/>
      <c r="K526" s="453"/>
      <c r="L526" s="453">
        <v>5001</v>
      </c>
      <c r="M526" s="453"/>
      <c r="N526" s="453"/>
      <c r="O526" s="453"/>
      <c r="P526" s="453"/>
      <c r="Q526" s="453"/>
      <c r="R526" s="550"/>
      <c r="S526" s="453"/>
      <c r="T526" s="453"/>
      <c r="U526" s="453"/>
      <c r="V526" s="453"/>
      <c r="W526" s="453"/>
      <c r="X526" s="453"/>
      <c r="Y526" s="453"/>
      <c r="Z526" s="489"/>
      <c r="AA526" s="489"/>
      <c r="AB526" s="490"/>
      <c r="AC526" s="453"/>
      <c r="AD526" s="453"/>
      <c r="AE526" s="453"/>
      <c r="AF526" s="453"/>
      <c r="AG526" s="453"/>
      <c r="AH526" s="453"/>
      <c r="AI526" s="453"/>
      <c r="AJ526" s="453"/>
      <c r="AK526" s="453"/>
      <c r="AL526" s="453"/>
      <c r="AM526" s="453"/>
      <c r="AN526" s="453"/>
      <c r="AO526" s="453"/>
      <c r="AP526" s="453"/>
      <c r="AQ526" s="453"/>
      <c r="AR526" s="453"/>
      <c r="AS526" s="453"/>
      <c r="AT526" s="453"/>
      <c r="AU526" s="453"/>
      <c r="AV526" s="453"/>
      <c r="AW526" s="453"/>
      <c r="AX526" s="453"/>
      <c r="AY526" s="453"/>
      <c r="AZ526" s="453"/>
      <c r="BA526" s="532"/>
      <c r="BB526" s="502"/>
      <c r="BC526" s="503"/>
      <c r="BD526" s="453"/>
      <c r="BE526" s="453"/>
      <c r="BF526" s="470"/>
      <c r="BG526" s="453"/>
      <c r="BH526" s="453"/>
      <c r="BI526" s="453"/>
      <c r="BJ526" s="453"/>
      <c r="BK526" s="453"/>
      <c r="BL526" s="453"/>
      <c r="BM526" s="502"/>
      <c r="BN526" s="490"/>
      <c r="BO526" s="470"/>
      <c r="BP526" s="574"/>
      <c r="BQ526" s="458"/>
      <c r="BR526" s="577"/>
      <c r="BS526" s="524"/>
      <c r="BT526" s="586"/>
    </row>
    <row r="527" s="435" customFormat="1" ht="18" customHeight="1" spans="1:72">
      <c r="A527" s="451" t="s">
        <v>4032</v>
      </c>
      <c r="B527" s="543">
        <v>45233</v>
      </c>
      <c r="C527" s="581">
        <v>1000017066</v>
      </c>
      <c r="D527" s="451"/>
      <c r="E527" s="457"/>
      <c r="F527" s="453"/>
      <c r="G527" s="453"/>
      <c r="H527" s="453"/>
      <c r="I527" s="453"/>
      <c r="J527" s="453"/>
      <c r="K527" s="453"/>
      <c r="L527" s="453"/>
      <c r="M527" s="453">
        <v>1500</v>
      </c>
      <c r="N527" s="453"/>
      <c r="O527" s="453"/>
      <c r="P527" s="453"/>
      <c r="Q527" s="453"/>
      <c r="R527" s="550"/>
      <c r="S527" s="453"/>
      <c r="T527" s="453"/>
      <c r="U527" s="453"/>
      <c r="V527" s="453"/>
      <c r="W527" s="453"/>
      <c r="X527" s="453"/>
      <c r="Y527" s="453"/>
      <c r="Z527" s="489"/>
      <c r="AA527" s="489"/>
      <c r="AB527" s="490"/>
      <c r="AC527" s="453"/>
      <c r="AD527" s="453"/>
      <c r="AE527" s="453"/>
      <c r="AF527" s="453"/>
      <c r="AG527" s="453"/>
      <c r="AH527" s="453"/>
      <c r="AI527" s="453"/>
      <c r="AJ527" s="453"/>
      <c r="AK527" s="453"/>
      <c r="AL527" s="453"/>
      <c r="AM527" s="453"/>
      <c r="AN527" s="453"/>
      <c r="AO527" s="453"/>
      <c r="AP527" s="453"/>
      <c r="AQ527" s="453"/>
      <c r="AR527" s="453"/>
      <c r="AS527" s="453"/>
      <c r="AT527" s="453"/>
      <c r="AU527" s="453"/>
      <c r="AV527" s="453"/>
      <c r="AW527" s="453"/>
      <c r="AX527" s="453"/>
      <c r="AY527" s="453"/>
      <c r="AZ527" s="453"/>
      <c r="BA527" s="532"/>
      <c r="BB527" s="502"/>
      <c r="BC527" s="503"/>
      <c r="BD527" s="453"/>
      <c r="BE527" s="453"/>
      <c r="BF527" s="470"/>
      <c r="BG527" s="453"/>
      <c r="BH527" s="453"/>
      <c r="BI527" s="453"/>
      <c r="BJ527" s="453"/>
      <c r="BK527" s="453"/>
      <c r="BL527" s="453"/>
      <c r="BM527" s="502"/>
      <c r="BN527" s="490"/>
      <c r="BO527" s="470"/>
      <c r="BP527" s="574"/>
      <c r="BQ527" s="458"/>
      <c r="BR527" s="577"/>
      <c r="BS527" s="524"/>
      <c r="BT527" s="586"/>
    </row>
    <row r="528" s="435" customFormat="1" ht="18" customHeight="1" spans="1:72">
      <c r="A528" s="451" t="s">
        <v>4032</v>
      </c>
      <c r="B528" s="543">
        <v>45233</v>
      </c>
      <c r="C528" s="581">
        <v>1000017067</v>
      </c>
      <c r="D528" s="451"/>
      <c r="E528" s="457"/>
      <c r="F528" s="453"/>
      <c r="G528" s="453"/>
      <c r="H528" s="453"/>
      <c r="I528" s="453"/>
      <c r="J528" s="453"/>
      <c r="K528" s="453"/>
      <c r="L528" s="453"/>
      <c r="M528" s="453"/>
      <c r="N528" s="453">
        <v>5001</v>
      </c>
      <c r="O528" s="453"/>
      <c r="P528" s="453"/>
      <c r="Q528" s="453"/>
      <c r="R528" s="550"/>
      <c r="S528" s="453"/>
      <c r="T528" s="453"/>
      <c r="U528" s="453"/>
      <c r="V528" s="453"/>
      <c r="W528" s="453"/>
      <c r="X528" s="453"/>
      <c r="Y528" s="453"/>
      <c r="Z528" s="489"/>
      <c r="AA528" s="489"/>
      <c r="AB528" s="490"/>
      <c r="AC528" s="453"/>
      <c r="AD528" s="453"/>
      <c r="AE528" s="453"/>
      <c r="AF528" s="453"/>
      <c r="AG528" s="453"/>
      <c r="AH528" s="453"/>
      <c r="AI528" s="453"/>
      <c r="AJ528" s="453"/>
      <c r="AK528" s="453"/>
      <c r="AL528" s="453"/>
      <c r="AM528" s="453"/>
      <c r="AN528" s="453"/>
      <c r="AO528" s="453"/>
      <c r="AP528" s="453"/>
      <c r="AQ528" s="453"/>
      <c r="AR528" s="453"/>
      <c r="AS528" s="453"/>
      <c r="AT528" s="453"/>
      <c r="AU528" s="453"/>
      <c r="AV528" s="453"/>
      <c r="AW528" s="453"/>
      <c r="AX528" s="453"/>
      <c r="AY528" s="453"/>
      <c r="AZ528" s="453"/>
      <c r="BA528" s="532"/>
      <c r="BB528" s="502"/>
      <c r="BC528" s="503"/>
      <c r="BD528" s="453"/>
      <c r="BE528" s="453"/>
      <c r="BF528" s="470"/>
      <c r="BG528" s="453"/>
      <c r="BH528" s="453"/>
      <c r="BI528" s="453"/>
      <c r="BJ528" s="453"/>
      <c r="BK528" s="453"/>
      <c r="BL528" s="453"/>
      <c r="BM528" s="502"/>
      <c r="BN528" s="490"/>
      <c r="BO528" s="470"/>
      <c r="BP528" s="574"/>
      <c r="BQ528" s="458"/>
      <c r="BR528" s="577"/>
      <c r="BS528" s="524"/>
      <c r="BT528" s="586"/>
    </row>
    <row r="529" s="435" customFormat="1" ht="18" customHeight="1" spans="1:72">
      <c r="A529" s="451" t="s">
        <v>4032</v>
      </c>
      <c r="B529" s="543">
        <v>45233</v>
      </c>
      <c r="C529" s="581">
        <v>1000017068</v>
      </c>
      <c r="D529" s="451"/>
      <c r="E529" s="457"/>
      <c r="F529" s="453"/>
      <c r="G529" s="453"/>
      <c r="H529" s="453"/>
      <c r="I529" s="453"/>
      <c r="J529" s="453"/>
      <c r="K529" s="453"/>
      <c r="L529" s="453"/>
      <c r="M529" s="453"/>
      <c r="N529" s="453"/>
      <c r="O529" s="453"/>
      <c r="P529" s="453"/>
      <c r="Q529" s="453"/>
      <c r="R529" s="550"/>
      <c r="S529" s="453">
        <v>10001</v>
      </c>
      <c r="T529" s="453"/>
      <c r="U529" s="453"/>
      <c r="V529" s="453"/>
      <c r="W529" s="453"/>
      <c r="X529" s="453"/>
      <c r="Y529" s="453"/>
      <c r="Z529" s="489"/>
      <c r="AA529" s="489"/>
      <c r="AB529" s="490"/>
      <c r="AC529" s="453"/>
      <c r="AD529" s="453"/>
      <c r="AE529" s="453"/>
      <c r="AF529" s="453"/>
      <c r="AG529" s="453"/>
      <c r="AH529" s="453"/>
      <c r="AI529" s="453"/>
      <c r="AJ529" s="453"/>
      <c r="AK529" s="453"/>
      <c r="AL529" s="453"/>
      <c r="AM529" s="453"/>
      <c r="AN529" s="453"/>
      <c r="AO529" s="453"/>
      <c r="AP529" s="453"/>
      <c r="AQ529" s="453"/>
      <c r="AR529" s="453"/>
      <c r="AS529" s="453"/>
      <c r="AT529" s="453"/>
      <c r="AU529" s="453"/>
      <c r="AV529" s="453"/>
      <c r="AW529" s="453"/>
      <c r="AX529" s="453"/>
      <c r="AY529" s="453"/>
      <c r="AZ529" s="453"/>
      <c r="BA529" s="532"/>
      <c r="BB529" s="502"/>
      <c r="BC529" s="503"/>
      <c r="BD529" s="453"/>
      <c r="BE529" s="453"/>
      <c r="BF529" s="470"/>
      <c r="BG529" s="453"/>
      <c r="BH529" s="453"/>
      <c r="BI529" s="453"/>
      <c r="BJ529" s="453"/>
      <c r="BK529" s="453"/>
      <c r="BL529" s="453"/>
      <c r="BM529" s="502"/>
      <c r="BN529" s="490"/>
      <c r="BO529" s="470"/>
      <c r="BP529" s="574"/>
      <c r="BQ529" s="458"/>
      <c r="BR529" s="577"/>
      <c r="BS529" s="524"/>
      <c r="BT529" s="586"/>
    </row>
    <row r="530" s="435" customFormat="1" ht="18" customHeight="1" spans="1:72">
      <c r="A530" s="451" t="s">
        <v>4032</v>
      </c>
      <c r="B530" s="543">
        <v>45238</v>
      </c>
      <c r="C530" s="581">
        <v>1000017164</v>
      </c>
      <c r="D530" s="451" t="s">
        <v>4062</v>
      </c>
      <c r="E530" s="588">
        <v>25282</v>
      </c>
      <c r="F530" s="453"/>
      <c r="G530" s="453"/>
      <c r="H530" s="453"/>
      <c r="I530" s="453"/>
      <c r="J530" s="453"/>
      <c r="K530" s="453"/>
      <c r="L530" s="453"/>
      <c r="M530" s="453"/>
      <c r="N530" s="453"/>
      <c r="O530" s="453"/>
      <c r="P530" s="453"/>
      <c r="Q530" s="453"/>
      <c r="R530" s="550"/>
      <c r="S530" s="453"/>
      <c r="T530" s="453"/>
      <c r="U530" s="453"/>
      <c r="V530" s="453"/>
      <c r="W530" s="453"/>
      <c r="X530" s="453"/>
      <c r="Y530" s="453"/>
      <c r="Z530" s="489"/>
      <c r="AA530" s="489"/>
      <c r="AB530" s="490"/>
      <c r="AC530" s="453"/>
      <c r="AD530" s="453"/>
      <c r="AE530" s="453"/>
      <c r="AF530" s="453">
        <v>20000</v>
      </c>
      <c r="AG530" s="453"/>
      <c r="AH530" s="453"/>
      <c r="AI530" s="453"/>
      <c r="AJ530" s="453"/>
      <c r="AK530" s="453"/>
      <c r="AL530" s="453"/>
      <c r="AM530" s="453"/>
      <c r="AN530" s="453"/>
      <c r="AO530" s="453"/>
      <c r="AP530" s="453"/>
      <c r="AQ530" s="453"/>
      <c r="AR530" s="453"/>
      <c r="AS530" s="453"/>
      <c r="AT530" s="453"/>
      <c r="AU530" s="453"/>
      <c r="AV530" s="453"/>
      <c r="AW530" s="453"/>
      <c r="AX530" s="453"/>
      <c r="AY530" s="453"/>
      <c r="AZ530" s="453"/>
      <c r="BA530" s="532"/>
      <c r="BB530" s="502"/>
      <c r="BC530" s="503"/>
      <c r="BD530" s="453"/>
      <c r="BE530" s="453"/>
      <c r="BF530" s="470"/>
      <c r="BG530" s="453"/>
      <c r="BH530" s="453"/>
      <c r="BI530" s="453"/>
      <c r="BJ530" s="453"/>
      <c r="BK530" s="453"/>
      <c r="BL530" s="453"/>
      <c r="BM530" s="502"/>
      <c r="BN530" s="490"/>
      <c r="BO530" s="470"/>
      <c r="BP530" s="574"/>
      <c r="BQ530" s="458"/>
      <c r="BR530" s="577"/>
      <c r="BS530" s="524"/>
      <c r="BT530" s="586"/>
    </row>
    <row r="531" s="435" customFormat="1" ht="18" customHeight="1" spans="1:72">
      <c r="A531" s="451" t="s">
        <v>4032</v>
      </c>
      <c r="B531" s="543">
        <v>45238</v>
      </c>
      <c r="C531" s="581">
        <v>1000017165</v>
      </c>
      <c r="D531" s="451" t="s">
        <v>4062</v>
      </c>
      <c r="E531" s="588">
        <v>25282</v>
      </c>
      <c r="F531" s="453"/>
      <c r="G531" s="453"/>
      <c r="H531" s="453"/>
      <c r="I531" s="453"/>
      <c r="J531" s="453"/>
      <c r="K531" s="453"/>
      <c r="L531" s="453"/>
      <c r="M531" s="453"/>
      <c r="N531" s="453"/>
      <c r="O531" s="453"/>
      <c r="P531" s="453"/>
      <c r="Q531" s="453"/>
      <c r="R531" s="550"/>
      <c r="S531" s="453"/>
      <c r="T531" s="453"/>
      <c r="U531" s="453"/>
      <c r="V531" s="453"/>
      <c r="W531" s="453"/>
      <c r="X531" s="453"/>
      <c r="Y531" s="453"/>
      <c r="Z531" s="489"/>
      <c r="AA531" s="489"/>
      <c r="AB531" s="490"/>
      <c r="AC531" s="453"/>
      <c r="AD531" s="453"/>
      <c r="AE531" s="453"/>
      <c r="AF531" s="453"/>
      <c r="AG531" s="453"/>
      <c r="AH531" s="453"/>
      <c r="AI531" s="453"/>
      <c r="AJ531" s="453"/>
      <c r="AK531" s="453"/>
      <c r="AL531" s="453"/>
      <c r="AM531" s="453"/>
      <c r="AN531" s="453"/>
      <c r="AO531" s="453"/>
      <c r="AP531" s="453"/>
      <c r="AQ531" s="453"/>
      <c r="AR531" s="453"/>
      <c r="AS531" s="453"/>
      <c r="AT531" s="453"/>
      <c r="AU531" s="453">
        <v>60000</v>
      </c>
      <c r="AV531" s="453"/>
      <c r="AW531" s="453"/>
      <c r="AX531" s="453"/>
      <c r="AY531" s="453"/>
      <c r="AZ531" s="453"/>
      <c r="BA531" s="532"/>
      <c r="BB531" s="502"/>
      <c r="BC531" s="503"/>
      <c r="BD531" s="453"/>
      <c r="BE531" s="453"/>
      <c r="BF531" s="470"/>
      <c r="BG531" s="453"/>
      <c r="BH531" s="453"/>
      <c r="BI531" s="453"/>
      <c r="BJ531" s="453"/>
      <c r="BK531" s="453"/>
      <c r="BL531" s="453"/>
      <c r="BM531" s="502"/>
      <c r="BN531" s="490"/>
      <c r="BO531" s="470"/>
      <c r="BP531" s="574"/>
      <c r="BQ531" s="458"/>
      <c r="BR531" s="577"/>
      <c r="BS531" s="524"/>
      <c r="BT531" s="586"/>
    </row>
    <row r="532" s="435" customFormat="1" ht="18" customHeight="1" spans="1:72">
      <c r="A532" s="451" t="s">
        <v>4032</v>
      </c>
      <c r="B532" s="543">
        <v>45238</v>
      </c>
      <c r="C532" s="581">
        <v>1000017155</v>
      </c>
      <c r="D532" s="451" t="s">
        <v>4062</v>
      </c>
      <c r="E532" s="457"/>
      <c r="F532" s="453"/>
      <c r="G532" s="453"/>
      <c r="H532" s="453"/>
      <c r="I532" s="453"/>
      <c r="J532" s="453"/>
      <c r="K532" s="453"/>
      <c r="L532" s="453"/>
      <c r="M532" s="453"/>
      <c r="N532" s="453"/>
      <c r="O532" s="453">
        <v>10001</v>
      </c>
      <c r="P532" s="453"/>
      <c r="Q532" s="453"/>
      <c r="R532" s="550"/>
      <c r="S532" s="453"/>
      <c r="T532" s="453"/>
      <c r="U532" s="453"/>
      <c r="V532" s="453"/>
      <c r="W532" s="453"/>
      <c r="X532" s="453"/>
      <c r="Y532" s="453"/>
      <c r="Z532" s="489"/>
      <c r="AA532" s="489"/>
      <c r="AB532" s="490"/>
      <c r="AC532" s="453"/>
      <c r="AD532" s="453"/>
      <c r="AE532" s="453"/>
      <c r="AF532" s="453"/>
      <c r="AG532" s="453"/>
      <c r="AH532" s="453"/>
      <c r="AI532" s="453"/>
      <c r="AJ532" s="453"/>
      <c r="AK532" s="453"/>
      <c r="AL532" s="453"/>
      <c r="AM532" s="453"/>
      <c r="AN532" s="453"/>
      <c r="AO532" s="453"/>
      <c r="AP532" s="453"/>
      <c r="AQ532" s="453"/>
      <c r="AR532" s="453"/>
      <c r="AS532" s="453"/>
      <c r="AT532" s="453"/>
      <c r="AU532" s="453"/>
      <c r="AV532" s="453"/>
      <c r="AW532" s="453"/>
      <c r="AX532" s="453"/>
      <c r="AY532" s="453"/>
      <c r="AZ532" s="453"/>
      <c r="BA532" s="532"/>
      <c r="BB532" s="502"/>
      <c r="BC532" s="503"/>
      <c r="BD532" s="453"/>
      <c r="BE532" s="453"/>
      <c r="BF532" s="470"/>
      <c r="BG532" s="453"/>
      <c r="BH532" s="453"/>
      <c r="BI532" s="453"/>
      <c r="BJ532" s="453"/>
      <c r="BK532" s="453"/>
      <c r="BL532" s="453"/>
      <c r="BM532" s="502"/>
      <c r="BN532" s="490"/>
      <c r="BO532" s="470"/>
      <c r="BP532" s="574"/>
      <c r="BQ532" s="458"/>
      <c r="BR532" s="577"/>
      <c r="BS532" s="524"/>
      <c r="BT532" s="586"/>
    </row>
    <row r="533" s="435" customFormat="1" ht="18" customHeight="1" spans="1:72">
      <c r="A533" s="451" t="s">
        <v>4032</v>
      </c>
      <c r="B533" s="543">
        <v>45238</v>
      </c>
      <c r="C533" s="581">
        <v>1000017156</v>
      </c>
      <c r="D533" s="451" t="s">
        <v>4062</v>
      </c>
      <c r="E533" s="457"/>
      <c r="F533" s="453"/>
      <c r="G533" s="453"/>
      <c r="H533" s="453"/>
      <c r="I533" s="453"/>
      <c r="J533" s="453"/>
      <c r="K533" s="453"/>
      <c r="L533" s="453"/>
      <c r="M533" s="453"/>
      <c r="N533" s="453"/>
      <c r="O533" s="453"/>
      <c r="P533" s="453"/>
      <c r="Q533" s="453"/>
      <c r="R533" s="550"/>
      <c r="S533" s="453"/>
      <c r="T533" s="453">
        <v>50001</v>
      </c>
      <c r="U533" s="453"/>
      <c r="V533" s="453"/>
      <c r="W533" s="453"/>
      <c r="X533" s="453"/>
      <c r="Y533" s="453"/>
      <c r="Z533" s="489"/>
      <c r="AA533" s="489"/>
      <c r="AB533" s="490"/>
      <c r="AC533" s="453"/>
      <c r="AD533" s="453"/>
      <c r="AE533" s="453"/>
      <c r="AF533" s="453"/>
      <c r="AG533" s="453"/>
      <c r="AH533" s="453"/>
      <c r="AI533" s="453"/>
      <c r="AJ533" s="453"/>
      <c r="AK533" s="453"/>
      <c r="AL533" s="453"/>
      <c r="AM533" s="453"/>
      <c r="AN533" s="453"/>
      <c r="AO533" s="453"/>
      <c r="AP533" s="453"/>
      <c r="AQ533" s="453"/>
      <c r="AR533" s="453"/>
      <c r="AS533" s="453"/>
      <c r="AT533" s="453"/>
      <c r="AU533" s="453"/>
      <c r="AV533" s="453"/>
      <c r="AW533" s="453"/>
      <c r="AX533" s="453"/>
      <c r="AY533" s="453"/>
      <c r="AZ533" s="453"/>
      <c r="BA533" s="532"/>
      <c r="BB533" s="502"/>
      <c r="BC533" s="503"/>
      <c r="BD533" s="453"/>
      <c r="BE533" s="453"/>
      <c r="BF533" s="470"/>
      <c r="BG533" s="453"/>
      <c r="BH533" s="453"/>
      <c r="BI533" s="453"/>
      <c r="BJ533" s="453"/>
      <c r="BK533" s="453"/>
      <c r="BL533" s="453"/>
      <c r="BM533" s="502"/>
      <c r="BN533" s="490"/>
      <c r="BO533" s="470"/>
      <c r="BP533" s="574"/>
      <c r="BQ533" s="458"/>
      <c r="BR533" s="577"/>
      <c r="BS533" s="524"/>
      <c r="BT533" s="586"/>
    </row>
    <row r="534" s="435" customFormat="1" ht="18" customHeight="1" spans="1:72">
      <c r="A534" s="451" t="s">
        <v>4032</v>
      </c>
      <c r="B534" s="543">
        <v>45245</v>
      </c>
      <c r="C534" s="581">
        <v>1000017311</v>
      </c>
      <c r="D534" s="451" t="s">
        <v>4060</v>
      </c>
      <c r="E534" s="588"/>
      <c r="F534" s="453"/>
      <c r="G534" s="453"/>
      <c r="H534" s="453"/>
      <c r="I534" s="453"/>
      <c r="J534" s="453"/>
      <c r="K534" s="453"/>
      <c r="L534" s="453"/>
      <c r="M534" s="453"/>
      <c r="N534" s="453"/>
      <c r="O534" s="453"/>
      <c r="P534" s="453"/>
      <c r="Q534" s="453"/>
      <c r="R534" s="550"/>
      <c r="S534" s="453"/>
      <c r="T534" s="453"/>
      <c r="U534" s="453"/>
      <c r="V534" s="453"/>
      <c r="W534" s="453"/>
      <c r="X534" s="453"/>
      <c r="Y534" s="453"/>
      <c r="Z534" s="489"/>
      <c r="AA534" s="489"/>
      <c r="AB534" s="490"/>
      <c r="AC534" s="453"/>
      <c r="AD534" s="453"/>
      <c r="AE534" s="453"/>
      <c r="AF534" s="453"/>
      <c r="AG534" s="453"/>
      <c r="AH534" s="453"/>
      <c r="AI534" s="453"/>
      <c r="AJ534" s="453"/>
      <c r="AK534" s="453"/>
      <c r="AL534" s="453"/>
      <c r="AM534" s="453"/>
      <c r="AN534" s="453"/>
      <c r="AO534" s="453"/>
      <c r="AP534" s="453"/>
      <c r="AQ534" s="453"/>
      <c r="AR534" s="453"/>
      <c r="AS534" s="453"/>
      <c r="AT534" s="453"/>
      <c r="AU534" s="453"/>
      <c r="AV534" s="453"/>
      <c r="AW534" s="453"/>
      <c r="AX534" s="453"/>
      <c r="AY534" s="453"/>
      <c r="AZ534" s="453">
        <v>17920</v>
      </c>
      <c r="BA534" s="532"/>
      <c r="BB534" s="502"/>
      <c r="BC534" s="503"/>
      <c r="BD534" s="453"/>
      <c r="BE534" s="453"/>
      <c r="BF534" s="470"/>
      <c r="BG534" s="453"/>
      <c r="BH534" s="453"/>
      <c r="BI534" s="453"/>
      <c r="BJ534" s="453"/>
      <c r="BK534" s="453"/>
      <c r="BL534" s="453"/>
      <c r="BM534" s="502"/>
      <c r="BN534" s="490"/>
      <c r="BO534" s="470"/>
      <c r="BP534" s="574"/>
      <c r="BQ534" s="458"/>
      <c r="BR534" s="577"/>
      <c r="BS534" s="524"/>
      <c r="BT534" s="586" t="s">
        <v>4063</v>
      </c>
    </row>
    <row r="535" s="435" customFormat="1" ht="18" customHeight="1" spans="1:72">
      <c r="A535" s="451" t="s">
        <v>4032</v>
      </c>
      <c r="B535" s="543">
        <v>45245</v>
      </c>
      <c r="C535" s="581">
        <v>1000017312</v>
      </c>
      <c r="D535" s="451" t="s">
        <v>4060</v>
      </c>
      <c r="E535" s="588"/>
      <c r="F535" s="453"/>
      <c r="G535" s="453"/>
      <c r="H535" s="453"/>
      <c r="I535" s="453"/>
      <c r="J535" s="453"/>
      <c r="K535" s="453"/>
      <c r="L535" s="453"/>
      <c r="M535" s="453"/>
      <c r="N535" s="453"/>
      <c r="O535" s="453"/>
      <c r="P535" s="453"/>
      <c r="Q535" s="453"/>
      <c r="R535" s="550"/>
      <c r="S535" s="453"/>
      <c r="T535" s="453"/>
      <c r="U535" s="453"/>
      <c r="V535" s="453"/>
      <c r="W535" s="453"/>
      <c r="X535" s="453"/>
      <c r="Y535" s="453"/>
      <c r="Z535" s="489"/>
      <c r="AA535" s="489"/>
      <c r="AB535" s="490"/>
      <c r="AC535" s="453"/>
      <c r="AD535" s="453"/>
      <c r="AE535" s="453"/>
      <c r="AF535" s="453"/>
      <c r="AG535" s="453"/>
      <c r="AH535" s="453"/>
      <c r="AI535" s="453"/>
      <c r="AJ535" s="453"/>
      <c r="AK535" s="453"/>
      <c r="AL535" s="453"/>
      <c r="AM535" s="453"/>
      <c r="AN535" s="453"/>
      <c r="AO535" s="453"/>
      <c r="AP535" s="453"/>
      <c r="AQ535" s="453"/>
      <c r="AR535" s="453"/>
      <c r="AS535" s="453"/>
      <c r="AT535" s="453"/>
      <c r="AU535" s="453"/>
      <c r="AV535" s="453"/>
      <c r="AW535" s="453"/>
      <c r="AX535" s="453"/>
      <c r="AY535" s="453"/>
      <c r="AZ535" s="453"/>
      <c r="BA535" s="532"/>
      <c r="BB535" s="502">
        <v>17280</v>
      </c>
      <c r="BC535" s="503"/>
      <c r="BD535" s="453"/>
      <c r="BE535" s="453"/>
      <c r="BF535" s="470"/>
      <c r="BG535" s="453"/>
      <c r="BH535" s="453"/>
      <c r="BI535" s="453"/>
      <c r="BJ535" s="453"/>
      <c r="BK535" s="453"/>
      <c r="BL535" s="453"/>
      <c r="BM535" s="502"/>
      <c r="BN535" s="490"/>
      <c r="BO535" s="470"/>
      <c r="BP535" s="574"/>
      <c r="BQ535" s="458"/>
      <c r="BR535" s="577"/>
      <c r="BS535" s="524"/>
      <c r="BT535" s="586" t="s">
        <v>4063</v>
      </c>
    </row>
    <row r="536" s="435" customFormat="1" ht="18" customHeight="1" spans="1:72">
      <c r="A536" s="451" t="s">
        <v>4032</v>
      </c>
      <c r="B536" s="543">
        <v>45246</v>
      </c>
      <c r="C536" s="581">
        <v>1000017327</v>
      </c>
      <c r="D536" s="451" t="s">
        <v>4060</v>
      </c>
      <c r="E536" s="457"/>
      <c r="F536" s="453"/>
      <c r="G536" s="453"/>
      <c r="H536" s="453"/>
      <c r="I536" s="453"/>
      <c r="J536" s="453"/>
      <c r="K536" s="453"/>
      <c r="L536" s="453"/>
      <c r="M536" s="453"/>
      <c r="N536" s="453"/>
      <c r="O536" s="453"/>
      <c r="P536" s="453"/>
      <c r="Q536" s="453"/>
      <c r="R536" s="550"/>
      <c r="S536" s="453"/>
      <c r="T536" s="453"/>
      <c r="U536" s="453"/>
      <c r="V536" s="453"/>
      <c r="W536" s="453"/>
      <c r="X536" s="453"/>
      <c r="Y536" s="453"/>
      <c r="Z536" s="489"/>
      <c r="AA536" s="489"/>
      <c r="AB536" s="490"/>
      <c r="AC536" s="453"/>
      <c r="AD536" s="453"/>
      <c r="AE536" s="453"/>
      <c r="AF536" s="453"/>
      <c r="AG536" s="453"/>
      <c r="AH536" s="453"/>
      <c r="AI536" s="453"/>
      <c r="AJ536" s="453"/>
      <c r="AK536" s="453"/>
      <c r="AL536" s="453"/>
      <c r="AM536" s="453"/>
      <c r="AN536" s="453"/>
      <c r="AO536" s="453"/>
      <c r="AP536" s="453"/>
      <c r="AQ536" s="453"/>
      <c r="AR536" s="453"/>
      <c r="AS536" s="453"/>
      <c r="AT536" s="453"/>
      <c r="AU536" s="453"/>
      <c r="AV536" s="453"/>
      <c r="AW536" s="453"/>
      <c r="AX536" s="453"/>
      <c r="AY536" s="453"/>
      <c r="AZ536" s="453"/>
      <c r="BA536" s="532">
        <v>4696</v>
      </c>
      <c r="BB536" s="502"/>
      <c r="BC536" s="503"/>
      <c r="BD536" s="453"/>
      <c r="BE536" s="453"/>
      <c r="BF536" s="470"/>
      <c r="BG536" s="453"/>
      <c r="BH536" s="453"/>
      <c r="BI536" s="453"/>
      <c r="BJ536" s="453"/>
      <c r="BK536" s="453"/>
      <c r="BL536" s="453"/>
      <c r="BM536" s="502"/>
      <c r="BN536" s="490"/>
      <c r="BO536" s="470"/>
      <c r="BP536" s="574"/>
      <c r="BQ536" s="458"/>
      <c r="BR536" s="577"/>
      <c r="BS536" s="524"/>
      <c r="BT536" s="586" t="s">
        <v>4063</v>
      </c>
    </row>
    <row r="537" s="435" customFormat="1" ht="18" customHeight="1" spans="1:72">
      <c r="A537" s="451" t="s">
        <v>4032</v>
      </c>
      <c r="B537" s="543">
        <v>45252</v>
      </c>
      <c r="C537" s="581">
        <v>1000017387</v>
      </c>
      <c r="D537" s="451" t="s">
        <v>4062</v>
      </c>
      <c r="E537" s="457"/>
      <c r="F537" s="453"/>
      <c r="G537" s="453"/>
      <c r="H537" s="453"/>
      <c r="I537" s="453"/>
      <c r="J537" s="453"/>
      <c r="K537" s="453"/>
      <c r="L537" s="453"/>
      <c r="M537" s="453"/>
      <c r="N537" s="453"/>
      <c r="O537" s="453">
        <v>5001</v>
      </c>
      <c r="P537" s="453"/>
      <c r="Q537" s="453"/>
      <c r="R537" s="550"/>
      <c r="S537" s="453"/>
      <c r="T537" s="453"/>
      <c r="U537" s="453"/>
      <c r="V537" s="453"/>
      <c r="W537" s="453"/>
      <c r="X537" s="453"/>
      <c r="Y537" s="453"/>
      <c r="Z537" s="489"/>
      <c r="AA537" s="489"/>
      <c r="AB537" s="490"/>
      <c r="AC537" s="453"/>
      <c r="AD537" s="453"/>
      <c r="AE537" s="453"/>
      <c r="AF537" s="453"/>
      <c r="AG537" s="453"/>
      <c r="AH537" s="453"/>
      <c r="AI537" s="453"/>
      <c r="AJ537" s="453"/>
      <c r="AK537" s="453"/>
      <c r="AL537" s="453"/>
      <c r="AM537" s="453"/>
      <c r="AN537" s="453"/>
      <c r="AO537" s="453"/>
      <c r="AP537" s="453"/>
      <c r="AQ537" s="453"/>
      <c r="AR537" s="453"/>
      <c r="AS537" s="453"/>
      <c r="AT537" s="453"/>
      <c r="AU537" s="453"/>
      <c r="AV537" s="453"/>
      <c r="AW537" s="453"/>
      <c r="AX537" s="453"/>
      <c r="AY537" s="453"/>
      <c r="AZ537" s="453"/>
      <c r="BA537" s="532"/>
      <c r="BB537" s="502"/>
      <c r="BC537" s="503"/>
      <c r="BD537" s="453"/>
      <c r="BE537" s="453"/>
      <c r="BF537" s="470"/>
      <c r="BG537" s="453"/>
      <c r="BH537" s="453"/>
      <c r="BI537" s="453"/>
      <c r="BJ537" s="453"/>
      <c r="BK537" s="453"/>
      <c r="BL537" s="453"/>
      <c r="BM537" s="502"/>
      <c r="BN537" s="490"/>
      <c r="BO537" s="470"/>
      <c r="BP537" s="574"/>
      <c r="BQ537" s="458"/>
      <c r="BR537" s="577"/>
      <c r="BS537" s="524"/>
      <c r="BT537" s="586"/>
    </row>
    <row r="538" s="435" customFormat="1" ht="18" customHeight="1" spans="1:72">
      <c r="A538" s="451" t="s">
        <v>4032</v>
      </c>
      <c r="B538" s="543">
        <v>45252</v>
      </c>
      <c r="C538" s="581">
        <v>1000017399</v>
      </c>
      <c r="D538" s="451" t="s">
        <v>4062</v>
      </c>
      <c r="E538" s="457"/>
      <c r="F538" s="453"/>
      <c r="G538" s="453"/>
      <c r="H538" s="453"/>
      <c r="I538" s="453"/>
      <c r="J538" s="453"/>
      <c r="K538" s="453"/>
      <c r="L538" s="453"/>
      <c r="M538" s="453"/>
      <c r="N538" s="453"/>
      <c r="O538" s="453"/>
      <c r="P538" s="453">
        <v>2001</v>
      </c>
      <c r="Q538" s="453"/>
      <c r="R538" s="550"/>
      <c r="S538" s="453"/>
      <c r="T538" s="453"/>
      <c r="U538" s="453"/>
      <c r="V538" s="453"/>
      <c r="W538" s="453"/>
      <c r="X538" s="453"/>
      <c r="Y538" s="453"/>
      <c r="Z538" s="489"/>
      <c r="AA538" s="489"/>
      <c r="AB538" s="490"/>
      <c r="AC538" s="453"/>
      <c r="AD538" s="453"/>
      <c r="AE538" s="453"/>
      <c r="AF538" s="453"/>
      <c r="AG538" s="453"/>
      <c r="AH538" s="453"/>
      <c r="AI538" s="453"/>
      <c r="AJ538" s="453"/>
      <c r="AK538" s="453"/>
      <c r="AL538" s="453"/>
      <c r="AM538" s="453"/>
      <c r="AN538" s="453"/>
      <c r="AO538" s="453"/>
      <c r="AP538" s="453"/>
      <c r="AQ538" s="453"/>
      <c r="AR538" s="453"/>
      <c r="AS538" s="453"/>
      <c r="AT538" s="453"/>
      <c r="AU538" s="453"/>
      <c r="AV538" s="453"/>
      <c r="AW538" s="453"/>
      <c r="AX538" s="453"/>
      <c r="AY538" s="453"/>
      <c r="AZ538" s="453"/>
      <c r="BA538" s="532"/>
      <c r="BB538" s="502"/>
      <c r="BC538" s="503"/>
      <c r="BD538" s="453"/>
      <c r="BE538" s="453"/>
      <c r="BF538" s="470"/>
      <c r="BG538" s="453"/>
      <c r="BH538" s="453"/>
      <c r="BI538" s="453"/>
      <c r="BJ538" s="453"/>
      <c r="BK538" s="453"/>
      <c r="BL538" s="453"/>
      <c r="BM538" s="502"/>
      <c r="BN538" s="490"/>
      <c r="BO538" s="470"/>
      <c r="BP538" s="574"/>
      <c r="BQ538" s="458"/>
      <c r="BR538" s="577"/>
      <c r="BS538" s="524"/>
      <c r="BT538" s="586"/>
    </row>
    <row r="539" s="435" customFormat="1" ht="18" customHeight="1" spans="1:72">
      <c r="A539" s="451" t="s">
        <v>4032</v>
      </c>
      <c r="B539" s="543">
        <v>45252</v>
      </c>
      <c r="C539" s="581">
        <v>1000017400</v>
      </c>
      <c r="D539" s="451" t="s">
        <v>4062</v>
      </c>
      <c r="E539" s="457"/>
      <c r="F539" s="453"/>
      <c r="G539" s="453"/>
      <c r="H539" s="453"/>
      <c r="I539" s="453"/>
      <c r="J539" s="453"/>
      <c r="K539" s="453"/>
      <c r="L539" s="453"/>
      <c r="M539" s="453"/>
      <c r="N539" s="453"/>
      <c r="O539" s="453"/>
      <c r="P539" s="453"/>
      <c r="Q539" s="453">
        <v>2600</v>
      </c>
      <c r="R539" s="550"/>
      <c r="S539" s="453"/>
      <c r="T539" s="453"/>
      <c r="U539" s="453"/>
      <c r="V539" s="453"/>
      <c r="W539" s="453"/>
      <c r="X539" s="453"/>
      <c r="Y539" s="453"/>
      <c r="Z539" s="489"/>
      <c r="AA539" s="489"/>
      <c r="AB539" s="490"/>
      <c r="AC539" s="453"/>
      <c r="AD539" s="453"/>
      <c r="AE539" s="453"/>
      <c r="AF539" s="453"/>
      <c r="AG539" s="453"/>
      <c r="AH539" s="453"/>
      <c r="AI539" s="453"/>
      <c r="AJ539" s="453"/>
      <c r="AK539" s="453"/>
      <c r="AL539" s="453"/>
      <c r="AM539" s="453"/>
      <c r="AN539" s="453"/>
      <c r="AO539" s="453"/>
      <c r="AP539" s="453"/>
      <c r="AQ539" s="453"/>
      <c r="AR539" s="453"/>
      <c r="AS539" s="453"/>
      <c r="AT539" s="453"/>
      <c r="AU539" s="453"/>
      <c r="AV539" s="453"/>
      <c r="AW539" s="453"/>
      <c r="AX539" s="453"/>
      <c r="AY539" s="453"/>
      <c r="AZ539" s="453"/>
      <c r="BA539" s="532"/>
      <c r="BB539" s="502"/>
      <c r="BC539" s="503"/>
      <c r="BD539" s="453"/>
      <c r="BE539" s="453"/>
      <c r="BF539" s="470"/>
      <c r="BG539" s="453"/>
      <c r="BH539" s="453"/>
      <c r="BI539" s="453"/>
      <c r="BJ539" s="453"/>
      <c r="BK539" s="453"/>
      <c r="BL539" s="453"/>
      <c r="BM539" s="502"/>
      <c r="BN539" s="490"/>
      <c r="BO539" s="470"/>
      <c r="BP539" s="574"/>
      <c r="BQ539" s="458"/>
      <c r="BR539" s="577"/>
      <c r="BS539" s="524"/>
      <c r="BT539" s="586"/>
    </row>
    <row r="540" s="435" customFormat="1" ht="18" customHeight="1" spans="1:72">
      <c r="A540" s="451" t="s">
        <v>4032</v>
      </c>
      <c r="B540" s="543">
        <v>45252</v>
      </c>
      <c r="C540" s="581">
        <v>1000017388</v>
      </c>
      <c r="D540" s="451" t="s">
        <v>4062</v>
      </c>
      <c r="E540" s="457"/>
      <c r="F540" s="453"/>
      <c r="G540" s="453"/>
      <c r="H540" s="453"/>
      <c r="I540" s="453"/>
      <c r="J540" s="453"/>
      <c r="K540" s="453"/>
      <c r="L540" s="453"/>
      <c r="M540" s="453"/>
      <c r="N540" s="453"/>
      <c r="O540" s="453"/>
      <c r="P540" s="453"/>
      <c r="Q540" s="453"/>
      <c r="R540" s="550"/>
      <c r="S540" s="453"/>
      <c r="T540" s="453">
        <v>15000</v>
      </c>
      <c r="U540" s="453"/>
      <c r="V540" s="453"/>
      <c r="W540" s="453"/>
      <c r="X540" s="453"/>
      <c r="Y540" s="453"/>
      <c r="Z540" s="489"/>
      <c r="AA540" s="489"/>
      <c r="AB540" s="490"/>
      <c r="AC540" s="453"/>
      <c r="AD540" s="453"/>
      <c r="AE540" s="453"/>
      <c r="AF540" s="453"/>
      <c r="AG540" s="453"/>
      <c r="AH540" s="453"/>
      <c r="AI540" s="453"/>
      <c r="AJ540" s="453"/>
      <c r="AK540" s="453"/>
      <c r="AL540" s="453"/>
      <c r="AM540" s="453"/>
      <c r="AN540" s="453"/>
      <c r="AO540" s="453"/>
      <c r="AP540" s="453"/>
      <c r="AQ540" s="453"/>
      <c r="AR540" s="453"/>
      <c r="AS540" s="453"/>
      <c r="AT540" s="453"/>
      <c r="AU540" s="453"/>
      <c r="AV540" s="453"/>
      <c r="AW540" s="453"/>
      <c r="AX540" s="453"/>
      <c r="AY540" s="453"/>
      <c r="AZ540" s="453"/>
      <c r="BA540" s="532"/>
      <c r="BB540" s="502"/>
      <c r="BC540" s="503"/>
      <c r="BD540" s="453"/>
      <c r="BE540" s="453"/>
      <c r="BF540" s="470"/>
      <c r="BG540" s="453"/>
      <c r="BH540" s="453"/>
      <c r="BI540" s="453"/>
      <c r="BJ540" s="453"/>
      <c r="BK540" s="453"/>
      <c r="BL540" s="453"/>
      <c r="BM540" s="502"/>
      <c r="BN540" s="490"/>
      <c r="BO540" s="470"/>
      <c r="BP540" s="574"/>
      <c r="BQ540" s="458"/>
      <c r="BR540" s="577"/>
      <c r="BS540" s="524"/>
      <c r="BT540" s="586"/>
    </row>
    <row r="541" s="435" customFormat="1" ht="18" customHeight="1" spans="1:72">
      <c r="A541" s="451" t="s">
        <v>4032</v>
      </c>
      <c r="B541" s="543">
        <v>45253</v>
      </c>
      <c r="C541" s="581">
        <v>1000017396</v>
      </c>
      <c r="D541" s="451" t="s">
        <v>4062</v>
      </c>
      <c r="E541" s="457"/>
      <c r="F541" s="453"/>
      <c r="G541" s="453"/>
      <c r="H541" s="453"/>
      <c r="I541" s="453"/>
      <c r="J541" s="453"/>
      <c r="K541" s="453"/>
      <c r="L541" s="453"/>
      <c r="M541" s="453"/>
      <c r="N541" s="453"/>
      <c r="O541" s="453"/>
      <c r="P541" s="453"/>
      <c r="Q541" s="453"/>
      <c r="R541" s="550"/>
      <c r="S541" s="453"/>
      <c r="T541" s="453"/>
      <c r="U541" s="453"/>
      <c r="V541" s="453"/>
      <c r="W541" s="453"/>
      <c r="X541" s="453"/>
      <c r="Y541" s="453"/>
      <c r="Z541" s="489"/>
      <c r="AA541" s="489"/>
      <c r="AB541" s="490"/>
      <c r="AC541" s="453"/>
      <c r="AD541" s="453"/>
      <c r="AE541" s="453"/>
      <c r="AF541" s="453"/>
      <c r="AG541" s="453"/>
      <c r="AH541" s="453"/>
      <c r="AI541" s="453"/>
      <c r="AJ541" s="453"/>
      <c r="AK541" s="453"/>
      <c r="AL541" s="453"/>
      <c r="AM541" s="453"/>
      <c r="AN541" s="453"/>
      <c r="AO541" s="453"/>
      <c r="AP541" s="453"/>
      <c r="AQ541" s="453"/>
      <c r="AR541" s="453"/>
      <c r="AS541" s="453"/>
      <c r="AT541" s="453"/>
      <c r="AU541" s="453">
        <v>40000</v>
      </c>
      <c r="AV541" s="453"/>
      <c r="AW541" s="453"/>
      <c r="AX541" s="453"/>
      <c r="AY541" s="453"/>
      <c r="AZ541" s="453"/>
      <c r="BA541" s="532"/>
      <c r="BB541" s="502"/>
      <c r="BC541" s="503"/>
      <c r="BD541" s="453"/>
      <c r="BE541" s="453"/>
      <c r="BF541" s="470"/>
      <c r="BG541" s="453"/>
      <c r="BH541" s="453"/>
      <c r="BI541" s="453"/>
      <c r="BJ541" s="453"/>
      <c r="BK541" s="453"/>
      <c r="BL541" s="453"/>
      <c r="BM541" s="502"/>
      <c r="BN541" s="490"/>
      <c r="BO541" s="470"/>
      <c r="BP541" s="574"/>
      <c r="BQ541" s="458"/>
      <c r="BR541" s="577"/>
      <c r="BS541" s="524"/>
      <c r="BT541" s="586"/>
    </row>
    <row r="542" s="435" customFormat="1" ht="18" customHeight="1" spans="1:72">
      <c r="A542" s="451" t="s">
        <v>4032</v>
      </c>
      <c r="B542" s="543">
        <v>45634</v>
      </c>
      <c r="C542" s="581">
        <v>1000017694</v>
      </c>
      <c r="D542" s="451" t="s">
        <v>4060</v>
      </c>
      <c r="E542" s="457"/>
      <c r="F542" s="453"/>
      <c r="G542" s="453"/>
      <c r="H542" s="453"/>
      <c r="I542" s="453"/>
      <c r="J542" s="453"/>
      <c r="K542" s="453"/>
      <c r="L542" s="453"/>
      <c r="M542" s="453"/>
      <c r="N542" s="453"/>
      <c r="O542" s="453"/>
      <c r="P542" s="453"/>
      <c r="Q542" s="453"/>
      <c r="R542" s="550"/>
      <c r="S542" s="453"/>
      <c r="T542" s="453"/>
      <c r="U542" s="453">
        <v>7306</v>
      </c>
      <c r="V542" s="453"/>
      <c r="W542" s="453"/>
      <c r="X542" s="453"/>
      <c r="Y542" s="453"/>
      <c r="Z542" s="489"/>
      <c r="AA542" s="489"/>
      <c r="AB542" s="490"/>
      <c r="AC542" s="453"/>
      <c r="AD542" s="453"/>
      <c r="AE542" s="453"/>
      <c r="AF542" s="453"/>
      <c r="AG542" s="453"/>
      <c r="AH542" s="453"/>
      <c r="AI542" s="453"/>
      <c r="AJ542" s="453"/>
      <c r="AK542" s="453"/>
      <c r="AL542" s="453"/>
      <c r="AM542" s="453"/>
      <c r="AN542" s="453"/>
      <c r="AO542" s="453"/>
      <c r="AP542" s="453"/>
      <c r="AQ542" s="453"/>
      <c r="AR542" s="453"/>
      <c r="AS542" s="453"/>
      <c r="AT542" s="453"/>
      <c r="AU542" s="453"/>
      <c r="AV542" s="453"/>
      <c r="AW542" s="453"/>
      <c r="AX542" s="453"/>
      <c r="AY542" s="453"/>
      <c r="AZ542" s="453"/>
      <c r="BA542" s="532"/>
      <c r="BB542" s="502"/>
      <c r="BC542" s="503"/>
      <c r="BD542" s="453"/>
      <c r="BE542" s="453"/>
      <c r="BF542" s="470"/>
      <c r="BG542" s="453"/>
      <c r="BH542" s="453"/>
      <c r="BI542" s="453"/>
      <c r="BJ542" s="453"/>
      <c r="BK542" s="453"/>
      <c r="BL542" s="453"/>
      <c r="BM542" s="502"/>
      <c r="BN542" s="490"/>
      <c r="BO542" s="470"/>
      <c r="BP542" s="574"/>
      <c r="BQ542" s="458"/>
      <c r="BR542" s="577"/>
      <c r="BS542" s="524"/>
      <c r="BT542" s="586" t="s">
        <v>4064</v>
      </c>
    </row>
    <row r="543" s="435" customFormat="1" ht="18" customHeight="1" spans="1:72">
      <c r="A543" s="451" t="s">
        <v>4032</v>
      </c>
      <c r="B543" s="543">
        <v>45272</v>
      </c>
      <c r="C543" s="581">
        <v>1000017733</v>
      </c>
      <c r="D543" s="451" t="s">
        <v>4060</v>
      </c>
      <c r="E543" s="457"/>
      <c r="F543" s="453"/>
      <c r="G543" s="453"/>
      <c r="H543" s="453"/>
      <c r="I543" s="453"/>
      <c r="J543" s="453"/>
      <c r="K543" s="453"/>
      <c r="L543" s="453"/>
      <c r="M543" s="453"/>
      <c r="N543" s="453"/>
      <c r="O543" s="453"/>
      <c r="P543" s="453"/>
      <c r="Q543" s="453"/>
      <c r="R543" s="550"/>
      <c r="S543" s="453"/>
      <c r="T543" s="453"/>
      <c r="U543" s="453"/>
      <c r="V543" s="453"/>
      <c r="W543" s="453"/>
      <c r="X543" s="453"/>
      <c r="Y543" s="453"/>
      <c r="Z543" s="489"/>
      <c r="AA543" s="489"/>
      <c r="AB543" s="490"/>
      <c r="AC543" s="453"/>
      <c r="AD543" s="453"/>
      <c r="AE543" s="453"/>
      <c r="AF543" s="453"/>
      <c r="AG543" s="453"/>
      <c r="AH543" s="453"/>
      <c r="AI543" s="453"/>
      <c r="AJ543" s="453"/>
      <c r="AK543" s="453"/>
      <c r="AL543" s="453"/>
      <c r="AM543" s="453"/>
      <c r="AN543" s="453"/>
      <c r="AO543" s="453"/>
      <c r="AP543" s="453"/>
      <c r="AQ543" s="453"/>
      <c r="AR543" s="453"/>
      <c r="AS543" s="453"/>
      <c r="AT543" s="453"/>
      <c r="AU543" s="453"/>
      <c r="AV543" s="453"/>
      <c r="AW543" s="453"/>
      <c r="AX543" s="453"/>
      <c r="AY543" s="453"/>
      <c r="AZ543" s="453">
        <v>14720</v>
      </c>
      <c r="BA543" s="532"/>
      <c r="BB543" s="502"/>
      <c r="BC543" s="503"/>
      <c r="BD543" s="453"/>
      <c r="BE543" s="453"/>
      <c r="BF543" s="470"/>
      <c r="BG543" s="453"/>
      <c r="BH543" s="453"/>
      <c r="BI543" s="453"/>
      <c r="BJ543" s="453"/>
      <c r="BK543" s="453"/>
      <c r="BL543" s="453"/>
      <c r="BM543" s="502"/>
      <c r="BN543" s="490"/>
      <c r="BO543" s="470"/>
      <c r="BP543" s="574"/>
      <c r="BQ543" s="458"/>
      <c r="BR543" s="577"/>
      <c r="BS543" s="524"/>
      <c r="BT543" s="590" t="s">
        <v>4065</v>
      </c>
    </row>
    <row r="544" s="435" customFormat="1" ht="18" customHeight="1" spans="1:72">
      <c r="A544" s="451" t="s">
        <v>4032</v>
      </c>
      <c r="B544" s="543">
        <v>45272</v>
      </c>
      <c r="C544" s="581">
        <v>1000017734</v>
      </c>
      <c r="D544" s="451" t="s">
        <v>4060</v>
      </c>
      <c r="E544" s="457"/>
      <c r="F544" s="453"/>
      <c r="G544" s="453"/>
      <c r="H544" s="453"/>
      <c r="I544" s="453"/>
      <c r="J544" s="453"/>
      <c r="K544" s="453"/>
      <c r="L544" s="453"/>
      <c r="M544" s="453"/>
      <c r="N544" s="453"/>
      <c r="O544" s="453"/>
      <c r="P544" s="453"/>
      <c r="Q544" s="453"/>
      <c r="R544" s="550"/>
      <c r="S544" s="453"/>
      <c r="T544" s="453"/>
      <c r="U544" s="453"/>
      <c r="V544" s="453"/>
      <c r="W544" s="453"/>
      <c r="X544" s="453"/>
      <c r="Y544" s="453"/>
      <c r="Z544" s="489"/>
      <c r="AA544" s="489"/>
      <c r="AB544" s="490"/>
      <c r="AC544" s="453"/>
      <c r="AD544" s="453"/>
      <c r="AE544" s="453"/>
      <c r="AF544" s="453"/>
      <c r="AG544" s="453"/>
      <c r="AH544" s="453"/>
      <c r="AI544" s="453"/>
      <c r="AJ544" s="453"/>
      <c r="AK544" s="453"/>
      <c r="AL544" s="453"/>
      <c r="AM544" s="453"/>
      <c r="AN544" s="453"/>
      <c r="AO544" s="453"/>
      <c r="AP544" s="453"/>
      <c r="AQ544" s="453"/>
      <c r="AR544" s="453"/>
      <c r="AS544" s="453"/>
      <c r="AT544" s="453"/>
      <c r="AU544" s="453"/>
      <c r="AV544" s="453"/>
      <c r="AW544" s="453"/>
      <c r="AX544" s="453"/>
      <c r="AY544" s="453"/>
      <c r="AZ544" s="453"/>
      <c r="BA544" s="532"/>
      <c r="BB544" s="541">
        <v>15040</v>
      </c>
      <c r="BC544" s="503"/>
      <c r="BD544" s="453"/>
      <c r="BE544" s="453"/>
      <c r="BF544" s="470"/>
      <c r="BG544" s="453"/>
      <c r="BH544" s="453"/>
      <c r="BI544" s="453"/>
      <c r="BJ544" s="453"/>
      <c r="BK544" s="453"/>
      <c r="BL544" s="453"/>
      <c r="BM544" s="502"/>
      <c r="BN544" s="490"/>
      <c r="BO544" s="470"/>
      <c r="BP544" s="574"/>
      <c r="BQ544" s="458"/>
      <c r="BR544" s="577"/>
      <c r="BS544" s="524"/>
      <c r="BT544" s="590" t="s">
        <v>4066</v>
      </c>
    </row>
    <row r="545" s="435" customFormat="1" ht="18" customHeight="1" spans="1:72">
      <c r="A545" s="451" t="s">
        <v>4032</v>
      </c>
      <c r="B545" s="543">
        <v>45272</v>
      </c>
      <c r="C545" s="581">
        <v>1000017762</v>
      </c>
      <c r="D545" s="451" t="s">
        <v>4062</v>
      </c>
      <c r="E545" s="457"/>
      <c r="F545" s="453"/>
      <c r="G545" s="453"/>
      <c r="H545" s="453"/>
      <c r="I545" s="453"/>
      <c r="J545" s="453"/>
      <c r="K545" s="453"/>
      <c r="L545" s="453"/>
      <c r="M545" s="453"/>
      <c r="N545" s="453"/>
      <c r="O545" s="453"/>
      <c r="P545" s="453"/>
      <c r="Q545" s="453"/>
      <c r="R545" s="550"/>
      <c r="S545" s="453"/>
      <c r="T545" s="453"/>
      <c r="U545" s="453"/>
      <c r="V545" s="453"/>
      <c r="W545" s="453"/>
      <c r="X545" s="453"/>
      <c r="Y545" s="453"/>
      <c r="Z545" s="489"/>
      <c r="AA545" s="489"/>
      <c r="AB545" s="490"/>
      <c r="AC545" s="453"/>
      <c r="AD545" s="453"/>
      <c r="AE545" s="453"/>
      <c r="AF545" s="453">
        <v>20001</v>
      </c>
      <c r="AG545" s="453"/>
      <c r="AH545" s="453"/>
      <c r="AI545" s="453"/>
      <c r="AJ545" s="453"/>
      <c r="AK545" s="453"/>
      <c r="AL545" s="453"/>
      <c r="AM545" s="453"/>
      <c r="AN545" s="453"/>
      <c r="AO545" s="453"/>
      <c r="AP545" s="453"/>
      <c r="AQ545" s="453"/>
      <c r="AR545" s="453"/>
      <c r="AS545" s="453"/>
      <c r="AT545" s="453"/>
      <c r="AU545" s="453"/>
      <c r="AV545" s="453"/>
      <c r="AW545" s="453"/>
      <c r="AX545" s="453"/>
      <c r="AY545" s="453"/>
      <c r="AZ545" s="453"/>
      <c r="BA545" s="532"/>
      <c r="BB545" s="541"/>
      <c r="BC545" s="503"/>
      <c r="BD545" s="453"/>
      <c r="BE545" s="453"/>
      <c r="BF545" s="470"/>
      <c r="BG545" s="453"/>
      <c r="BH545" s="453"/>
      <c r="BI545" s="453"/>
      <c r="BJ545" s="453"/>
      <c r="BK545" s="453"/>
      <c r="BL545" s="453"/>
      <c r="BM545" s="502"/>
      <c r="BN545" s="490"/>
      <c r="BO545" s="470"/>
      <c r="BP545" s="574"/>
      <c r="BQ545" s="458"/>
      <c r="BR545" s="577"/>
      <c r="BS545" s="524"/>
      <c r="BT545" s="590"/>
    </row>
    <row r="546" s="435" customFormat="1" ht="18" customHeight="1" spans="1:72">
      <c r="A546" s="451" t="s">
        <v>4032</v>
      </c>
      <c r="B546" s="543">
        <v>45272</v>
      </c>
      <c r="C546" s="581">
        <v>1000017763</v>
      </c>
      <c r="D546" s="451" t="s">
        <v>4062</v>
      </c>
      <c r="E546" s="457"/>
      <c r="F546" s="453"/>
      <c r="G546" s="453"/>
      <c r="H546" s="453"/>
      <c r="I546" s="453"/>
      <c r="J546" s="453"/>
      <c r="K546" s="453"/>
      <c r="L546" s="453"/>
      <c r="M546" s="453"/>
      <c r="N546" s="453"/>
      <c r="O546" s="453"/>
      <c r="P546" s="453"/>
      <c r="Q546" s="453"/>
      <c r="R546" s="550"/>
      <c r="S546" s="453"/>
      <c r="T546" s="453"/>
      <c r="U546" s="453"/>
      <c r="V546" s="453"/>
      <c r="W546" s="453"/>
      <c r="X546" s="453"/>
      <c r="Y546" s="453"/>
      <c r="Z546" s="489"/>
      <c r="AA546" s="489"/>
      <c r="AB546" s="490"/>
      <c r="AC546" s="453"/>
      <c r="AD546" s="453"/>
      <c r="AE546" s="453"/>
      <c r="AF546" s="453"/>
      <c r="AG546" s="453"/>
      <c r="AH546" s="453"/>
      <c r="AI546" s="453"/>
      <c r="AJ546" s="453"/>
      <c r="AK546" s="453">
        <v>10001</v>
      </c>
      <c r="AL546" s="453"/>
      <c r="AM546" s="453"/>
      <c r="AN546" s="453"/>
      <c r="AO546" s="453"/>
      <c r="AP546" s="453"/>
      <c r="AQ546" s="453"/>
      <c r="AR546" s="453"/>
      <c r="AS546" s="453"/>
      <c r="AT546" s="453"/>
      <c r="AU546" s="453"/>
      <c r="AV546" s="453"/>
      <c r="AW546" s="453"/>
      <c r="AX546" s="453"/>
      <c r="AY546" s="453"/>
      <c r="AZ546" s="453"/>
      <c r="BA546" s="532"/>
      <c r="BB546" s="541"/>
      <c r="BC546" s="503"/>
      <c r="BD546" s="453"/>
      <c r="BE546" s="453"/>
      <c r="BF546" s="470"/>
      <c r="BG546" s="453"/>
      <c r="BH546" s="453"/>
      <c r="BI546" s="453"/>
      <c r="BJ546" s="453"/>
      <c r="BK546" s="453"/>
      <c r="BL546" s="453"/>
      <c r="BM546" s="502"/>
      <c r="BN546" s="490"/>
      <c r="BO546" s="470"/>
      <c r="BP546" s="574"/>
      <c r="BQ546" s="458"/>
      <c r="BR546" s="577"/>
      <c r="BS546" s="524"/>
      <c r="BT546" s="590"/>
    </row>
    <row r="547" s="435" customFormat="1" ht="18" customHeight="1" spans="1:72">
      <c r="A547" s="451" t="s">
        <v>4032</v>
      </c>
      <c r="B547" s="543">
        <v>45272</v>
      </c>
      <c r="C547" s="581">
        <v>1000017764</v>
      </c>
      <c r="D547" s="451" t="s">
        <v>4062</v>
      </c>
      <c r="E547" s="457"/>
      <c r="F547" s="453"/>
      <c r="G547" s="453"/>
      <c r="H547" s="453"/>
      <c r="I547" s="453"/>
      <c r="J547" s="453"/>
      <c r="K547" s="453"/>
      <c r="L547" s="453"/>
      <c r="M547" s="453"/>
      <c r="N547" s="453"/>
      <c r="O547" s="453"/>
      <c r="P547" s="453"/>
      <c r="Q547" s="453"/>
      <c r="R547" s="550"/>
      <c r="S547" s="453"/>
      <c r="T547" s="453"/>
      <c r="U547" s="453"/>
      <c r="V547" s="453"/>
      <c r="W547" s="453"/>
      <c r="X547" s="453"/>
      <c r="Y547" s="453"/>
      <c r="Z547" s="489"/>
      <c r="AA547" s="489"/>
      <c r="AB547" s="490"/>
      <c r="AC547" s="453"/>
      <c r="AD547" s="453"/>
      <c r="AE547" s="453"/>
      <c r="AF547" s="453"/>
      <c r="AG547" s="453"/>
      <c r="AH547" s="453"/>
      <c r="AI547" s="453"/>
      <c r="AJ547" s="453"/>
      <c r="AK547" s="453"/>
      <c r="AL547" s="453"/>
      <c r="AM547" s="453"/>
      <c r="AN547" s="453"/>
      <c r="AO547" s="453"/>
      <c r="AP547" s="453"/>
      <c r="AQ547" s="453"/>
      <c r="AR547" s="453"/>
      <c r="AS547" s="453"/>
      <c r="AT547" s="453"/>
      <c r="AU547" s="453">
        <v>70000</v>
      </c>
      <c r="AV547" s="453"/>
      <c r="AW547" s="453"/>
      <c r="AX547" s="453"/>
      <c r="AY547" s="453"/>
      <c r="AZ547" s="453"/>
      <c r="BA547" s="532"/>
      <c r="BB547" s="541"/>
      <c r="BC547" s="503"/>
      <c r="BD547" s="453"/>
      <c r="BE547" s="453"/>
      <c r="BF547" s="470"/>
      <c r="BG547" s="453"/>
      <c r="BH547" s="453"/>
      <c r="BI547" s="453"/>
      <c r="BJ547" s="453"/>
      <c r="BK547" s="453"/>
      <c r="BL547" s="453"/>
      <c r="BM547" s="502"/>
      <c r="BN547" s="490"/>
      <c r="BO547" s="470"/>
      <c r="BP547" s="574"/>
      <c r="BQ547" s="458"/>
      <c r="BR547" s="577"/>
      <c r="BS547" s="524"/>
      <c r="BT547" s="590"/>
    </row>
    <row r="548" s="435" customFormat="1" ht="18" customHeight="1" spans="1:72">
      <c r="A548" s="451" t="s">
        <v>4032</v>
      </c>
      <c r="B548" s="543">
        <v>45272</v>
      </c>
      <c r="C548" s="581">
        <v>1000018142</v>
      </c>
      <c r="D548" s="451" t="s">
        <v>4060</v>
      </c>
      <c r="E548" s="457"/>
      <c r="F548" s="453"/>
      <c r="G548" s="453"/>
      <c r="H548" s="453"/>
      <c r="I548" s="453"/>
      <c r="J548" s="453"/>
      <c r="K548" s="453"/>
      <c r="L548" s="453"/>
      <c r="M548" s="453"/>
      <c r="N548" s="453"/>
      <c r="O548" s="453"/>
      <c r="P548" s="453"/>
      <c r="Q548" s="453"/>
      <c r="R548" s="550"/>
      <c r="S548" s="453"/>
      <c r="T548" s="453"/>
      <c r="U548" s="453">
        <v>2838</v>
      </c>
      <c r="V548" s="453"/>
      <c r="W548" s="453"/>
      <c r="X548" s="453"/>
      <c r="Y548" s="453"/>
      <c r="Z548" s="489"/>
      <c r="AA548" s="489"/>
      <c r="AB548" s="490"/>
      <c r="AC548" s="453"/>
      <c r="AD548" s="453"/>
      <c r="AE548" s="453"/>
      <c r="AF548" s="453"/>
      <c r="AG548" s="453"/>
      <c r="AH548" s="453"/>
      <c r="AI548" s="453"/>
      <c r="AJ548" s="453"/>
      <c r="AK548" s="453"/>
      <c r="AL548" s="453"/>
      <c r="AM548" s="453"/>
      <c r="AN548" s="453"/>
      <c r="AO548" s="453"/>
      <c r="AP548" s="453"/>
      <c r="AQ548" s="453"/>
      <c r="AR548" s="453"/>
      <c r="AS548" s="453"/>
      <c r="AT548" s="453"/>
      <c r="AU548" s="453"/>
      <c r="AV548" s="453"/>
      <c r="AW548" s="453"/>
      <c r="AX548" s="453"/>
      <c r="AY548" s="453"/>
      <c r="AZ548" s="453"/>
      <c r="BA548" s="532"/>
      <c r="BB548" s="502"/>
      <c r="BC548" s="503"/>
      <c r="BD548" s="453"/>
      <c r="BE548" s="453"/>
      <c r="BF548" s="470"/>
      <c r="BG548" s="453"/>
      <c r="BH548" s="453"/>
      <c r="BI548" s="453"/>
      <c r="BJ548" s="453"/>
      <c r="BK548" s="453"/>
      <c r="BL548" s="453"/>
      <c r="BM548" s="502"/>
      <c r="BN548" s="490"/>
      <c r="BO548" s="470"/>
      <c r="BP548" s="574"/>
      <c r="BQ548" s="458"/>
      <c r="BR548" s="577"/>
      <c r="BS548" s="524"/>
      <c r="BT548" s="586" t="s">
        <v>4067</v>
      </c>
    </row>
    <row r="549" s="435" customFormat="1" ht="18" customHeight="1" spans="1:72">
      <c r="A549" s="451" t="s">
        <v>4032</v>
      </c>
      <c r="B549" s="543">
        <v>45300</v>
      </c>
      <c r="C549" s="589">
        <v>1000018160</v>
      </c>
      <c r="D549" s="451" t="s">
        <v>4060</v>
      </c>
      <c r="E549" s="457"/>
      <c r="F549" s="453"/>
      <c r="G549" s="453"/>
      <c r="H549" s="453"/>
      <c r="I549" s="453"/>
      <c r="J549" s="453"/>
      <c r="K549" s="453"/>
      <c r="L549" s="453"/>
      <c r="M549" s="453"/>
      <c r="N549" s="453"/>
      <c r="O549" s="453"/>
      <c r="P549" s="453"/>
      <c r="Q549" s="453"/>
      <c r="R549" s="550"/>
      <c r="S549" s="453"/>
      <c r="T549" s="453"/>
      <c r="U549" s="453"/>
      <c r="V549" s="453"/>
      <c r="W549" s="453"/>
      <c r="X549" s="453"/>
      <c r="Y549" s="453"/>
      <c r="Z549" s="489"/>
      <c r="AA549" s="489"/>
      <c r="AB549" s="490"/>
      <c r="AC549" s="453"/>
      <c r="AD549" s="453"/>
      <c r="AE549" s="453"/>
      <c r="AF549" s="453"/>
      <c r="AG549" s="453"/>
      <c r="AH549" s="453"/>
      <c r="AI549" s="453"/>
      <c r="AJ549" s="453"/>
      <c r="AK549" s="453"/>
      <c r="AL549" s="453"/>
      <c r="AM549" s="453"/>
      <c r="AN549" s="453"/>
      <c r="AO549" s="453"/>
      <c r="AP549" s="453"/>
      <c r="AQ549" s="453"/>
      <c r="AR549" s="453"/>
      <c r="AS549" s="453"/>
      <c r="AT549" s="453"/>
      <c r="AU549" s="453"/>
      <c r="AV549" s="453"/>
      <c r="AW549" s="453"/>
      <c r="AX549" s="453"/>
      <c r="AY549" s="453"/>
      <c r="AZ549" s="453">
        <v>28800</v>
      </c>
      <c r="BA549" s="532"/>
      <c r="BB549" s="502"/>
      <c r="BC549" s="503"/>
      <c r="BD549" s="453"/>
      <c r="BE549" s="453"/>
      <c r="BF549" s="470"/>
      <c r="BG549" s="453"/>
      <c r="BH549" s="453"/>
      <c r="BI549" s="453"/>
      <c r="BJ549" s="453"/>
      <c r="BK549" s="453"/>
      <c r="BL549" s="453"/>
      <c r="BM549" s="502"/>
      <c r="BN549" s="490"/>
      <c r="BO549" s="470"/>
      <c r="BP549" s="574"/>
      <c r="BQ549" s="458"/>
      <c r="BR549" s="577"/>
      <c r="BS549" s="524"/>
      <c r="BT549" s="586" t="s">
        <v>4068</v>
      </c>
    </row>
    <row r="550" s="435" customFormat="1" ht="18" customHeight="1" spans="1:72">
      <c r="A550" s="451" t="s">
        <v>4032</v>
      </c>
      <c r="B550" s="543">
        <v>45300</v>
      </c>
      <c r="C550" s="589">
        <v>1000018161</v>
      </c>
      <c r="D550" s="451" t="s">
        <v>4060</v>
      </c>
      <c r="E550" s="457"/>
      <c r="F550" s="453"/>
      <c r="G550" s="453"/>
      <c r="H550" s="453"/>
      <c r="I550" s="453"/>
      <c r="J550" s="453"/>
      <c r="K550" s="453"/>
      <c r="L550" s="453"/>
      <c r="M550" s="453"/>
      <c r="N550" s="453"/>
      <c r="O550" s="453"/>
      <c r="P550" s="453"/>
      <c r="Q550" s="453"/>
      <c r="R550" s="550"/>
      <c r="S550" s="453"/>
      <c r="T550" s="453"/>
      <c r="U550" s="453"/>
      <c r="V550" s="453"/>
      <c r="W550" s="453"/>
      <c r="X550" s="453"/>
      <c r="Y550" s="453"/>
      <c r="Z550" s="489"/>
      <c r="AA550" s="489"/>
      <c r="AB550" s="490"/>
      <c r="AC550" s="453"/>
      <c r="AD550" s="453"/>
      <c r="AE550" s="453"/>
      <c r="AF550" s="453"/>
      <c r="AG550" s="453"/>
      <c r="AH550" s="453"/>
      <c r="AI550" s="453"/>
      <c r="AJ550" s="453"/>
      <c r="AK550" s="453"/>
      <c r="AL550" s="453"/>
      <c r="AM550" s="453"/>
      <c r="AN550" s="453"/>
      <c r="AO550" s="453"/>
      <c r="AP550" s="453"/>
      <c r="AQ550" s="453"/>
      <c r="AR550" s="453"/>
      <c r="AS550" s="453"/>
      <c r="AT550" s="453"/>
      <c r="AU550" s="453"/>
      <c r="AV550" s="453"/>
      <c r="AW550" s="453"/>
      <c r="AX550" s="453"/>
      <c r="AY550" s="453"/>
      <c r="AZ550" s="453"/>
      <c r="BA550" s="532"/>
      <c r="BB550" s="502">
        <v>31680</v>
      </c>
      <c r="BC550" s="503"/>
      <c r="BD550" s="453"/>
      <c r="BE550" s="453"/>
      <c r="BF550" s="470"/>
      <c r="BG550" s="453"/>
      <c r="BH550" s="453"/>
      <c r="BI550" s="453"/>
      <c r="BJ550" s="453"/>
      <c r="BK550" s="453"/>
      <c r="BL550" s="453"/>
      <c r="BM550" s="502"/>
      <c r="BN550" s="490"/>
      <c r="BO550" s="470"/>
      <c r="BP550" s="574"/>
      <c r="BQ550" s="458"/>
      <c r="BR550" s="577"/>
      <c r="BS550" s="524"/>
      <c r="BT550" s="590" t="s">
        <v>4069</v>
      </c>
    </row>
    <row r="551" s="435" customFormat="1" ht="18" customHeight="1" spans="1:72">
      <c r="A551" s="451" t="s">
        <v>4032</v>
      </c>
      <c r="B551" s="543">
        <v>45301</v>
      </c>
      <c r="C551" s="581">
        <v>1000018219</v>
      </c>
      <c r="D551" s="451" t="s">
        <v>4062</v>
      </c>
      <c r="E551" s="457"/>
      <c r="F551" s="453"/>
      <c r="G551" s="453"/>
      <c r="H551" s="453"/>
      <c r="I551" s="453"/>
      <c r="J551" s="453"/>
      <c r="K551" s="453"/>
      <c r="L551" s="453"/>
      <c r="M551" s="453"/>
      <c r="N551" s="453"/>
      <c r="O551" s="453"/>
      <c r="P551" s="453"/>
      <c r="Q551" s="453"/>
      <c r="R551" s="550"/>
      <c r="S551" s="453"/>
      <c r="T551" s="453"/>
      <c r="U551" s="453"/>
      <c r="V551" s="453"/>
      <c r="W551" s="453"/>
      <c r="X551" s="453"/>
      <c r="Y551" s="453"/>
      <c r="Z551" s="489"/>
      <c r="AA551" s="489"/>
      <c r="AB551" s="490"/>
      <c r="AC551" s="453"/>
      <c r="AD551" s="453"/>
      <c r="AE551" s="453"/>
      <c r="AF551" s="453">
        <v>30001</v>
      </c>
      <c r="AG551" s="453"/>
      <c r="AH551" s="453"/>
      <c r="AI551" s="453"/>
      <c r="AJ551" s="453"/>
      <c r="AK551" s="453"/>
      <c r="AL551" s="453"/>
      <c r="AM551" s="453"/>
      <c r="AN551" s="453"/>
      <c r="AO551" s="453"/>
      <c r="AP551" s="453"/>
      <c r="AQ551" s="453"/>
      <c r="AR551" s="453"/>
      <c r="AS551" s="453"/>
      <c r="AT551" s="453"/>
      <c r="AU551" s="453"/>
      <c r="AV551" s="453"/>
      <c r="AW551" s="453"/>
      <c r="AX551" s="453"/>
      <c r="AY551" s="453"/>
      <c r="AZ551" s="453"/>
      <c r="BA551" s="532"/>
      <c r="BB551" s="502"/>
      <c r="BC551" s="503"/>
      <c r="BD551" s="453"/>
      <c r="BE551" s="453"/>
      <c r="BF551" s="470"/>
      <c r="BG551" s="453"/>
      <c r="BH551" s="453"/>
      <c r="BI551" s="453"/>
      <c r="BJ551" s="453"/>
      <c r="BK551" s="453"/>
      <c r="BL551" s="453"/>
      <c r="BM551" s="502"/>
      <c r="BN551" s="490"/>
      <c r="BO551" s="470"/>
      <c r="BP551" s="574"/>
      <c r="BQ551" s="458"/>
      <c r="BR551" s="577"/>
      <c r="BS551" s="524"/>
      <c r="BT551" s="586"/>
    </row>
    <row r="552" s="435" customFormat="1" ht="18" customHeight="1" spans="1:72">
      <c r="A552" s="451" t="s">
        <v>4032</v>
      </c>
      <c r="B552" s="543">
        <v>45301</v>
      </c>
      <c r="C552" s="581">
        <v>1000018220</v>
      </c>
      <c r="D552" s="451" t="s">
        <v>4062</v>
      </c>
      <c r="E552" s="457"/>
      <c r="F552" s="453"/>
      <c r="G552" s="453"/>
      <c r="H552" s="453"/>
      <c r="I552" s="453"/>
      <c r="J552" s="453"/>
      <c r="K552" s="453"/>
      <c r="L552" s="453"/>
      <c r="M552" s="453"/>
      <c r="N552" s="453"/>
      <c r="O552" s="453"/>
      <c r="P552" s="453"/>
      <c r="Q552" s="453"/>
      <c r="R552" s="550"/>
      <c r="S552" s="453"/>
      <c r="T552" s="453"/>
      <c r="U552" s="453"/>
      <c r="V552" s="453"/>
      <c r="W552" s="453"/>
      <c r="X552" s="453"/>
      <c r="Y552" s="453"/>
      <c r="Z552" s="489"/>
      <c r="AA552" s="489"/>
      <c r="AB552" s="490"/>
      <c r="AC552" s="453"/>
      <c r="AD552" s="453"/>
      <c r="AE552" s="453"/>
      <c r="AF552" s="453"/>
      <c r="AG552" s="453"/>
      <c r="AH552" s="453"/>
      <c r="AI552" s="453"/>
      <c r="AJ552" s="453"/>
      <c r="AK552" s="453">
        <v>20001</v>
      </c>
      <c r="AL552" s="453"/>
      <c r="AM552" s="453"/>
      <c r="AN552" s="453"/>
      <c r="AO552" s="453"/>
      <c r="AP552" s="453"/>
      <c r="AQ552" s="453"/>
      <c r="AR552" s="453"/>
      <c r="AS552" s="453"/>
      <c r="AT552" s="453"/>
      <c r="AU552" s="453"/>
      <c r="AV552" s="453"/>
      <c r="AW552" s="453"/>
      <c r="AX552" s="453"/>
      <c r="AY552" s="453"/>
      <c r="AZ552" s="453"/>
      <c r="BA552" s="532"/>
      <c r="BB552" s="502"/>
      <c r="BC552" s="503"/>
      <c r="BD552" s="453"/>
      <c r="BE552" s="453"/>
      <c r="BF552" s="470"/>
      <c r="BG552" s="453"/>
      <c r="BH552" s="453"/>
      <c r="BI552" s="453"/>
      <c r="BJ552" s="453"/>
      <c r="BK552" s="453"/>
      <c r="BL552" s="453"/>
      <c r="BM552" s="502"/>
      <c r="BN552" s="490"/>
      <c r="BO552" s="470"/>
      <c r="BP552" s="574"/>
      <c r="BQ552" s="458"/>
      <c r="BR552" s="577"/>
      <c r="BS552" s="524"/>
      <c r="BT552" s="586"/>
    </row>
    <row r="553" s="435" customFormat="1" ht="18" customHeight="1" spans="1:72">
      <c r="A553" s="451" t="s">
        <v>4032</v>
      </c>
      <c r="B553" s="543">
        <v>45301</v>
      </c>
      <c r="C553" s="581">
        <v>1000018221</v>
      </c>
      <c r="D553" s="451" t="s">
        <v>4062</v>
      </c>
      <c r="E553" s="457"/>
      <c r="F553" s="453"/>
      <c r="G553" s="453"/>
      <c r="H553" s="453"/>
      <c r="I553" s="453"/>
      <c r="J553" s="453"/>
      <c r="K553" s="453"/>
      <c r="L553" s="453"/>
      <c r="M553" s="453"/>
      <c r="N553" s="453"/>
      <c r="O553" s="453"/>
      <c r="P553" s="453"/>
      <c r="Q553" s="453"/>
      <c r="R553" s="550"/>
      <c r="S553" s="453"/>
      <c r="T553" s="453"/>
      <c r="U553" s="453"/>
      <c r="V553" s="453"/>
      <c r="W553" s="453"/>
      <c r="X553" s="453"/>
      <c r="Y553" s="453"/>
      <c r="Z553" s="489"/>
      <c r="AA553" s="489"/>
      <c r="AB553" s="490"/>
      <c r="AC553" s="453"/>
      <c r="AD553" s="453"/>
      <c r="AE553" s="453"/>
      <c r="AF553" s="453"/>
      <c r="AG553" s="453"/>
      <c r="AH553" s="453"/>
      <c r="AI553" s="453"/>
      <c r="AJ553" s="453"/>
      <c r="AK553" s="453"/>
      <c r="AL553" s="453"/>
      <c r="AM553" s="453"/>
      <c r="AN553" s="453"/>
      <c r="AO553" s="453"/>
      <c r="AP553" s="453"/>
      <c r="AQ553" s="453"/>
      <c r="AR553" s="453"/>
      <c r="AS553" s="453"/>
      <c r="AT553" s="453"/>
      <c r="AU553" s="453">
        <v>150000</v>
      </c>
      <c r="AV553" s="453"/>
      <c r="AW553" s="453"/>
      <c r="AX553" s="453"/>
      <c r="AY553" s="453"/>
      <c r="AZ553" s="453"/>
      <c r="BA553" s="532"/>
      <c r="BB553" s="502"/>
      <c r="BC553" s="503"/>
      <c r="BD553" s="453"/>
      <c r="BE553" s="453"/>
      <c r="BF553" s="470"/>
      <c r="BG553" s="453"/>
      <c r="BH553" s="453"/>
      <c r="BI553" s="453"/>
      <c r="BJ553" s="453"/>
      <c r="BK553" s="453"/>
      <c r="BL553" s="453"/>
      <c r="BM553" s="502"/>
      <c r="BN553" s="490"/>
      <c r="BO553" s="470"/>
      <c r="BP553" s="574"/>
      <c r="BQ553" s="458"/>
      <c r="BR553" s="577"/>
      <c r="BS553" s="524"/>
      <c r="BT553" s="586"/>
    </row>
    <row r="554" s="435" customFormat="1" ht="18" customHeight="1" spans="1:72">
      <c r="A554" s="451" t="s">
        <v>4032</v>
      </c>
      <c r="B554" s="543">
        <v>45301</v>
      </c>
      <c r="C554" s="581"/>
      <c r="D554" s="451" t="s">
        <v>4062</v>
      </c>
      <c r="E554" s="457"/>
      <c r="F554" s="453"/>
      <c r="G554" s="453"/>
      <c r="H554" s="453"/>
      <c r="I554" s="453"/>
      <c r="J554" s="453"/>
      <c r="K554" s="453"/>
      <c r="L554" s="453"/>
      <c r="M554" s="453"/>
      <c r="N554" s="453"/>
      <c r="O554" s="453">
        <v>20001</v>
      </c>
      <c r="P554" s="453"/>
      <c r="Q554" s="453"/>
      <c r="R554" s="550"/>
      <c r="S554" s="453"/>
      <c r="T554" s="453"/>
      <c r="U554" s="453"/>
      <c r="V554" s="453"/>
      <c r="W554" s="453"/>
      <c r="X554" s="453"/>
      <c r="Y554" s="453"/>
      <c r="Z554" s="489"/>
      <c r="AA554" s="489"/>
      <c r="AB554" s="490"/>
      <c r="AC554" s="453"/>
      <c r="AD554" s="453"/>
      <c r="AE554" s="453"/>
      <c r="AF554" s="453"/>
      <c r="AG554" s="453"/>
      <c r="AH554" s="453"/>
      <c r="AI554" s="453"/>
      <c r="AJ554" s="453"/>
      <c r="AK554" s="453"/>
      <c r="AL554" s="453"/>
      <c r="AM554" s="453"/>
      <c r="AN554" s="453"/>
      <c r="AO554" s="453"/>
      <c r="AP554" s="453"/>
      <c r="AQ554" s="453"/>
      <c r="AR554" s="453"/>
      <c r="AS554" s="453"/>
      <c r="AT554" s="453"/>
      <c r="AU554" s="453"/>
      <c r="AV554" s="453"/>
      <c r="AW554" s="453"/>
      <c r="AX554" s="453"/>
      <c r="AY554" s="453"/>
      <c r="AZ554" s="453"/>
      <c r="BA554" s="532"/>
      <c r="BB554" s="502"/>
      <c r="BC554" s="503"/>
      <c r="BD554" s="453"/>
      <c r="BE554" s="453"/>
      <c r="BF554" s="470"/>
      <c r="BG554" s="453"/>
      <c r="BH554" s="453"/>
      <c r="BI554" s="453"/>
      <c r="BJ554" s="453"/>
      <c r="BK554" s="453"/>
      <c r="BL554" s="453"/>
      <c r="BM554" s="502"/>
      <c r="BN554" s="490"/>
      <c r="BO554" s="470"/>
      <c r="BP554" s="574"/>
      <c r="BQ554" s="458"/>
      <c r="BR554" s="577"/>
      <c r="BS554" s="524"/>
      <c r="BT554" s="586"/>
    </row>
    <row r="555" s="435" customFormat="1" ht="18" customHeight="1" spans="1:72">
      <c r="A555" s="451" t="s">
        <v>4032</v>
      </c>
      <c r="B555" s="543">
        <v>45301</v>
      </c>
      <c r="C555" s="581"/>
      <c r="D555" s="451" t="s">
        <v>4062</v>
      </c>
      <c r="E555" s="457"/>
      <c r="F555" s="453"/>
      <c r="G555" s="453"/>
      <c r="H555" s="453"/>
      <c r="I555" s="453"/>
      <c r="J555" s="453"/>
      <c r="K555" s="453"/>
      <c r="L555" s="453"/>
      <c r="M555" s="453"/>
      <c r="N555" s="453"/>
      <c r="O555" s="453"/>
      <c r="P555" s="453">
        <v>2001</v>
      </c>
      <c r="Q555" s="453"/>
      <c r="R555" s="550"/>
      <c r="S555" s="453"/>
      <c r="T555" s="453"/>
      <c r="U555" s="453"/>
      <c r="V555" s="453"/>
      <c r="W555" s="453"/>
      <c r="X555" s="453"/>
      <c r="Y555" s="453"/>
      <c r="Z555" s="489"/>
      <c r="AA555" s="489"/>
      <c r="AB555" s="490"/>
      <c r="AC555" s="453"/>
      <c r="AD555" s="453"/>
      <c r="AE555" s="453"/>
      <c r="AF555" s="453"/>
      <c r="AG555" s="453"/>
      <c r="AH555" s="453"/>
      <c r="AI555" s="453"/>
      <c r="AJ555" s="453"/>
      <c r="AK555" s="453"/>
      <c r="AL555" s="453"/>
      <c r="AM555" s="453"/>
      <c r="AN555" s="453"/>
      <c r="AO555" s="453"/>
      <c r="AP555" s="453"/>
      <c r="AQ555" s="453"/>
      <c r="AR555" s="453"/>
      <c r="AS555" s="453"/>
      <c r="AT555" s="453"/>
      <c r="AU555" s="453"/>
      <c r="AV555" s="453"/>
      <c r="AW555" s="453"/>
      <c r="AX555" s="453"/>
      <c r="AY555" s="453"/>
      <c r="AZ555" s="453"/>
      <c r="BA555" s="532"/>
      <c r="BB555" s="502"/>
      <c r="BC555" s="503"/>
      <c r="BD555" s="453"/>
      <c r="BE555" s="453"/>
      <c r="BF555" s="470"/>
      <c r="BG555" s="453"/>
      <c r="BH555" s="453"/>
      <c r="BI555" s="453"/>
      <c r="BJ555" s="453"/>
      <c r="BK555" s="453"/>
      <c r="BL555" s="453"/>
      <c r="BM555" s="502"/>
      <c r="BN555" s="490"/>
      <c r="BO555" s="470"/>
      <c r="BP555" s="574"/>
      <c r="BQ555" s="458"/>
      <c r="BR555" s="577"/>
      <c r="BS555" s="524"/>
      <c r="BT555" s="586"/>
    </row>
    <row r="556" s="435" customFormat="1" ht="18" customHeight="1" spans="1:72">
      <c r="A556" s="451" t="s">
        <v>4032</v>
      </c>
      <c r="B556" s="543">
        <v>45301</v>
      </c>
      <c r="C556" s="581"/>
      <c r="D556" s="451" t="s">
        <v>4062</v>
      </c>
      <c r="E556" s="457"/>
      <c r="F556" s="453"/>
      <c r="G556" s="453"/>
      <c r="H556" s="453"/>
      <c r="I556" s="453"/>
      <c r="J556" s="453"/>
      <c r="K556" s="453"/>
      <c r="L556" s="453"/>
      <c r="M556" s="453"/>
      <c r="N556" s="453"/>
      <c r="O556" s="453"/>
      <c r="P556" s="453"/>
      <c r="Q556" s="453">
        <v>1001</v>
      </c>
      <c r="R556" s="550"/>
      <c r="S556" s="453"/>
      <c r="T556" s="453"/>
      <c r="U556" s="453"/>
      <c r="V556" s="453"/>
      <c r="W556" s="453"/>
      <c r="X556" s="453"/>
      <c r="Y556" s="453"/>
      <c r="Z556" s="489"/>
      <c r="AA556" s="489"/>
      <c r="AB556" s="490"/>
      <c r="AC556" s="453"/>
      <c r="AD556" s="453"/>
      <c r="AE556" s="453"/>
      <c r="AF556" s="453"/>
      <c r="AG556" s="453"/>
      <c r="AH556" s="453"/>
      <c r="AI556" s="453"/>
      <c r="AJ556" s="453"/>
      <c r="AK556" s="453"/>
      <c r="AL556" s="453"/>
      <c r="AM556" s="453"/>
      <c r="AN556" s="453"/>
      <c r="AO556" s="453"/>
      <c r="AP556" s="453"/>
      <c r="AQ556" s="453"/>
      <c r="AR556" s="453"/>
      <c r="AS556" s="453"/>
      <c r="AT556" s="453"/>
      <c r="AU556" s="453"/>
      <c r="AV556" s="453"/>
      <c r="AW556" s="453"/>
      <c r="AX556" s="453"/>
      <c r="AY556" s="453"/>
      <c r="AZ556" s="453"/>
      <c r="BA556" s="532"/>
      <c r="BB556" s="502"/>
      <c r="BC556" s="503"/>
      <c r="BD556" s="453"/>
      <c r="BE556" s="453"/>
      <c r="BF556" s="470"/>
      <c r="BG556" s="453"/>
      <c r="BH556" s="453"/>
      <c r="BI556" s="453"/>
      <c r="BJ556" s="453"/>
      <c r="BK556" s="453"/>
      <c r="BL556" s="453"/>
      <c r="BM556" s="502"/>
      <c r="BN556" s="490"/>
      <c r="BO556" s="470"/>
      <c r="BP556" s="574"/>
      <c r="BQ556" s="458"/>
      <c r="BR556" s="577"/>
      <c r="BS556" s="524"/>
      <c r="BT556" s="586"/>
    </row>
    <row r="557" s="435" customFormat="1" ht="18" customHeight="1" spans="1:72">
      <c r="A557" s="451" t="s">
        <v>4032</v>
      </c>
      <c r="B557" s="543">
        <v>45301</v>
      </c>
      <c r="C557" s="581"/>
      <c r="D557" s="451" t="s">
        <v>4062</v>
      </c>
      <c r="E557" s="457"/>
      <c r="F557" s="453"/>
      <c r="G557" s="453"/>
      <c r="H557" s="453"/>
      <c r="I557" s="453"/>
      <c r="J557" s="453"/>
      <c r="K557" s="453"/>
      <c r="L557" s="453"/>
      <c r="M557" s="453"/>
      <c r="N557" s="453"/>
      <c r="O557" s="453"/>
      <c r="P557" s="453"/>
      <c r="Q557" s="453"/>
      <c r="R557" s="550"/>
      <c r="S557" s="453"/>
      <c r="T557" s="453">
        <v>20001</v>
      </c>
      <c r="U557" s="453"/>
      <c r="V557" s="453"/>
      <c r="W557" s="453"/>
      <c r="X557" s="453"/>
      <c r="Y557" s="453"/>
      <c r="Z557" s="489"/>
      <c r="AA557" s="489"/>
      <c r="AB557" s="490"/>
      <c r="AC557" s="453"/>
      <c r="AD557" s="453"/>
      <c r="AE557" s="453"/>
      <c r="AF557" s="453"/>
      <c r="AG557" s="453"/>
      <c r="AH557" s="453"/>
      <c r="AI557" s="453"/>
      <c r="AJ557" s="453"/>
      <c r="AK557" s="453"/>
      <c r="AL557" s="453"/>
      <c r="AM557" s="453"/>
      <c r="AN557" s="453"/>
      <c r="AO557" s="453"/>
      <c r="AP557" s="453"/>
      <c r="AQ557" s="453"/>
      <c r="AR557" s="453"/>
      <c r="AS557" s="453"/>
      <c r="AT557" s="453"/>
      <c r="AU557" s="453"/>
      <c r="AV557" s="453"/>
      <c r="AW557" s="453"/>
      <c r="AX557" s="453"/>
      <c r="AY557" s="453"/>
      <c r="AZ557" s="453"/>
      <c r="BA557" s="532"/>
      <c r="BB557" s="502"/>
      <c r="BC557" s="503"/>
      <c r="BD557" s="453"/>
      <c r="BE557" s="453"/>
      <c r="BF557" s="470"/>
      <c r="BG557" s="453"/>
      <c r="BH557" s="453"/>
      <c r="BI557" s="453"/>
      <c r="BJ557" s="453"/>
      <c r="BK557" s="453"/>
      <c r="BL557" s="453"/>
      <c r="BM557" s="502"/>
      <c r="BN557" s="490"/>
      <c r="BO557" s="470"/>
      <c r="BP557" s="574"/>
      <c r="BQ557" s="458"/>
      <c r="BR557" s="577"/>
      <c r="BS557" s="524"/>
      <c r="BT557" s="586"/>
    </row>
    <row r="558" s="435" customFormat="1" ht="18" customHeight="1" spans="1:72">
      <c r="A558" s="451" t="s">
        <v>4032</v>
      </c>
      <c r="B558" s="543">
        <v>45316</v>
      </c>
      <c r="C558" s="581">
        <v>1000018386</v>
      </c>
      <c r="D558" s="451" t="s">
        <v>4062</v>
      </c>
      <c r="E558" s="457"/>
      <c r="F558" s="453"/>
      <c r="G558" s="453"/>
      <c r="H558" s="453"/>
      <c r="I558" s="453"/>
      <c r="J558" s="453"/>
      <c r="K558" s="453"/>
      <c r="L558" s="453"/>
      <c r="M558" s="453"/>
      <c r="N558" s="453"/>
      <c r="O558" s="453"/>
      <c r="P558" s="453"/>
      <c r="Q558" s="453"/>
      <c r="R558" s="550"/>
      <c r="S558" s="453"/>
      <c r="T558" s="453"/>
      <c r="U558" s="453"/>
      <c r="V558" s="453"/>
      <c r="W558" s="453"/>
      <c r="X558" s="453"/>
      <c r="Y558" s="453"/>
      <c r="Z558" s="489"/>
      <c r="AA558" s="489"/>
      <c r="AB558" s="490"/>
      <c r="AC558" s="453"/>
      <c r="AD558" s="453"/>
      <c r="AE558" s="453"/>
      <c r="AF558" s="453">
        <v>30000</v>
      </c>
      <c r="AG558" s="453"/>
      <c r="AH558" s="453"/>
      <c r="AI558" s="453"/>
      <c r="AJ558" s="453"/>
      <c r="AK558" s="453"/>
      <c r="AL558" s="453"/>
      <c r="AM558" s="453"/>
      <c r="AN558" s="453"/>
      <c r="AO558" s="453"/>
      <c r="AP558" s="453"/>
      <c r="AQ558" s="453"/>
      <c r="AR558" s="453"/>
      <c r="AS558" s="453"/>
      <c r="AT558" s="453"/>
      <c r="AU558" s="453"/>
      <c r="AV558" s="453"/>
      <c r="AW558" s="453"/>
      <c r="AX558" s="453"/>
      <c r="AY558" s="453"/>
      <c r="AZ558" s="453"/>
      <c r="BA558" s="532"/>
      <c r="BB558" s="502"/>
      <c r="BC558" s="503"/>
      <c r="BD558" s="453"/>
      <c r="BE558" s="453"/>
      <c r="BF558" s="470"/>
      <c r="BG558" s="453"/>
      <c r="BH558" s="453"/>
      <c r="BI558" s="453"/>
      <c r="BJ558" s="453"/>
      <c r="BK558" s="453"/>
      <c r="BL558" s="453"/>
      <c r="BM558" s="502"/>
      <c r="BN558" s="490"/>
      <c r="BO558" s="470"/>
      <c r="BP558" s="574"/>
      <c r="BQ558" s="458"/>
      <c r="BR558" s="577"/>
      <c r="BS558" s="524"/>
      <c r="BT558" s="586"/>
    </row>
    <row r="559" s="435" customFormat="1" ht="18" customHeight="1" spans="1:72">
      <c r="A559" s="451" t="s">
        <v>4032</v>
      </c>
      <c r="B559" s="543">
        <v>45316</v>
      </c>
      <c r="C559" s="581">
        <v>1000018387</v>
      </c>
      <c r="D559" s="451" t="s">
        <v>4062</v>
      </c>
      <c r="E559" s="457"/>
      <c r="F559" s="453"/>
      <c r="G559" s="453"/>
      <c r="H559" s="453"/>
      <c r="I559" s="453"/>
      <c r="J559" s="453"/>
      <c r="K559" s="453"/>
      <c r="L559" s="453"/>
      <c r="M559" s="453"/>
      <c r="N559" s="453"/>
      <c r="O559" s="453"/>
      <c r="P559" s="453"/>
      <c r="Q559" s="453"/>
      <c r="R559" s="550"/>
      <c r="S559" s="453"/>
      <c r="T559" s="453"/>
      <c r="U559" s="453"/>
      <c r="V559" s="453"/>
      <c r="W559" s="453"/>
      <c r="X559" s="453"/>
      <c r="Y559" s="453"/>
      <c r="Z559" s="489"/>
      <c r="AA559" s="489"/>
      <c r="AB559" s="490"/>
      <c r="AC559" s="453"/>
      <c r="AD559" s="453"/>
      <c r="AE559" s="453"/>
      <c r="AF559" s="453"/>
      <c r="AG559" s="453"/>
      <c r="AH559" s="453"/>
      <c r="AI559" s="453"/>
      <c r="AJ559" s="453"/>
      <c r="AK559" s="453"/>
      <c r="AL559" s="453"/>
      <c r="AM559" s="453"/>
      <c r="AN559" s="453"/>
      <c r="AO559" s="453"/>
      <c r="AP559" s="453"/>
      <c r="AQ559" s="453"/>
      <c r="AR559" s="453"/>
      <c r="AS559" s="453"/>
      <c r="AT559" s="453"/>
      <c r="AU559" s="453">
        <v>20000</v>
      </c>
      <c r="AV559" s="453"/>
      <c r="AW559" s="453"/>
      <c r="AX559" s="453"/>
      <c r="AY559" s="453"/>
      <c r="AZ559" s="453"/>
      <c r="BA559" s="532"/>
      <c r="BB559" s="502"/>
      <c r="BC559" s="503"/>
      <c r="BD559" s="453"/>
      <c r="BE559" s="453"/>
      <c r="BF559" s="470"/>
      <c r="BG559" s="453"/>
      <c r="BH559" s="453"/>
      <c r="BI559" s="453"/>
      <c r="BJ559" s="453"/>
      <c r="BK559" s="453"/>
      <c r="BL559" s="453"/>
      <c r="BM559" s="502"/>
      <c r="BN559" s="490"/>
      <c r="BO559" s="470"/>
      <c r="BP559" s="574"/>
      <c r="BQ559" s="458"/>
      <c r="BR559" s="577"/>
      <c r="BS559" s="524"/>
      <c r="BT559" s="586"/>
    </row>
    <row r="560" s="435" customFormat="1" ht="18" customHeight="1" spans="1:72">
      <c r="A560" s="451" t="s">
        <v>4032</v>
      </c>
      <c r="B560" s="543">
        <v>45316</v>
      </c>
      <c r="C560" s="581">
        <v>1000018374</v>
      </c>
      <c r="D560" s="451" t="s">
        <v>4062</v>
      </c>
      <c r="E560" s="457"/>
      <c r="F560" s="453"/>
      <c r="G560" s="453"/>
      <c r="H560" s="453"/>
      <c r="I560" s="453"/>
      <c r="J560" s="453"/>
      <c r="K560" s="453"/>
      <c r="L560" s="453"/>
      <c r="M560" s="453"/>
      <c r="N560" s="453"/>
      <c r="O560" s="453"/>
      <c r="P560" s="453">
        <v>2001</v>
      </c>
      <c r="Q560" s="453"/>
      <c r="R560" s="550"/>
      <c r="S560" s="453"/>
      <c r="T560" s="453"/>
      <c r="U560" s="453"/>
      <c r="V560" s="453"/>
      <c r="W560" s="453"/>
      <c r="X560" s="453"/>
      <c r="Y560" s="453"/>
      <c r="Z560" s="489"/>
      <c r="AA560" s="489"/>
      <c r="AB560" s="490"/>
      <c r="AC560" s="453"/>
      <c r="AD560" s="453"/>
      <c r="AE560" s="453"/>
      <c r="AF560" s="453"/>
      <c r="AG560" s="453"/>
      <c r="AH560" s="453"/>
      <c r="AI560" s="453"/>
      <c r="AJ560" s="453"/>
      <c r="AK560" s="453"/>
      <c r="AL560" s="453"/>
      <c r="AM560" s="453"/>
      <c r="AN560" s="453"/>
      <c r="AO560" s="453"/>
      <c r="AP560" s="453"/>
      <c r="AQ560" s="453"/>
      <c r="AR560" s="453"/>
      <c r="AS560" s="453"/>
      <c r="AT560" s="453"/>
      <c r="AU560" s="453"/>
      <c r="AV560" s="453"/>
      <c r="AW560" s="453"/>
      <c r="AX560" s="453"/>
      <c r="AY560" s="453"/>
      <c r="AZ560" s="453"/>
      <c r="BA560" s="532"/>
      <c r="BB560" s="502"/>
      <c r="BC560" s="503"/>
      <c r="BD560" s="453"/>
      <c r="BE560" s="453"/>
      <c r="BF560" s="470"/>
      <c r="BG560" s="453"/>
      <c r="BH560" s="453"/>
      <c r="BI560" s="453"/>
      <c r="BJ560" s="453"/>
      <c r="BK560" s="453"/>
      <c r="BL560" s="453"/>
      <c r="BM560" s="502"/>
      <c r="BN560" s="490"/>
      <c r="BO560" s="470"/>
      <c r="BP560" s="574"/>
      <c r="BQ560" s="458"/>
      <c r="BR560" s="577"/>
      <c r="BS560" s="524"/>
      <c r="BT560" s="586"/>
    </row>
    <row r="561" s="435" customFormat="1" ht="18" customHeight="1" spans="1:72">
      <c r="A561" s="451" t="s">
        <v>4032</v>
      </c>
      <c r="B561" s="543">
        <v>45316</v>
      </c>
      <c r="C561" s="581">
        <v>1000018375</v>
      </c>
      <c r="D561" s="451" t="s">
        <v>4062</v>
      </c>
      <c r="E561" s="457"/>
      <c r="F561" s="453"/>
      <c r="G561" s="453"/>
      <c r="H561" s="453"/>
      <c r="I561" s="453"/>
      <c r="J561" s="453"/>
      <c r="K561" s="453"/>
      <c r="L561" s="453"/>
      <c r="M561" s="453"/>
      <c r="N561" s="453"/>
      <c r="O561" s="453"/>
      <c r="P561" s="453"/>
      <c r="Q561" s="453">
        <v>3001</v>
      </c>
      <c r="R561" s="550"/>
      <c r="S561" s="453"/>
      <c r="T561" s="453"/>
      <c r="U561" s="453"/>
      <c r="V561" s="453"/>
      <c r="W561" s="453"/>
      <c r="X561" s="453"/>
      <c r="Y561" s="453"/>
      <c r="Z561" s="489"/>
      <c r="AA561" s="489"/>
      <c r="AB561" s="490"/>
      <c r="AC561" s="453"/>
      <c r="AD561" s="453"/>
      <c r="AE561" s="453"/>
      <c r="AF561" s="453"/>
      <c r="AG561" s="453"/>
      <c r="AH561" s="453"/>
      <c r="AI561" s="453"/>
      <c r="AJ561" s="453"/>
      <c r="AK561" s="453"/>
      <c r="AL561" s="453"/>
      <c r="AM561" s="453"/>
      <c r="AN561" s="453"/>
      <c r="AO561" s="453"/>
      <c r="AP561" s="453"/>
      <c r="AQ561" s="453"/>
      <c r="AR561" s="453"/>
      <c r="AS561" s="453"/>
      <c r="AT561" s="453"/>
      <c r="AU561" s="453"/>
      <c r="AV561" s="453"/>
      <c r="AW561" s="453"/>
      <c r="AX561" s="453"/>
      <c r="AY561" s="453"/>
      <c r="AZ561" s="453"/>
      <c r="BA561" s="532"/>
      <c r="BB561" s="502"/>
      <c r="BC561" s="503"/>
      <c r="BD561" s="453"/>
      <c r="BE561" s="453"/>
      <c r="BF561" s="470"/>
      <c r="BG561" s="453"/>
      <c r="BH561" s="453"/>
      <c r="BI561" s="453"/>
      <c r="BJ561" s="453"/>
      <c r="BK561" s="453"/>
      <c r="BL561" s="453"/>
      <c r="BM561" s="502"/>
      <c r="BN561" s="490"/>
      <c r="BO561" s="470"/>
      <c r="BP561" s="574"/>
      <c r="BQ561" s="458"/>
      <c r="BR561" s="577"/>
      <c r="BS561" s="524"/>
      <c r="BT561" s="586"/>
    </row>
    <row r="562" s="435" customFormat="1" ht="18" customHeight="1" spans="1:72">
      <c r="A562" s="451" t="s">
        <v>4032</v>
      </c>
      <c r="B562" s="543">
        <v>45316</v>
      </c>
      <c r="C562" s="581">
        <v>1000018376</v>
      </c>
      <c r="D562" s="451" t="s">
        <v>4062</v>
      </c>
      <c r="E562" s="457"/>
      <c r="F562" s="453"/>
      <c r="G562" s="453"/>
      <c r="H562" s="453"/>
      <c r="I562" s="453"/>
      <c r="J562" s="453"/>
      <c r="K562" s="453"/>
      <c r="L562" s="453"/>
      <c r="M562" s="453"/>
      <c r="N562" s="453"/>
      <c r="O562" s="453"/>
      <c r="P562" s="453"/>
      <c r="Q562" s="453"/>
      <c r="R562" s="550"/>
      <c r="S562" s="453"/>
      <c r="T562" s="453">
        <v>20001</v>
      </c>
      <c r="U562" s="453"/>
      <c r="V562" s="453"/>
      <c r="W562" s="453"/>
      <c r="X562" s="453"/>
      <c r="Y562" s="453"/>
      <c r="Z562" s="489"/>
      <c r="AA562" s="489"/>
      <c r="AB562" s="490"/>
      <c r="AC562" s="453"/>
      <c r="AD562" s="453"/>
      <c r="AE562" s="453"/>
      <c r="AF562" s="453"/>
      <c r="AG562" s="453"/>
      <c r="AH562" s="453"/>
      <c r="AI562" s="453"/>
      <c r="AJ562" s="453"/>
      <c r="AK562" s="453"/>
      <c r="AL562" s="453"/>
      <c r="AM562" s="453"/>
      <c r="AN562" s="453"/>
      <c r="AO562" s="453"/>
      <c r="AP562" s="453"/>
      <c r="AQ562" s="453"/>
      <c r="AR562" s="453"/>
      <c r="AS562" s="453"/>
      <c r="AT562" s="453"/>
      <c r="AU562" s="453"/>
      <c r="AV562" s="453"/>
      <c r="AW562" s="453"/>
      <c r="AX562" s="453"/>
      <c r="AY562" s="453"/>
      <c r="AZ562" s="453"/>
      <c r="BA562" s="532"/>
      <c r="BB562" s="502"/>
      <c r="BC562" s="503"/>
      <c r="BD562" s="453"/>
      <c r="BE562" s="453"/>
      <c r="BF562" s="470"/>
      <c r="BG562" s="453"/>
      <c r="BH562" s="453"/>
      <c r="BI562" s="453"/>
      <c r="BJ562" s="453"/>
      <c r="BK562" s="453"/>
      <c r="BL562" s="453"/>
      <c r="BM562" s="502"/>
      <c r="BN562" s="490"/>
      <c r="BO562" s="470"/>
      <c r="BP562" s="574"/>
      <c r="BQ562" s="458"/>
      <c r="BR562" s="577"/>
      <c r="BS562" s="524"/>
      <c r="BT562" s="586"/>
    </row>
    <row r="563" s="435" customFormat="1" ht="18" customHeight="1" spans="1:72">
      <c r="A563" s="451" t="s">
        <v>4032</v>
      </c>
      <c r="B563" s="543">
        <v>45341</v>
      </c>
      <c r="C563" s="589">
        <v>1000018475</v>
      </c>
      <c r="D563" s="451" t="s">
        <v>4060</v>
      </c>
      <c r="E563" s="457"/>
      <c r="F563" s="453"/>
      <c r="G563" s="453"/>
      <c r="H563" s="453"/>
      <c r="I563" s="453"/>
      <c r="J563" s="453"/>
      <c r="K563" s="453"/>
      <c r="L563" s="453"/>
      <c r="M563" s="453"/>
      <c r="N563" s="453"/>
      <c r="O563" s="453"/>
      <c r="P563" s="453"/>
      <c r="Q563" s="453"/>
      <c r="R563" s="550"/>
      <c r="S563" s="453"/>
      <c r="T563" s="453"/>
      <c r="U563" s="453"/>
      <c r="V563" s="453"/>
      <c r="W563" s="453"/>
      <c r="X563" s="453"/>
      <c r="Y563" s="453"/>
      <c r="Z563" s="489"/>
      <c r="AA563" s="489"/>
      <c r="AB563" s="490"/>
      <c r="AC563" s="453"/>
      <c r="AD563" s="453"/>
      <c r="AE563" s="453"/>
      <c r="AF563" s="453"/>
      <c r="AG563" s="453"/>
      <c r="AH563" s="453"/>
      <c r="AI563" s="453"/>
      <c r="AJ563" s="453"/>
      <c r="AK563" s="453"/>
      <c r="AL563" s="453"/>
      <c r="AM563" s="453"/>
      <c r="AN563" s="453"/>
      <c r="AO563" s="453"/>
      <c r="AP563" s="453"/>
      <c r="AQ563" s="453"/>
      <c r="AR563" s="453"/>
      <c r="AS563" s="453"/>
      <c r="AT563" s="453"/>
      <c r="AU563" s="453"/>
      <c r="AV563" s="453"/>
      <c r="AW563" s="453"/>
      <c r="AX563" s="453"/>
      <c r="AY563" s="453"/>
      <c r="AZ563" s="453">
        <v>30080</v>
      </c>
      <c r="BA563" s="532"/>
      <c r="BB563" s="502"/>
      <c r="BC563" s="503"/>
      <c r="BD563" s="453"/>
      <c r="BE563" s="453"/>
      <c r="BF563" s="470"/>
      <c r="BG563" s="453"/>
      <c r="BH563" s="453"/>
      <c r="BI563" s="453"/>
      <c r="BJ563" s="453"/>
      <c r="BK563" s="453"/>
      <c r="BL563" s="453"/>
      <c r="BM563" s="502"/>
      <c r="BN563" s="490"/>
      <c r="BO563" s="470"/>
      <c r="BP563" s="574"/>
      <c r="BQ563" s="458"/>
      <c r="BR563" s="577"/>
      <c r="BS563" s="524"/>
      <c r="BT563" s="586" t="s">
        <v>4070</v>
      </c>
    </row>
    <row r="564" s="435" customFormat="1" ht="18" customHeight="1" spans="1:72">
      <c r="A564" s="451" t="s">
        <v>4032</v>
      </c>
      <c r="B564" s="543">
        <v>45341</v>
      </c>
      <c r="C564" s="589">
        <v>1000018476</v>
      </c>
      <c r="D564" s="451" t="s">
        <v>4060</v>
      </c>
      <c r="E564" s="457"/>
      <c r="F564" s="453"/>
      <c r="G564" s="453"/>
      <c r="H564" s="453"/>
      <c r="I564" s="453"/>
      <c r="J564" s="453"/>
      <c r="K564" s="453"/>
      <c r="L564" s="453"/>
      <c r="M564" s="453"/>
      <c r="N564" s="453"/>
      <c r="O564" s="453"/>
      <c r="P564" s="453"/>
      <c r="Q564" s="453"/>
      <c r="R564" s="550"/>
      <c r="S564" s="453"/>
      <c r="T564" s="453"/>
      <c r="U564" s="453"/>
      <c r="V564" s="453"/>
      <c r="W564" s="453"/>
      <c r="X564" s="453"/>
      <c r="Y564" s="453"/>
      <c r="Z564" s="489"/>
      <c r="AA564" s="489"/>
      <c r="AB564" s="490"/>
      <c r="AC564" s="453"/>
      <c r="AD564" s="453"/>
      <c r="AE564" s="453"/>
      <c r="AF564" s="453"/>
      <c r="AG564" s="453"/>
      <c r="AH564" s="453"/>
      <c r="AI564" s="453"/>
      <c r="AJ564" s="453"/>
      <c r="AK564" s="453"/>
      <c r="AL564" s="453"/>
      <c r="AM564" s="453"/>
      <c r="AN564" s="453"/>
      <c r="AO564" s="453"/>
      <c r="AP564" s="453"/>
      <c r="AQ564" s="453"/>
      <c r="AR564" s="453"/>
      <c r="AS564" s="453"/>
      <c r="AT564" s="453"/>
      <c r="AU564" s="453"/>
      <c r="AV564" s="453"/>
      <c r="AW564" s="453"/>
      <c r="AX564" s="453"/>
      <c r="AY564" s="453"/>
      <c r="AZ564" s="453"/>
      <c r="BA564" s="532"/>
      <c r="BB564" s="502">
        <v>31680</v>
      </c>
      <c r="BC564" s="503"/>
      <c r="BD564" s="453"/>
      <c r="BE564" s="453"/>
      <c r="BF564" s="470"/>
      <c r="BG564" s="453"/>
      <c r="BH564" s="453"/>
      <c r="BI564" s="453"/>
      <c r="BJ564" s="453"/>
      <c r="BK564" s="453"/>
      <c r="BL564" s="453"/>
      <c r="BM564" s="502"/>
      <c r="BN564" s="490"/>
      <c r="BO564" s="470"/>
      <c r="BP564" s="574"/>
      <c r="BQ564" s="458"/>
      <c r="BR564" s="577"/>
      <c r="BS564" s="524"/>
      <c r="BT564" s="586" t="s">
        <v>4071</v>
      </c>
    </row>
    <row r="565" s="435" customFormat="1" ht="18" customHeight="1" spans="1:72">
      <c r="A565" s="451" t="s">
        <v>4032</v>
      </c>
      <c r="B565" s="543">
        <v>45350</v>
      </c>
      <c r="C565" s="589">
        <v>1000018637</v>
      </c>
      <c r="D565" s="451" t="s">
        <v>4062</v>
      </c>
      <c r="E565" s="457"/>
      <c r="F565" s="453"/>
      <c r="G565" s="453"/>
      <c r="H565" s="453"/>
      <c r="I565" s="453"/>
      <c r="J565" s="453"/>
      <c r="K565" s="453"/>
      <c r="L565" s="453"/>
      <c r="M565" s="453"/>
      <c r="N565" s="453"/>
      <c r="O565" s="453"/>
      <c r="P565" s="453"/>
      <c r="Q565" s="453"/>
      <c r="R565" s="550"/>
      <c r="S565" s="453"/>
      <c r="T565" s="453"/>
      <c r="U565" s="453"/>
      <c r="V565" s="453"/>
      <c r="W565" s="453"/>
      <c r="X565" s="453"/>
      <c r="Y565" s="453"/>
      <c r="Z565" s="489"/>
      <c r="AA565" s="489"/>
      <c r="AB565" s="490"/>
      <c r="AC565" s="453"/>
      <c r="AD565" s="453"/>
      <c r="AE565" s="453"/>
      <c r="AF565" s="453"/>
      <c r="AG565" s="453"/>
      <c r="AH565" s="453"/>
      <c r="AI565" s="453"/>
      <c r="AJ565" s="453"/>
      <c r="AK565" s="453"/>
      <c r="AL565" s="453"/>
      <c r="AM565" s="453"/>
      <c r="AN565" s="453"/>
      <c r="AO565" s="453"/>
      <c r="AP565" s="453"/>
      <c r="AQ565" s="453"/>
      <c r="AR565" s="453"/>
      <c r="AS565" s="453"/>
      <c r="AT565" s="453"/>
      <c r="AU565" s="453">
        <v>70000</v>
      </c>
      <c r="AV565" s="453"/>
      <c r="AW565" s="453"/>
      <c r="AX565" s="453"/>
      <c r="AY565" s="453"/>
      <c r="AZ565" s="453"/>
      <c r="BA565" s="532"/>
      <c r="BB565" s="502"/>
      <c r="BC565" s="503"/>
      <c r="BD565" s="453"/>
      <c r="BE565" s="453"/>
      <c r="BF565" s="470"/>
      <c r="BG565" s="453"/>
      <c r="BH565" s="453"/>
      <c r="BI565" s="453"/>
      <c r="BJ565" s="453"/>
      <c r="BK565" s="453"/>
      <c r="BL565" s="453"/>
      <c r="BM565" s="502"/>
      <c r="BN565" s="490"/>
      <c r="BO565" s="470"/>
      <c r="BP565" s="574"/>
      <c r="BQ565" s="458"/>
      <c r="BR565" s="577"/>
      <c r="BS565" s="524"/>
      <c r="BT565" s="586"/>
    </row>
    <row r="566" s="435" customFormat="1" ht="18" customHeight="1" spans="1:72">
      <c r="A566" s="451" t="s">
        <v>4032</v>
      </c>
      <c r="B566" s="543">
        <v>45355</v>
      </c>
      <c r="C566" s="589">
        <v>1000018732</v>
      </c>
      <c r="D566" s="451" t="s">
        <v>4060</v>
      </c>
      <c r="E566" s="457"/>
      <c r="F566" s="453"/>
      <c r="G566" s="453"/>
      <c r="H566" s="453"/>
      <c r="I566" s="453"/>
      <c r="J566" s="453"/>
      <c r="K566" s="453"/>
      <c r="L566" s="453"/>
      <c r="M566" s="453"/>
      <c r="N566" s="453"/>
      <c r="O566" s="453"/>
      <c r="P566" s="453"/>
      <c r="Q566" s="453"/>
      <c r="R566" s="550"/>
      <c r="S566" s="453"/>
      <c r="T566" s="453"/>
      <c r="U566" s="453"/>
      <c r="V566" s="453"/>
      <c r="W566" s="453"/>
      <c r="X566" s="453"/>
      <c r="Y566" s="453"/>
      <c r="Z566" s="489"/>
      <c r="AA566" s="489"/>
      <c r="AB566" s="490"/>
      <c r="AC566" s="453"/>
      <c r="AD566" s="453"/>
      <c r="AE566" s="453"/>
      <c r="AF566" s="453"/>
      <c r="AG566" s="453"/>
      <c r="AH566" s="453"/>
      <c r="AI566" s="453"/>
      <c r="AJ566" s="453"/>
      <c r="AK566" s="453"/>
      <c r="AL566" s="453"/>
      <c r="AM566" s="453"/>
      <c r="AN566" s="453"/>
      <c r="AO566" s="453"/>
      <c r="AP566" s="453"/>
      <c r="AQ566" s="453"/>
      <c r="AR566" s="453"/>
      <c r="AS566" s="453"/>
      <c r="AT566" s="453"/>
      <c r="AU566" s="453"/>
      <c r="AV566" s="453"/>
      <c r="AW566" s="453"/>
      <c r="AX566" s="453"/>
      <c r="AY566" s="453"/>
      <c r="AZ566" s="453"/>
      <c r="BA566" s="532">
        <v>2880</v>
      </c>
      <c r="BB566" s="502"/>
      <c r="BC566" s="503"/>
      <c r="BD566" s="453"/>
      <c r="BE566" s="453"/>
      <c r="BF566" s="470"/>
      <c r="BG566" s="453"/>
      <c r="BH566" s="453"/>
      <c r="BI566" s="453"/>
      <c r="BJ566" s="453"/>
      <c r="BK566" s="453"/>
      <c r="BL566" s="453"/>
      <c r="BM566" s="502"/>
      <c r="BN566" s="490"/>
      <c r="BO566" s="470"/>
      <c r="BP566" s="574"/>
      <c r="BQ566" s="458"/>
      <c r="BR566" s="577"/>
      <c r="BS566" s="524"/>
      <c r="BT566" s="586" t="s">
        <v>4072</v>
      </c>
    </row>
    <row r="567" s="435" customFormat="1" ht="18" customHeight="1" spans="1:72">
      <c r="A567" s="451" t="s">
        <v>4032</v>
      </c>
      <c r="B567" s="543">
        <v>45365</v>
      </c>
      <c r="C567" s="589">
        <v>1000018909</v>
      </c>
      <c r="D567" s="451" t="s">
        <v>4060</v>
      </c>
      <c r="E567" s="457"/>
      <c r="F567" s="453"/>
      <c r="G567" s="453"/>
      <c r="H567" s="453"/>
      <c r="I567" s="453"/>
      <c r="J567" s="453"/>
      <c r="K567" s="453"/>
      <c r="L567" s="453"/>
      <c r="M567" s="453"/>
      <c r="N567" s="453"/>
      <c r="O567" s="453"/>
      <c r="P567" s="453"/>
      <c r="Q567" s="453"/>
      <c r="R567" s="550"/>
      <c r="S567" s="453"/>
      <c r="T567" s="453"/>
      <c r="U567" s="453"/>
      <c r="V567" s="453"/>
      <c r="W567" s="453"/>
      <c r="X567" s="453"/>
      <c r="Y567" s="453"/>
      <c r="Z567" s="489"/>
      <c r="AA567" s="489"/>
      <c r="AB567" s="490"/>
      <c r="AC567" s="453"/>
      <c r="AD567" s="453"/>
      <c r="AE567" s="453"/>
      <c r="AF567" s="453"/>
      <c r="AG567" s="453"/>
      <c r="AH567" s="453"/>
      <c r="AI567" s="453"/>
      <c r="AJ567" s="453"/>
      <c r="AK567" s="453"/>
      <c r="AL567" s="453"/>
      <c r="AM567" s="453"/>
      <c r="AN567" s="453"/>
      <c r="AO567" s="453"/>
      <c r="AP567" s="453"/>
      <c r="AQ567" s="453"/>
      <c r="AR567" s="453"/>
      <c r="AS567" s="453"/>
      <c r="AT567" s="453"/>
      <c r="AU567" s="453"/>
      <c r="AV567" s="453"/>
      <c r="AW567" s="453"/>
      <c r="AX567" s="453"/>
      <c r="AY567" s="453"/>
      <c r="AZ567" s="453">
        <v>4168</v>
      </c>
      <c r="BA567" s="532"/>
      <c r="BB567" s="502"/>
      <c r="BC567" s="503"/>
      <c r="BD567" s="453"/>
      <c r="BE567" s="453"/>
      <c r="BF567" s="470"/>
      <c r="BG567" s="453"/>
      <c r="BH567" s="453"/>
      <c r="BI567" s="453"/>
      <c r="BJ567" s="453"/>
      <c r="BK567" s="453"/>
      <c r="BL567" s="453"/>
      <c r="BM567" s="502"/>
      <c r="BN567" s="490"/>
      <c r="BO567" s="470"/>
      <c r="BP567" s="574"/>
      <c r="BQ567" s="458"/>
      <c r="BR567" s="577"/>
      <c r="BS567" s="524"/>
      <c r="BT567" s="586" t="s">
        <v>4073</v>
      </c>
    </row>
    <row r="568" s="435" customFormat="1" ht="18" customHeight="1" spans="1:72">
      <c r="A568" s="451" t="s">
        <v>4032</v>
      </c>
      <c r="B568" s="543">
        <v>45365</v>
      </c>
      <c r="C568" s="589">
        <v>1000018925</v>
      </c>
      <c r="D568" s="451" t="s">
        <v>4074</v>
      </c>
      <c r="E568" s="457"/>
      <c r="F568" s="453"/>
      <c r="G568" s="453"/>
      <c r="H568" s="453"/>
      <c r="I568" s="453"/>
      <c r="J568" s="453"/>
      <c r="K568" s="453"/>
      <c r="L568" s="453"/>
      <c r="M568" s="453"/>
      <c r="N568" s="453"/>
      <c r="O568" s="453"/>
      <c r="P568" s="453"/>
      <c r="Q568" s="453"/>
      <c r="R568" s="550"/>
      <c r="S568" s="453"/>
      <c r="T568" s="453"/>
      <c r="U568" s="453"/>
      <c r="V568" s="453"/>
      <c r="W568" s="453"/>
      <c r="X568" s="453"/>
      <c r="Y568" s="453"/>
      <c r="Z568" s="489"/>
      <c r="AA568" s="489"/>
      <c r="AB568" s="490"/>
      <c r="AC568" s="453"/>
      <c r="AD568" s="453"/>
      <c r="AE568" s="453"/>
      <c r="AF568" s="453"/>
      <c r="AG568" s="453"/>
      <c r="AH568" s="453"/>
      <c r="AI568" s="453"/>
      <c r="AJ568" s="453"/>
      <c r="AK568" s="453"/>
      <c r="AL568" s="453"/>
      <c r="AM568" s="453"/>
      <c r="AN568" s="453"/>
      <c r="AO568" s="453"/>
      <c r="AP568" s="453"/>
      <c r="AQ568" s="453"/>
      <c r="AR568" s="453"/>
      <c r="AS568" s="453"/>
      <c r="AT568" s="453"/>
      <c r="AU568" s="453"/>
      <c r="AV568" s="453"/>
      <c r="AW568" s="453">
        <v>3000</v>
      </c>
      <c r="AX568" s="453"/>
      <c r="AY568" s="453"/>
      <c r="AZ568" s="453"/>
      <c r="BA568" s="532"/>
      <c r="BB568" s="502"/>
      <c r="BC568" s="503"/>
      <c r="BD568" s="453"/>
      <c r="BE568" s="453"/>
      <c r="BF568" s="470"/>
      <c r="BG568" s="453"/>
      <c r="BH568" s="453"/>
      <c r="BI568" s="453"/>
      <c r="BJ568" s="453"/>
      <c r="BK568" s="453"/>
      <c r="BL568" s="453"/>
      <c r="BM568" s="502"/>
      <c r="BN568" s="490"/>
      <c r="BO568" s="470"/>
      <c r="BP568" s="574"/>
      <c r="BQ568" s="458"/>
      <c r="BR568" s="577"/>
      <c r="BS568" s="524"/>
      <c r="BT568" s="586" t="s">
        <v>4075</v>
      </c>
    </row>
    <row r="569" s="435" customFormat="1" ht="18" customHeight="1" spans="1:72">
      <c r="A569" s="451" t="s">
        <v>4032</v>
      </c>
      <c r="B569" s="543">
        <v>45371</v>
      </c>
      <c r="C569" s="589">
        <v>1000018985</v>
      </c>
      <c r="D569" s="451" t="s">
        <v>4062</v>
      </c>
      <c r="E569" s="457"/>
      <c r="F569" s="453"/>
      <c r="G569" s="453"/>
      <c r="H569" s="453"/>
      <c r="I569" s="453"/>
      <c r="J569" s="453"/>
      <c r="K569" s="453"/>
      <c r="L569" s="453"/>
      <c r="M569" s="453"/>
      <c r="N569" s="453"/>
      <c r="O569" s="453"/>
      <c r="P569" s="453">
        <v>10001</v>
      </c>
      <c r="Q569" s="453"/>
      <c r="R569" s="550"/>
      <c r="S569" s="453"/>
      <c r="T569" s="453"/>
      <c r="U569" s="453"/>
      <c r="V569" s="453"/>
      <c r="W569" s="453"/>
      <c r="X569" s="453"/>
      <c r="Y569" s="453"/>
      <c r="Z569" s="489"/>
      <c r="AA569" s="489"/>
      <c r="AB569" s="490"/>
      <c r="AC569" s="453"/>
      <c r="AD569" s="453"/>
      <c r="AE569" s="453"/>
      <c r="AF569" s="453"/>
      <c r="AG569" s="453"/>
      <c r="AH569" s="453"/>
      <c r="AI569" s="453"/>
      <c r="AJ569" s="453"/>
      <c r="AK569" s="453"/>
      <c r="AL569" s="453"/>
      <c r="AM569" s="453"/>
      <c r="AN569" s="453"/>
      <c r="AO569" s="453"/>
      <c r="AP569" s="453"/>
      <c r="AQ569" s="453"/>
      <c r="AR569" s="453"/>
      <c r="AS569" s="453"/>
      <c r="AT569" s="453"/>
      <c r="AU569" s="453"/>
      <c r="AV569" s="453"/>
      <c r="AW569" s="453"/>
      <c r="AX569" s="453"/>
      <c r="AY569" s="453"/>
      <c r="AZ569" s="453"/>
      <c r="BA569" s="532"/>
      <c r="BB569" s="502"/>
      <c r="BC569" s="503"/>
      <c r="BD569" s="453"/>
      <c r="BE569" s="453"/>
      <c r="BF569" s="470"/>
      <c r="BG569" s="453"/>
      <c r="BH569" s="453"/>
      <c r="BI569" s="453"/>
      <c r="BJ569" s="453"/>
      <c r="BK569" s="453"/>
      <c r="BL569" s="453"/>
      <c r="BM569" s="502"/>
      <c r="BN569" s="490"/>
      <c r="BO569" s="470"/>
      <c r="BP569" s="574"/>
      <c r="BQ569" s="458"/>
      <c r="BR569" s="577"/>
      <c r="BS569" s="524"/>
      <c r="BT569" s="586"/>
    </row>
    <row r="570" s="435" customFormat="1" ht="18" customHeight="1" spans="1:72">
      <c r="A570" s="451" t="s">
        <v>4032</v>
      </c>
      <c r="B570" s="543">
        <v>45371</v>
      </c>
      <c r="C570" s="589">
        <v>1000018986</v>
      </c>
      <c r="D570" s="451" t="s">
        <v>4062</v>
      </c>
      <c r="E570" s="457"/>
      <c r="F570" s="453"/>
      <c r="G570" s="453"/>
      <c r="H570" s="453"/>
      <c r="I570" s="453"/>
      <c r="J570" s="453"/>
      <c r="K570" s="453"/>
      <c r="L570" s="453"/>
      <c r="M570" s="453"/>
      <c r="N570" s="453"/>
      <c r="O570" s="453"/>
      <c r="P570" s="453"/>
      <c r="Q570" s="453">
        <v>10001</v>
      </c>
      <c r="R570" s="550"/>
      <c r="S570" s="453"/>
      <c r="T570" s="453"/>
      <c r="U570" s="453"/>
      <c r="V570" s="453"/>
      <c r="W570" s="453"/>
      <c r="X570" s="453"/>
      <c r="Y570" s="453"/>
      <c r="Z570" s="489"/>
      <c r="AA570" s="489"/>
      <c r="AB570" s="490"/>
      <c r="AC570" s="453"/>
      <c r="AD570" s="453"/>
      <c r="AE570" s="453"/>
      <c r="AF570" s="453"/>
      <c r="AG570" s="453"/>
      <c r="AH570" s="453"/>
      <c r="AI570" s="453"/>
      <c r="AJ570" s="453"/>
      <c r="AK570" s="453"/>
      <c r="AL570" s="453"/>
      <c r="AM570" s="453"/>
      <c r="AN570" s="453"/>
      <c r="AO570" s="453"/>
      <c r="AP570" s="453"/>
      <c r="AQ570" s="453"/>
      <c r="AR570" s="453"/>
      <c r="AS570" s="453"/>
      <c r="AT570" s="453"/>
      <c r="AU570" s="453"/>
      <c r="AV570" s="453"/>
      <c r="AW570" s="453"/>
      <c r="AX570" s="453"/>
      <c r="AY570" s="453"/>
      <c r="AZ570" s="453"/>
      <c r="BA570" s="532"/>
      <c r="BB570" s="502"/>
      <c r="BC570" s="503"/>
      <c r="BD570" s="453"/>
      <c r="BE570" s="453"/>
      <c r="BF570" s="470"/>
      <c r="BG570" s="453"/>
      <c r="BH570" s="453"/>
      <c r="BI570" s="453"/>
      <c r="BJ570" s="453"/>
      <c r="BK570" s="453"/>
      <c r="BL570" s="453"/>
      <c r="BM570" s="502"/>
      <c r="BN570" s="490"/>
      <c r="BO570" s="470"/>
      <c r="BP570" s="574"/>
      <c r="BQ570" s="458"/>
      <c r="BR570" s="577"/>
      <c r="BS570" s="524"/>
      <c r="BT570" s="586"/>
    </row>
    <row r="571" s="435" customFormat="1" ht="18" customHeight="1" spans="1:72">
      <c r="A571" s="451" t="s">
        <v>4032</v>
      </c>
      <c r="B571" s="543">
        <v>45371</v>
      </c>
      <c r="C571" s="534">
        <v>1000018987</v>
      </c>
      <c r="D571" s="451" t="s">
        <v>4062</v>
      </c>
      <c r="E571" s="457"/>
      <c r="F571" s="453"/>
      <c r="G571" s="453"/>
      <c r="H571" s="453"/>
      <c r="I571" s="453"/>
      <c r="J571" s="453"/>
      <c r="K571" s="453"/>
      <c r="L571" s="453"/>
      <c r="M571" s="453"/>
      <c r="N571" s="453"/>
      <c r="O571" s="453"/>
      <c r="P571" s="453"/>
      <c r="Q571" s="453"/>
      <c r="R571" s="550"/>
      <c r="S571" s="453"/>
      <c r="T571" s="453">
        <v>20001</v>
      </c>
      <c r="U571" s="453"/>
      <c r="V571" s="453"/>
      <c r="W571" s="453"/>
      <c r="X571" s="453"/>
      <c r="Y571" s="453"/>
      <c r="Z571" s="489"/>
      <c r="AA571" s="489"/>
      <c r="AB571" s="490"/>
      <c r="AC571" s="453"/>
      <c r="AD571" s="453"/>
      <c r="AE571" s="453"/>
      <c r="AF571" s="453"/>
      <c r="AG571" s="453"/>
      <c r="AH571" s="453"/>
      <c r="AI571" s="453"/>
      <c r="AJ571" s="453"/>
      <c r="AK571" s="453"/>
      <c r="AL571" s="453"/>
      <c r="AM571" s="453"/>
      <c r="AN571" s="453"/>
      <c r="AO571" s="453"/>
      <c r="AP571" s="453"/>
      <c r="AQ571" s="453"/>
      <c r="AR571" s="453"/>
      <c r="AS571" s="453"/>
      <c r="AT571" s="453"/>
      <c r="AU571" s="453"/>
      <c r="AV571" s="453"/>
      <c r="AW571" s="453"/>
      <c r="AX571" s="453"/>
      <c r="AY571" s="453"/>
      <c r="AZ571" s="453"/>
      <c r="BA571" s="532"/>
      <c r="BB571" s="502"/>
      <c r="BC571" s="503"/>
      <c r="BD571" s="453"/>
      <c r="BE571" s="453"/>
      <c r="BF571" s="470"/>
      <c r="BG571" s="453"/>
      <c r="BH571" s="453"/>
      <c r="BI571" s="453"/>
      <c r="BJ571" s="453"/>
      <c r="BK571" s="453"/>
      <c r="BL571" s="453"/>
      <c r="BM571" s="502"/>
      <c r="BN571" s="490"/>
      <c r="BO571" s="470"/>
      <c r="BP571" s="574"/>
      <c r="BQ571" s="458"/>
      <c r="BR571" s="577"/>
      <c r="BS571" s="524"/>
      <c r="BT571" s="586"/>
    </row>
    <row r="572" s="435" customFormat="1" ht="18" customHeight="1" spans="1:72">
      <c r="A572" s="451" t="s">
        <v>4032</v>
      </c>
      <c r="B572" s="543">
        <v>45371</v>
      </c>
      <c r="C572" s="589">
        <v>1000019019</v>
      </c>
      <c r="D572" s="451" t="s">
        <v>4062</v>
      </c>
      <c r="E572" s="457"/>
      <c r="F572" s="453"/>
      <c r="G572" s="453"/>
      <c r="H572" s="453"/>
      <c r="I572" s="453"/>
      <c r="J572" s="453"/>
      <c r="K572" s="453"/>
      <c r="L572" s="453"/>
      <c r="M572" s="453"/>
      <c r="N572" s="453"/>
      <c r="O572" s="453"/>
      <c r="P572" s="453"/>
      <c r="Q572" s="453"/>
      <c r="R572" s="550"/>
      <c r="S572" s="453"/>
      <c r="T572" s="453"/>
      <c r="U572" s="453"/>
      <c r="V572" s="453"/>
      <c r="W572" s="453"/>
      <c r="X572" s="453"/>
      <c r="Y572" s="453"/>
      <c r="Z572" s="489"/>
      <c r="AA572" s="489"/>
      <c r="AB572" s="490"/>
      <c r="AC572" s="453"/>
      <c r="AD572" s="453"/>
      <c r="AE572" s="453"/>
      <c r="AF572" s="453"/>
      <c r="AG572" s="453"/>
      <c r="AH572" s="453"/>
      <c r="AI572" s="453"/>
      <c r="AJ572" s="453"/>
      <c r="AK572" s="453"/>
      <c r="AL572" s="453"/>
      <c r="AM572" s="453"/>
      <c r="AN572" s="453"/>
      <c r="AO572" s="453"/>
      <c r="AP572" s="453"/>
      <c r="AQ572" s="453"/>
      <c r="AR572" s="453"/>
      <c r="AS572" s="453"/>
      <c r="AT572" s="453"/>
      <c r="AU572" s="453"/>
      <c r="AV572" s="453"/>
      <c r="AW572" s="453"/>
      <c r="AX572" s="453"/>
      <c r="AY572" s="453"/>
      <c r="AZ572" s="453"/>
      <c r="BA572" s="532"/>
      <c r="BB572" s="502"/>
      <c r="BC572" s="503"/>
      <c r="BD572" s="453"/>
      <c r="BE572" s="453"/>
      <c r="BF572" s="470"/>
      <c r="BG572" s="453">
        <v>3024</v>
      </c>
      <c r="BH572" s="453"/>
      <c r="BI572" s="453"/>
      <c r="BJ572" s="453"/>
      <c r="BK572" s="453"/>
      <c r="BL572" s="453"/>
      <c r="BM572" s="502"/>
      <c r="BN572" s="490"/>
      <c r="BO572" s="470"/>
      <c r="BP572" s="574"/>
      <c r="BQ572" s="458"/>
      <c r="BR572" s="577"/>
      <c r="BS572" s="524"/>
      <c r="BT572" s="586"/>
    </row>
    <row r="573" s="435" customFormat="1" ht="18" customHeight="1" spans="1:72">
      <c r="A573" s="451" t="s">
        <v>4032</v>
      </c>
      <c r="B573" s="543">
        <v>45371</v>
      </c>
      <c r="C573" s="589">
        <v>1000019020</v>
      </c>
      <c r="D573" s="451" t="s">
        <v>4062</v>
      </c>
      <c r="E573" s="457"/>
      <c r="F573" s="453"/>
      <c r="G573" s="453"/>
      <c r="H573" s="453"/>
      <c r="I573" s="453"/>
      <c r="J573" s="453"/>
      <c r="K573" s="453"/>
      <c r="L573" s="453"/>
      <c r="M573" s="453"/>
      <c r="N573" s="453"/>
      <c r="O573" s="453"/>
      <c r="P573" s="453"/>
      <c r="Q573" s="453"/>
      <c r="R573" s="550"/>
      <c r="S573" s="453"/>
      <c r="T573" s="453"/>
      <c r="U573" s="453"/>
      <c r="V573" s="453"/>
      <c r="W573" s="453"/>
      <c r="X573" s="453"/>
      <c r="Y573" s="453"/>
      <c r="Z573" s="489"/>
      <c r="AA573" s="489"/>
      <c r="AB573" s="490"/>
      <c r="AC573" s="453"/>
      <c r="AD573" s="453"/>
      <c r="AE573" s="453"/>
      <c r="AF573" s="453"/>
      <c r="AG573" s="453"/>
      <c r="AH573" s="453"/>
      <c r="AI573" s="453"/>
      <c r="AJ573" s="453"/>
      <c r="AK573" s="453"/>
      <c r="AL573" s="453"/>
      <c r="AM573" s="453"/>
      <c r="AN573" s="453"/>
      <c r="AO573" s="453"/>
      <c r="AP573" s="453"/>
      <c r="AQ573" s="453"/>
      <c r="AR573" s="453"/>
      <c r="AS573" s="453"/>
      <c r="AT573" s="453"/>
      <c r="AU573" s="453"/>
      <c r="AV573" s="453"/>
      <c r="AW573" s="453"/>
      <c r="AX573" s="453"/>
      <c r="AY573" s="453"/>
      <c r="AZ573" s="453"/>
      <c r="BA573" s="532"/>
      <c r="BB573" s="502"/>
      <c r="BC573" s="503"/>
      <c r="BD573" s="453"/>
      <c r="BE573" s="453"/>
      <c r="BF573" s="470"/>
      <c r="BG573" s="453"/>
      <c r="BH573" s="453">
        <v>5001</v>
      </c>
      <c r="BI573" s="453"/>
      <c r="BJ573" s="453"/>
      <c r="BK573" s="453"/>
      <c r="BL573" s="453"/>
      <c r="BM573" s="502"/>
      <c r="BN573" s="490"/>
      <c r="BO573" s="470"/>
      <c r="BP573" s="574"/>
      <c r="BQ573" s="458"/>
      <c r="BR573" s="577"/>
      <c r="BS573" s="524"/>
      <c r="BT573" s="586"/>
    </row>
    <row r="574" s="435" customFormat="1" ht="18" customHeight="1" spans="1:72">
      <c r="A574" s="451" t="s">
        <v>4032</v>
      </c>
      <c r="B574" s="543">
        <v>45371</v>
      </c>
      <c r="C574" s="589">
        <v>1000019021</v>
      </c>
      <c r="D574" s="451" t="s">
        <v>4062</v>
      </c>
      <c r="E574" s="457"/>
      <c r="F574" s="453"/>
      <c r="G574" s="453"/>
      <c r="H574" s="453"/>
      <c r="I574" s="453"/>
      <c r="J574" s="453"/>
      <c r="K574" s="453"/>
      <c r="L574" s="453"/>
      <c r="M574" s="453"/>
      <c r="N574" s="453"/>
      <c r="O574" s="453"/>
      <c r="P574" s="453"/>
      <c r="Q574" s="453"/>
      <c r="R574" s="550"/>
      <c r="S574" s="453"/>
      <c r="T574" s="453"/>
      <c r="U574" s="453"/>
      <c r="V574" s="453"/>
      <c r="W574" s="453"/>
      <c r="X574" s="453"/>
      <c r="Y574" s="453"/>
      <c r="Z574" s="489"/>
      <c r="AA574" s="489"/>
      <c r="AB574" s="490"/>
      <c r="AC574" s="453"/>
      <c r="AD574" s="453"/>
      <c r="AE574" s="453"/>
      <c r="AF574" s="453"/>
      <c r="AG574" s="453"/>
      <c r="AH574" s="453"/>
      <c r="AI574" s="453"/>
      <c r="AJ574" s="453"/>
      <c r="AK574" s="453"/>
      <c r="AL574" s="453"/>
      <c r="AM574" s="453"/>
      <c r="AN574" s="453"/>
      <c r="AO574" s="453"/>
      <c r="AP574" s="453"/>
      <c r="AQ574" s="453"/>
      <c r="AR574" s="453"/>
      <c r="AS574" s="453"/>
      <c r="AT574" s="453"/>
      <c r="AU574" s="453"/>
      <c r="AV574" s="453"/>
      <c r="AW574" s="453"/>
      <c r="AX574" s="453"/>
      <c r="AY574" s="453"/>
      <c r="AZ574" s="453"/>
      <c r="BA574" s="532"/>
      <c r="BB574" s="502"/>
      <c r="BC574" s="503"/>
      <c r="BD574" s="453"/>
      <c r="BE574" s="453"/>
      <c r="BF574" s="470"/>
      <c r="BG574" s="453"/>
      <c r="BH574" s="453"/>
      <c r="BI574" s="453">
        <v>8025</v>
      </c>
      <c r="BJ574" s="453"/>
      <c r="BK574" s="453"/>
      <c r="BL574" s="453"/>
      <c r="BM574" s="502"/>
      <c r="BN574" s="490"/>
      <c r="BO574" s="470"/>
      <c r="BP574" s="574"/>
      <c r="BQ574" s="458"/>
      <c r="BR574" s="577"/>
      <c r="BS574" s="524"/>
      <c r="BT574" s="586"/>
    </row>
    <row r="575" s="435" customFormat="1" ht="18" customHeight="1" spans="1:72">
      <c r="A575" s="451" t="s">
        <v>4032</v>
      </c>
      <c r="B575" s="543">
        <v>45371</v>
      </c>
      <c r="C575" s="589">
        <v>1000019022</v>
      </c>
      <c r="D575" s="451" t="s">
        <v>4062</v>
      </c>
      <c r="E575" s="457"/>
      <c r="F575" s="453"/>
      <c r="G575" s="453"/>
      <c r="H575" s="453"/>
      <c r="I575" s="453"/>
      <c r="J575" s="453"/>
      <c r="K575" s="453"/>
      <c r="L575" s="453"/>
      <c r="M575" s="453"/>
      <c r="N575" s="453"/>
      <c r="O575" s="453"/>
      <c r="P575" s="453"/>
      <c r="Q575" s="453"/>
      <c r="R575" s="550"/>
      <c r="S575" s="453"/>
      <c r="T575" s="453"/>
      <c r="U575" s="453"/>
      <c r="V575" s="453"/>
      <c r="W575" s="453"/>
      <c r="X575" s="453"/>
      <c r="Y575" s="453"/>
      <c r="Z575" s="489"/>
      <c r="AA575" s="489"/>
      <c r="AB575" s="490"/>
      <c r="AC575" s="453"/>
      <c r="AD575" s="453"/>
      <c r="AE575" s="453"/>
      <c r="AF575" s="453"/>
      <c r="AG575" s="453"/>
      <c r="AH575" s="453"/>
      <c r="AI575" s="453"/>
      <c r="AJ575" s="453"/>
      <c r="AK575" s="453"/>
      <c r="AL575" s="453"/>
      <c r="AM575" s="453"/>
      <c r="AN575" s="453"/>
      <c r="AO575" s="453"/>
      <c r="AP575" s="453"/>
      <c r="AQ575" s="453"/>
      <c r="AR575" s="453"/>
      <c r="AS575" s="453"/>
      <c r="AT575" s="453"/>
      <c r="AU575" s="453"/>
      <c r="AV575" s="453"/>
      <c r="AW575" s="453"/>
      <c r="AX575" s="453"/>
      <c r="AY575" s="453"/>
      <c r="AZ575" s="453"/>
      <c r="BA575" s="532"/>
      <c r="BB575" s="502"/>
      <c r="BC575" s="503"/>
      <c r="BD575" s="453"/>
      <c r="BE575" s="453"/>
      <c r="BF575" s="470"/>
      <c r="BG575" s="453"/>
      <c r="BH575" s="453"/>
      <c r="BI575" s="453"/>
      <c r="BJ575" s="453">
        <v>760</v>
      </c>
      <c r="BK575" s="453"/>
      <c r="BL575" s="453"/>
      <c r="BM575" s="502"/>
      <c r="BN575" s="490"/>
      <c r="BO575" s="470"/>
      <c r="BP575" s="574"/>
      <c r="BQ575" s="458"/>
      <c r="BR575" s="577"/>
      <c r="BS575" s="524"/>
      <c r="BT575" s="586"/>
    </row>
    <row r="576" s="435" customFormat="1" ht="18" customHeight="1" spans="1:72">
      <c r="A576" s="451" t="s">
        <v>4032</v>
      </c>
      <c r="B576" s="543">
        <v>45371</v>
      </c>
      <c r="C576" s="589">
        <v>1000019023</v>
      </c>
      <c r="D576" s="451" t="s">
        <v>4062</v>
      </c>
      <c r="E576" s="457"/>
      <c r="F576" s="453"/>
      <c r="G576" s="453"/>
      <c r="H576" s="453"/>
      <c r="I576" s="453"/>
      <c r="J576" s="453"/>
      <c r="K576" s="453"/>
      <c r="L576" s="453"/>
      <c r="M576" s="453"/>
      <c r="N576" s="453"/>
      <c r="O576" s="453"/>
      <c r="P576" s="453"/>
      <c r="Q576" s="453"/>
      <c r="R576" s="550"/>
      <c r="S576" s="453"/>
      <c r="T576" s="453"/>
      <c r="U576" s="453"/>
      <c r="V576" s="453"/>
      <c r="W576" s="453"/>
      <c r="X576" s="453"/>
      <c r="Y576" s="453"/>
      <c r="Z576" s="489"/>
      <c r="AA576" s="489"/>
      <c r="AB576" s="490"/>
      <c r="AC576" s="453"/>
      <c r="AD576" s="453"/>
      <c r="AE576" s="453"/>
      <c r="AF576" s="453"/>
      <c r="AG576" s="453"/>
      <c r="AH576" s="453"/>
      <c r="AI576" s="453"/>
      <c r="AJ576" s="453"/>
      <c r="AK576" s="453"/>
      <c r="AL576" s="453"/>
      <c r="AM576" s="453"/>
      <c r="AN576" s="453"/>
      <c r="AO576" s="453"/>
      <c r="AP576" s="453"/>
      <c r="AQ576" s="453"/>
      <c r="AR576" s="453"/>
      <c r="AS576" s="453"/>
      <c r="AT576" s="453"/>
      <c r="AU576" s="453"/>
      <c r="AV576" s="453"/>
      <c r="AW576" s="453"/>
      <c r="AX576" s="453"/>
      <c r="AY576" s="453"/>
      <c r="AZ576" s="453"/>
      <c r="BA576" s="532"/>
      <c r="BB576" s="502"/>
      <c r="BC576" s="503"/>
      <c r="BD576" s="453"/>
      <c r="BE576" s="453"/>
      <c r="BF576" s="470"/>
      <c r="BG576" s="453"/>
      <c r="BH576" s="453"/>
      <c r="BI576" s="453"/>
      <c r="BJ576" s="453"/>
      <c r="BK576" s="453"/>
      <c r="BL576" s="453"/>
      <c r="BM576" s="502"/>
      <c r="BN576" s="490"/>
      <c r="BO576" s="470"/>
      <c r="BP576" s="574">
        <v>2502</v>
      </c>
      <c r="BQ576" s="458"/>
      <c r="BR576" s="577"/>
      <c r="BS576" s="524"/>
      <c r="BT576" s="586"/>
    </row>
    <row r="577" s="435" customFormat="1" ht="18" customHeight="1" spans="1:72">
      <c r="A577" s="451" t="s">
        <v>4032</v>
      </c>
      <c r="B577" s="543">
        <v>45380</v>
      </c>
      <c r="C577" s="591" t="s">
        <v>4076</v>
      </c>
      <c r="D577" s="587" t="s">
        <v>4077</v>
      </c>
      <c r="E577" s="457"/>
      <c r="F577" s="453"/>
      <c r="G577" s="453"/>
      <c r="H577" s="453"/>
      <c r="I577" s="453"/>
      <c r="J577" s="453"/>
      <c r="K577" s="453"/>
      <c r="L577" s="453"/>
      <c r="M577" s="453"/>
      <c r="N577" s="453"/>
      <c r="O577" s="453"/>
      <c r="P577" s="453"/>
      <c r="Q577" s="453"/>
      <c r="R577" s="550"/>
      <c r="S577" s="453"/>
      <c r="T577" s="453"/>
      <c r="U577" s="453"/>
      <c r="V577" s="453"/>
      <c r="W577" s="453"/>
      <c r="X577" s="453"/>
      <c r="Y577" s="453"/>
      <c r="Z577" s="489"/>
      <c r="AA577" s="489"/>
      <c r="AB577" s="490"/>
      <c r="AC577" s="453"/>
      <c r="AD577" s="453"/>
      <c r="AE577" s="453"/>
      <c r="AF577" s="453"/>
      <c r="AG577" s="453"/>
      <c r="AH577" s="453"/>
      <c r="AI577" s="453"/>
      <c r="AJ577" s="453"/>
      <c r="AK577" s="453"/>
      <c r="AL577" s="453"/>
      <c r="AM577" s="453"/>
      <c r="AN577" s="453"/>
      <c r="AO577" s="453"/>
      <c r="AP577" s="453"/>
      <c r="AQ577" s="453"/>
      <c r="AR577" s="453"/>
      <c r="AS577" s="453"/>
      <c r="AT577" s="453"/>
      <c r="AU577" s="453"/>
      <c r="AV577" s="453"/>
      <c r="AW577" s="453"/>
      <c r="AX577" s="453"/>
      <c r="AY577" s="453">
        <v>9000</v>
      </c>
      <c r="AZ577" s="453"/>
      <c r="BA577" s="532"/>
      <c r="BB577" s="502"/>
      <c r="BC577" s="503"/>
      <c r="BD577" s="453"/>
      <c r="BE577" s="453"/>
      <c r="BF577" s="470"/>
      <c r="BG577" s="453"/>
      <c r="BH577" s="453"/>
      <c r="BI577" s="453"/>
      <c r="BJ577" s="453"/>
      <c r="BK577" s="453"/>
      <c r="BL577" s="453"/>
      <c r="BM577" s="502"/>
      <c r="BN577" s="490"/>
      <c r="BO577" s="470"/>
      <c r="BP577" s="574"/>
      <c r="BQ577" s="458"/>
      <c r="BR577" s="577"/>
      <c r="BS577" s="524"/>
      <c r="BT577" s="586" t="s">
        <v>4078</v>
      </c>
    </row>
    <row r="578" s="435" customFormat="1" ht="18" customHeight="1" spans="1:72">
      <c r="A578" s="451" t="s">
        <v>4032</v>
      </c>
      <c r="B578" s="543">
        <v>45384</v>
      </c>
      <c r="C578" s="591">
        <v>1000019271</v>
      </c>
      <c r="D578" s="587" t="s">
        <v>4060</v>
      </c>
      <c r="E578" s="457"/>
      <c r="F578" s="453"/>
      <c r="G578" s="453"/>
      <c r="H578" s="453"/>
      <c r="I578" s="453"/>
      <c r="J578" s="453"/>
      <c r="K578" s="453"/>
      <c r="L578" s="453"/>
      <c r="M578" s="453"/>
      <c r="N578" s="453"/>
      <c r="O578" s="453"/>
      <c r="P578" s="453"/>
      <c r="Q578" s="453"/>
      <c r="R578" s="550"/>
      <c r="S578" s="453"/>
      <c r="T578" s="453"/>
      <c r="U578" s="453"/>
      <c r="V578" s="453"/>
      <c r="W578" s="453"/>
      <c r="X578" s="453"/>
      <c r="Y578" s="453"/>
      <c r="Z578" s="489"/>
      <c r="AA578" s="489"/>
      <c r="AB578" s="490"/>
      <c r="AC578" s="453"/>
      <c r="AD578" s="453"/>
      <c r="AE578" s="453"/>
      <c r="AF578" s="453"/>
      <c r="AG578" s="453"/>
      <c r="AH578" s="453"/>
      <c r="AI578" s="453"/>
      <c r="AJ578" s="453"/>
      <c r="AK578" s="453"/>
      <c r="AL578" s="453"/>
      <c r="AM578" s="453"/>
      <c r="AN578" s="453"/>
      <c r="AO578" s="453"/>
      <c r="AP578" s="453"/>
      <c r="AQ578" s="453"/>
      <c r="AR578" s="453"/>
      <c r="AS578" s="453"/>
      <c r="AT578" s="453"/>
      <c r="AU578" s="453"/>
      <c r="AV578" s="453"/>
      <c r="AW578" s="453"/>
      <c r="AX578" s="453"/>
      <c r="AY578" s="453"/>
      <c r="AZ578" s="453"/>
      <c r="BA578" s="532">
        <v>1600</v>
      </c>
      <c r="BB578" s="502"/>
      <c r="BC578" s="503"/>
      <c r="BD578" s="453"/>
      <c r="BE578" s="453"/>
      <c r="BF578" s="470"/>
      <c r="BG578" s="453"/>
      <c r="BH578" s="453"/>
      <c r="BI578" s="453"/>
      <c r="BJ578" s="453"/>
      <c r="BK578" s="453"/>
      <c r="BL578" s="453"/>
      <c r="BM578" s="502"/>
      <c r="BN578" s="490"/>
      <c r="BO578" s="470"/>
      <c r="BP578" s="574"/>
      <c r="BQ578" s="458"/>
      <c r="BR578" s="577"/>
      <c r="BS578" s="524"/>
      <c r="BT578" s="586" t="s">
        <v>4079</v>
      </c>
    </row>
    <row r="579" s="435" customFormat="1" ht="18" customHeight="1" spans="1:72">
      <c r="A579" s="451" t="s">
        <v>4032</v>
      </c>
      <c r="B579" s="543">
        <v>45392</v>
      </c>
      <c r="C579" s="581">
        <v>1000019437</v>
      </c>
      <c r="D579" s="451" t="s">
        <v>4062</v>
      </c>
      <c r="E579" s="457"/>
      <c r="F579" s="453"/>
      <c r="G579" s="453"/>
      <c r="H579" s="453"/>
      <c r="I579" s="453"/>
      <c r="J579" s="453"/>
      <c r="K579" s="453"/>
      <c r="L579" s="453"/>
      <c r="M579" s="453"/>
      <c r="N579" s="453"/>
      <c r="O579" s="453"/>
      <c r="P579" s="453"/>
      <c r="Q579" s="453"/>
      <c r="R579" s="550"/>
      <c r="S579" s="453"/>
      <c r="T579" s="453"/>
      <c r="U579" s="453"/>
      <c r="V579" s="453"/>
      <c r="W579" s="453"/>
      <c r="X579" s="453"/>
      <c r="Y579" s="453"/>
      <c r="Z579" s="489"/>
      <c r="AA579" s="489"/>
      <c r="AB579" s="490"/>
      <c r="AC579" s="453"/>
      <c r="AD579" s="453"/>
      <c r="AE579" s="453"/>
      <c r="AF579" s="453">
        <v>20001</v>
      </c>
      <c r="AG579" s="453"/>
      <c r="AH579" s="453"/>
      <c r="AI579" s="453"/>
      <c r="AJ579" s="453"/>
      <c r="AK579" s="453"/>
      <c r="AL579" s="453"/>
      <c r="AM579" s="453"/>
      <c r="AN579" s="453"/>
      <c r="AO579" s="453"/>
      <c r="AP579" s="453"/>
      <c r="AQ579" s="453"/>
      <c r="AR579" s="453"/>
      <c r="AS579" s="453"/>
      <c r="AT579" s="453"/>
      <c r="AU579" s="453"/>
      <c r="AV579" s="453"/>
      <c r="AW579" s="453"/>
      <c r="AX579" s="453"/>
      <c r="AY579" s="453"/>
      <c r="AZ579" s="453"/>
      <c r="BA579" s="532"/>
      <c r="BB579" s="502"/>
      <c r="BC579" s="503"/>
      <c r="BD579" s="453"/>
      <c r="BE579" s="453"/>
      <c r="BF579" s="470"/>
      <c r="BG579" s="453"/>
      <c r="BH579" s="453"/>
      <c r="BI579" s="453"/>
      <c r="BJ579" s="453"/>
      <c r="BK579" s="453"/>
      <c r="BL579" s="453"/>
      <c r="BM579" s="502"/>
      <c r="BN579" s="490"/>
      <c r="BO579" s="470"/>
      <c r="BP579" s="574"/>
      <c r="BQ579" s="458"/>
      <c r="BR579" s="577"/>
      <c r="BS579" s="524"/>
      <c r="BT579" s="586"/>
    </row>
    <row r="580" s="435" customFormat="1" ht="18" customHeight="1" spans="1:72">
      <c r="A580" s="451" t="s">
        <v>4032</v>
      </c>
      <c r="B580" s="543">
        <v>45392</v>
      </c>
      <c r="C580" s="581">
        <v>1000019438</v>
      </c>
      <c r="D580" s="451" t="s">
        <v>4062</v>
      </c>
      <c r="E580" s="457"/>
      <c r="F580" s="453"/>
      <c r="G580" s="453"/>
      <c r="H580" s="453"/>
      <c r="I580" s="453"/>
      <c r="J580" s="453"/>
      <c r="K580" s="453"/>
      <c r="L580" s="453"/>
      <c r="M580" s="453"/>
      <c r="N580" s="453"/>
      <c r="O580" s="453"/>
      <c r="P580" s="453"/>
      <c r="Q580" s="453"/>
      <c r="R580" s="550"/>
      <c r="S580" s="453"/>
      <c r="T580" s="453"/>
      <c r="U580" s="453"/>
      <c r="V580" s="453"/>
      <c r="W580" s="453"/>
      <c r="X580" s="453"/>
      <c r="Y580" s="453"/>
      <c r="Z580" s="489"/>
      <c r="AA580" s="489"/>
      <c r="AB580" s="490"/>
      <c r="AC580" s="453"/>
      <c r="AD580" s="453"/>
      <c r="AE580" s="453"/>
      <c r="AF580" s="453"/>
      <c r="AG580" s="453"/>
      <c r="AH580" s="453"/>
      <c r="AI580" s="453"/>
      <c r="AJ580" s="453"/>
      <c r="AK580" s="453">
        <v>20001</v>
      </c>
      <c r="AL580" s="453"/>
      <c r="AM580" s="453"/>
      <c r="AN580" s="453"/>
      <c r="AO580" s="453"/>
      <c r="AP580" s="453"/>
      <c r="AQ580" s="453"/>
      <c r="AR580" s="453"/>
      <c r="AS580" s="453"/>
      <c r="AT580" s="453"/>
      <c r="AU580" s="453"/>
      <c r="AV580" s="453"/>
      <c r="AW580" s="453"/>
      <c r="AX580" s="453"/>
      <c r="AY580" s="453"/>
      <c r="AZ580" s="453"/>
      <c r="BA580" s="532"/>
      <c r="BB580" s="502"/>
      <c r="BC580" s="503"/>
      <c r="BD580" s="453"/>
      <c r="BE580" s="453"/>
      <c r="BF580" s="470"/>
      <c r="BG580" s="453"/>
      <c r="BH580" s="453"/>
      <c r="BI580" s="453"/>
      <c r="BJ580" s="453"/>
      <c r="BK580" s="453"/>
      <c r="BL580" s="453"/>
      <c r="BM580" s="502"/>
      <c r="BN580" s="490"/>
      <c r="BO580" s="470"/>
      <c r="BP580" s="574"/>
      <c r="BQ580" s="458"/>
      <c r="BR580" s="577"/>
      <c r="BS580" s="524"/>
      <c r="BT580" s="586"/>
    </row>
    <row r="581" s="435" customFormat="1" ht="18" customHeight="1" spans="1:72">
      <c r="A581" s="451" t="s">
        <v>4032</v>
      </c>
      <c r="B581" s="543">
        <v>45392</v>
      </c>
      <c r="C581" s="581">
        <v>1000019439</v>
      </c>
      <c r="D581" s="451" t="s">
        <v>4062</v>
      </c>
      <c r="E581" s="457"/>
      <c r="F581" s="453"/>
      <c r="G581" s="453"/>
      <c r="H581" s="453"/>
      <c r="I581" s="453"/>
      <c r="J581" s="453"/>
      <c r="K581" s="453"/>
      <c r="L581" s="453"/>
      <c r="M581" s="453"/>
      <c r="N581" s="453"/>
      <c r="O581" s="453"/>
      <c r="P581" s="453"/>
      <c r="Q581" s="453"/>
      <c r="R581" s="550"/>
      <c r="S581" s="453"/>
      <c r="T581" s="453"/>
      <c r="U581" s="453"/>
      <c r="V581" s="453"/>
      <c r="W581" s="453"/>
      <c r="X581" s="453"/>
      <c r="Y581" s="453"/>
      <c r="Z581" s="489"/>
      <c r="AA581" s="489"/>
      <c r="AB581" s="490"/>
      <c r="AC581" s="453"/>
      <c r="AD581" s="453"/>
      <c r="AE581" s="453"/>
      <c r="AF581" s="453"/>
      <c r="AG581" s="453"/>
      <c r="AH581" s="453"/>
      <c r="AI581" s="453"/>
      <c r="AJ581" s="453"/>
      <c r="AK581" s="453"/>
      <c r="AL581" s="453"/>
      <c r="AM581" s="453"/>
      <c r="AN581" s="453"/>
      <c r="AO581" s="453"/>
      <c r="AP581" s="453"/>
      <c r="AQ581" s="453"/>
      <c r="AR581" s="453"/>
      <c r="AS581" s="453"/>
      <c r="AT581" s="453"/>
      <c r="AU581" s="453">
        <v>50000</v>
      </c>
      <c r="AV581" s="453"/>
      <c r="AW581" s="453"/>
      <c r="AX581" s="453"/>
      <c r="AY581" s="453"/>
      <c r="AZ581" s="453"/>
      <c r="BA581" s="532"/>
      <c r="BB581" s="502"/>
      <c r="BC581" s="503"/>
      <c r="BD581" s="453"/>
      <c r="BE581" s="453"/>
      <c r="BF581" s="470"/>
      <c r="BG581" s="453"/>
      <c r="BH581" s="453"/>
      <c r="BI581" s="453"/>
      <c r="BJ581" s="453"/>
      <c r="BK581" s="453"/>
      <c r="BL581" s="453"/>
      <c r="BM581" s="502"/>
      <c r="BN581" s="490"/>
      <c r="BO581" s="470"/>
      <c r="BP581" s="574"/>
      <c r="BQ581" s="458"/>
      <c r="BR581" s="577"/>
      <c r="BS581" s="524"/>
      <c r="BT581" s="586"/>
    </row>
    <row r="582" s="435" customFormat="1" ht="18" customHeight="1" spans="1:72">
      <c r="A582" s="451" t="s">
        <v>4032</v>
      </c>
      <c r="B582" s="543">
        <v>45392</v>
      </c>
      <c r="C582" s="589">
        <v>1000019431</v>
      </c>
      <c r="D582" s="451" t="s">
        <v>4062</v>
      </c>
      <c r="E582" s="457"/>
      <c r="F582" s="453"/>
      <c r="G582" s="453"/>
      <c r="H582" s="453"/>
      <c r="I582" s="453"/>
      <c r="J582" s="453"/>
      <c r="K582" s="453"/>
      <c r="L582" s="453"/>
      <c r="M582" s="453"/>
      <c r="N582" s="453"/>
      <c r="O582" s="453">
        <v>20001</v>
      </c>
      <c r="P582" s="453"/>
      <c r="Q582" s="453"/>
      <c r="R582" s="550"/>
      <c r="S582" s="453"/>
      <c r="T582" s="453"/>
      <c r="U582" s="453"/>
      <c r="V582" s="453"/>
      <c r="W582" s="453"/>
      <c r="X582" s="453"/>
      <c r="Y582" s="453"/>
      <c r="Z582" s="489"/>
      <c r="AA582" s="489"/>
      <c r="AB582" s="490"/>
      <c r="AC582" s="453"/>
      <c r="AD582" s="453"/>
      <c r="AE582" s="453"/>
      <c r="AF582" s="453"/>
      <c r="AG582" s="453"/>
      <c r="AH582" s="453"/>
      <c r="AI582" s="453"/>
      <c r="AJ582" s="453"/>
      <c r="AK582" s="453"/>
      <c r="AL582" s="453"/>
      <c r="AM582" s="453"/>
      <c r="AN582" s="453"/>
      <c r="AO582" s="453"/>
      <c r="AP582" s="453"/>
      <c r="AQ582" s="453"/>
      <c r="AR582" s="453"/>
      <c r="AS582" s="453"/>
      <c r="AT582" s="453"/>
      <c r="AU582" s="453"/>
      <c r="AV582" s="453"/>
      <c r="AW582" s="453"/>
      <c r="AX582" s="453"/>
      <c r="AY582" s="453"/>
      <c r="AZ582" s="453"/>
      <c r="BA582" s="532"/>
      <c r="BB582" s="502"/>
      <c r="BC582" s="503"/>
      <c r="BD582" s="453"/>
      <c r="BE582" s="453"/>
      <c r="BF582" s="470"/>
      <c r="BG582" s="453"/>
      <c r="BH582" s="453"/>
      <c r="BI582" s="453"/>
      <c r="BJ582" s="453"/>
      <c r="BK582" s="453"/>
      <c r="BL582" s="453"/>
      <c r="BM582" s="502"/>
      <c r="BN582" s="490"/>
      <c r="BO582" s="470"/>
      <c r="BP582" s="574"/>
      <c r="BQ582" s="458"/>
      <c r="BR582" s="577"/>
      <c r="BS582" s="524"/>
      <c r="BT582" s="586"/>
    </row>
    <row r="583" s="435" customFormat="1" ht="18" customHeight="1" spans="1:72">
      <c r="A583" s="451" t="s">
        <v>4032</v>
      </c>
      <c r="B583" s="543">
        <v>45392</v>
      </c>
      <c r="C583" s="589">
        <v>1000019432</v>
      </c>
      <c r="D583" s="451" t="s">
        <v>4062</v>
      </c>
      <c r="E583" s="457"/>
      <c r="F583" s="453"/>
      <c r="G583" s="453"/>
      <c r="H583" s="453"/>
      <c r="I583" s="453"/>
      <c r="J583" s="453"/>
      <c r="K583" s="453"/>
      <c r="L583" s="453"/>
      <c r="M583" s="453"/>
      <c r="N583" s="453"/>
      <c r="O583" s="453"/>
      <c r="P583" s="453"/>
      <c r="Q583" s="453"/>
      <c r="R583" s="550"/>
      <c r="S583" s="453"/>
      <c r="T583" s="453">
        <v>20001</v>
      </c>
      <c r="U583" s="453"/>
      <c r="V583" s="453"/>
      <c r="W583" s="453"/>
      <c r="X583" s="453"/>
      <c r="Y583" s="453"/>
      <c r="Z583" s="489"/>
      <c r="AA583" s="489"/>
      <c r="AB583" s="490"/>
      <c r="AC583" s="453"/>
      <c r="AD583" s="453"/>
      <c r="AE583" s="453"/>
      <c r="AF583" s="453"/>
      <c r="AG583" s="453"/>
      <c r="AH583" s="453"/>
      <c r="AI583" s="453"/>
      <c r="AJ583" s="453"/>
      <c r="AK583" s="453"/>
      <c r="AL583" s="453"/>
      <c r="AM583" s="453"/>
      <c r="AN583" s="453"/>
      <c r="AO583" s="453"/>
      <c r="AP583" s="453"/>
      <c r="AQ583" s="453"/>
      <c r="AR583" s="453"/>
      <c r="AS583" s="453"/>
      <c r="AT583" s="453"/>
      <c r="AU583" s="453"/>
      <c r="AV583" s="453"/>
      <c r="AW583" s="453"/>
      <c r="AX583" s="453"/>
      <c r="AY583" s="453"/>
      <c r="AZ583" s="453"/>
      <c r="BA583" s="532"/>
      <c r="BB583" s="502"/>
      <c r="BC583" s="503"/>
      <c r="BD583" s="453"/>
      <c r="BE583" s="453"/>
      <c r="BF583" s="470"/>
      <c r="BG583" s="453"/>
      <c r="BH583" s="453"/>
      <c r="BI583" s="453"/>
      <c r="BJ583" s="453"/>
      <c r="BK583" s="453"/>
      <c r="BL583" s="453"/>
      <c r="BM583" s="502"/>
      <c r="BN583" s="490"/>
      <c r="BO583" s="470"/>
      <c r="BP583" s="574"/>
      <c r="BQ583" s="458"/>
      <c r="BR583" s="577"/>
      <c r="BS583" s="524"/>
      <c r="BT583" s="586"/>
    </row>
    <row r="584" s="435" customFormat="1" ht="18" customHeight="1" spans="1:72">
      <c r="A584" s="451" t="s">
        <v>4032</v>
      </c>
      <c r="B584" s="543">
        <v>45392</v>
      </c>
      <c r="C584" s="589">
        <v>1000019440</v>
      </c>
      <c r="D584" s="451" t="s">
        <v>4062</v>
      </c>
      <c r="E584" s="457"/>
      <c r="F584" s="453"/>
      <c r="G584" s="453"/>
      <c r="H584" s="453"/>
      <c r="I584" s="453"/>
      <c r="J584" s="453"/>
      <c r="K584" s="453"/>
      <c r="L584" s="453"/>
      <c r="M584" s="453"/>
      <c r="N584" s="453"/>
      <c r="O584" s="453"/>
      <c r="P584" s="453"/>
      <c r="Q584" s="453"/>
      <c r="R584" s="550"/>
      <c r="S584" s="453"/>
      <c r="T584" s="453"/>
      <c r="U584" s="453"/>
      <c r="V584" s="453"/>
      <c r="W584" s="453"/>
      <c r="X584" s="453"/>
      <c r="Y584" s="453"/>
      <c r="Z584" s="489"/>
      <c r="AA584" s="489"/>
      <c r="AB584" s="490"/>
      <c r="AC584" s="453"/>
      <c r="AD584" s="453"/>
      <c r="AE584" s="453"/>
      <c r="AF584" s="453"/>
      <c r="AG584" s="453"/>
      <c r="AH584" s="453"/>
      <c r="AI584" s="453"/>
      <c r="AJ584" s="453"/>
      <c r="AK584" s="453"/>
      <c r="AL584" s="453"/>
      <c r="AM584" s="453"/>
      <c r="AN584" s="453"/>
      <c r="AO584" s="453"/>
      <c r="AP584" s="453"/>
      <c r="AQ584" s="453"/>
      <c r="AR584" s="453"/>
      <c r="AS584" s="453"/>
      <c r="AT584" s="453"/>
      <c r="AU584" s="453"/>
      <c r="AV584" s="453"/>
      <c r="AW584" s="453"/>
      <c r="AX584" s="453"/>
      <c r="AY584" s="453"/>
      <c r="AZ584" s="453"/>
      <c r="BA584" s="532"/>
      <c r="BB584" s="502"/>
      <c r="BC584" s="503"/>
      <c r="BD584" s="453"/>
      <c r="BE584" s="453"/>
      <c r="BF584" s="470"/>
      <c r="BG584" s="453">
        <v>10001</v>
      </c>
      <c r="BH584" s="453"/>
      <c r="BI584" s="453"/>
      <c r="BJ584" s="453"/>
      <c r="BK584" s="453"/>
      <c r="BL584" s="453"/>
      <c r="BM584" s="502"/>
      <c r="BN584" s="490"/>
      <c r="BO584" s="470"/>
      <c r="BP584" s="574"/>
      <c r="BQ584" s="458"/>
      <c r="BR584" s="577"/>
      <c r="BS584" s="524"/>
      <c r="BT584" s="586"/>
    </row>
    <row r="585" s="435" customFormat="1" ht="18" customHeight="1" spans="1:72">
      <c r="A585" s="451" t="s">
        <v>4032</v>
      </c>
      <c r="B585" s="543">
        <v>45392</v>
      </c>
      <c r="C585" s="589">
        <v>1000019441</v>
      </c>
      <c r="D585" s="451" t="s">
        <v>4062</v>
      </c>
      <c r="E585" s="457"/>
      <c r="F585" s="453"/>
      <c r="G585" s="453"/>
      <c r="H585" s="453"/>
      <c r="I585" s="453"/>
      <c r="J585" s="453"/>
      <c r="K585" s="453"/>
      <c r="L585" s="453"/>
      <c r="M585" s="453"/>
      <c r="N585" s="453"/>
      <c r="O585" s="453"/>
      <c r="P585" s="453"/>
      <c r="Q585" s="453"/>
      <c r="R585" s="550"/>
      <c r="S585" s="453"/>
      <c r="T585" s="453"/>
      <c r="U585" s="453"/>
      <c r="V585" s="453"/>
      <c r="W585" s="453"/>
      <c r="X585" s="453"/>
      <c r="Y585" s="453"/>
      <c r="Z585" s="489"/>
      <c r="AA585" s="489"/>
      <c r="AB585" s="490"/>
      <c r="AC585" s="453"/>
      <c r="AD585" s="453"/>
      <c r="AE585" s="453"/>
      <c r="AF585" s="453"/>
      <c r="AG585" s="453"/>
      <c r="AH585" s="453"/>
      <c r="AI585" s="453"/>
      <c r="AJ585" s="453"/>
      <c r="AK585" s="453"/>
      <c r="AL585" s="453"/>
      <c r="AM585" s="453"/>
      <c r="AN585" s="453"/>
      <c r="AO585" s="453"/>
      <c r="AP585" s="453"/>
      <c r="AQ585" s="453"/>
      <c r="AR585" s="453"/>
      <c r="AS585" s="453"/>
      <c r="AT585" s="453"/>
      <c r="AU585" s="453"/>
      <c r="AV585" s="453"/>
      <c r="AW585" s="453"/>
      <c r="AX585" s="453"/>
      <c r="AY585" s="453"/>
      <c r="AZ585" s="453"/>
      <c r="BA585" s="532"/>
      <c r="BB585" s="502"/>
      <c r="BC585" s="503"/>
      <c r="BD585" s="453"/>
      <c r="BE585" s="453"/>
      <c r="BF585" s="470"/>
      <c r="BG585" s="453"/>
      <c r="BH585" s="453"/>
      <c r="BI585" s="453">
        <v>10001</v>
      </c>
      <c r="BJ585" s="453"/>
      <c r="BK585" s="453"/>
      <c r="BL585" s="453"/>
      <c r="BM585" s="502"/>
      <c r="BN585" s="490"/>
      <c r="BO585" s="470"/>
      <c r="BP585" s="574"/>
      <c r="BQ585" s="458"/>
      <c r="BR585" s="577"/>
      <c r="BS585" s="524"/>
      <c r="BT585" s="586"/>
    </row>
    <row r="586" s="435" customFormat="1" ht="18" customHeight="1" spans="1:72">
      <c r="A586" s="451" t="s">
        <v>4032</v>
      </c>
      <c r="B586" s="543">
        <v>45392</v>
      </c>
      <c r="C586" s="589">
        <v>1000019442</v>
      </c>
      <c r="D586" s="451" t="s">
        <v>4062</v>
      </c>
      <c r="E586" s="457"/>
      <c r="F586" s="453"/>
      <c r="G586" s="453"/>
      <c r="H586" s="453"/>
      <c r="I586" s="453"/>
      <c r="J586" s="453"/>
      <c r="K586" s="453"/>
      <c r="L586" s="453"/>
      <c r="M586" s="453"/>
      <c r="N586" s="453"/>
      <c r="O586" s="453"/>
      <c r="P586" s="453"/>
      <c r="Q586" s="453"/>
      <c r="R586" s="550"/>
      <c r="S586" s="453"/>
      <c r="T586" s="453"/>
      <c r="U586" s="453"/>
      <c r="V586" s="453"/>
      <c r="W586" s="453"/>
      <c r="X586" s="453"/>
      <c r="Y586" s="453"/>
      <c r="Z586" s="489"/>
      <c r="AA586" s="489"/>
      <c r="AB586" s="490"/>
      <c r="AC586" s="453"/>
      <c r="AD586" s="453"/>
      <c r="AE586" s="453"/>
      <c r="AF586" s="453"/>
      <c r="AG586" s="453"/>
      <c r="AH586" s="453"/>
      <c r="AI586" s="453"/>
      <c r="AJ586" s="453"/>
      <c r="AK586" s="453"/>
      <c r="AL586" s="453"/>
      <c r="AM586" s="453"/>
      <c r="AN586" s="453"/>
      <c r="AO586" s="453"/>
      <c r="AP586" s="453"/>
      <c r="AQ586" s="453"/>
      <c r="AR586" s="453"/>
      <c r="AS586" s="453"/>
      <c r="AT586" s="453"/>
      <c r="AU586" s="453"/>
      <c r="AV586" s="453"/>
      <c r="AW586" s="453"/>
      <c r="AX586" s="453"/>
      <c r="AY586" s="453"/>
      <c r="AZ586" s="453"/>
      <c r="BA586" s="532"/>
      <c r="BB586" s="502"/>
      <c r="BC586" s="503"/>
      <c r="BD586" s="453"/>
      <c r="BE586" s="453"/>
      <c r="BF586" s="470"/>
      <c r="BG586" s="453"/>
      <c r="BH586" s="453"/>
      <c r="BI586" s="453"/>
      <c r="BJ586" s="453">
        <v>1001</v>
      </c>
      <c r="BK586" s="453"/>
      <c r="BL586" s="453"/>
      <c r="BM586" s="502"/>
      <c r="BN586" s="490"/>
      <c r="BO586" s="470"/>
      <c r="BP586" s="574"/>
      <c r="BQ586" s="458"/>
      <c r="BR586" s="577"/>
      <c r="BS586" s="524"/>
      <c r="BT586" s="586"/>
    </row>
    <row r="587" s="435" customFormat="1" ht="18" customHeight="1" spans="1:72">
      <c r="A587" s="451" t="s">
        <v>4032</v>
      </c>
      <c r="B587" s="543">
        <v>45398</v>
      </c>
      <c r="C587" s="589">
        <v>1000019626</v>
      </c>
      <c r="D587" s="451" t="s">
        <v>4060</v>
      </c>
      <c r="E587" s="457"/>
      <c r="F587" s="453"/>
      <c r="G587" s="453"/>
      <c r="H587" s="453"/>
      <c r="I587" s="453"/>
      <c r="J587" s="453"/>
      <c r="K587" s="453"/>
      <c r="L587" s="453"/>
      <c r="M587" s="453"/>
      <c r="N587" s="453"/>
      <c r="O587" s="453"/>
      <c r="P587" s="453"/>
      <c r="Q587" s="453"/>
      <c r="R587" s="550"/>
      <c r="S587" s="453"/>
      <c r="T587" s="453"/>
      <c r="U587" s="453"/>
      <c r="V587" s="453"/>
      <c r="W587" s="453"/>
      <c r="X587" s="453"/>
      <c r="Y587" s="453"/>
      <c r="Z587" s="489"/>
      <c r="AA587" s="489"/>
      <c r="AB587" s="490"/>
      <c r="AC587" s="453"/>
      <c r="AD587" s="453"/>
      <c r="AE587" s="453"/>
      <c r="AF587" s="453"/>
      <c r="AG587" s="453"/>
      <c r="AH587" s="453"/>
      <c r="AI587" s="453"/>
      <c r="AJ587" s="453"/>
      <c r="AK587" s="453"/>
      <c r="AL587" s="453"/>
      <c r="AM587" s="453"/>
      <c r="AN587" s="453"/>
      <c r="AO587" s="453"/>
      <c r="AP587" s="453"/>
      <c r="AQ587" s="453"/>
      <c r="AR587" s="453"/>
      <c r="AS587" s="453"/>
      <c r="AT587" s="453"/>
      <c r="AU587" s="453"/>
      <c r="AV587" s="453"/>
      <c r="AW587" s="453"/>
      <c r="AX587" s="453"/>
      <c r="AY587" s="453"/>
      <c r="AZ587" s="453"/>
      <c r="BA587" s="532">
        <v>1600</v>
      </c>
      <c r="BB587" s="502"/>
      <c r="BC587" s="503"/>
      <c r="BD587" s="453"/>
      <c r="BE587" s="453"/>
      <c r="BF587" s="470"/>
      <c r="BG587" s="453"/>
      <c r="BH587" s="453"/>
      <c r="BI587" s="453"/>
      <c r="BJ587" s="453"/>
      <c r="BK587" s="453"/>
      <c r="BL587" s="453"/>
      <c r="BM587" s="502"/>
      <c r="BN587" s="490"/>
      <c r="BO587" s="470"/>
      <c r="BP587" s="574"/>
      <c r="BQ587" s="458"/>
      <c r="BR587" s="577"/>
      <c r="BS587" s="524"/>
      <c r="BT587" s="586" t="s">
        <v>4080</v>
      </c>
    </row>
    <row r="588" s="435" customFormat="1" ht="18" customHeight="1" spans="1:72">
      <c r="A588" s="451" t="s">
        <v>4032</v>
      </c>
      <c r="B588" s="543">
        <v>45410</v>
      </c>
      <c r="C588" s="589">
        <v>1000019852</v>
      </c>
      <c r="D588" s="451" t="s">
        <v>4060</v>
      </c>
      <c r="E588" s="457"/>
      <c r="F588" s="453"/>
      <c r="G588" s="453"/>
      <c r="H588" s="453"/>
      <c r="I588" s="453"/>
      <c r="J588" s="453"/>
      <c r="K588" s="453"/>
      <c r="L588" s="453"/>
      <c r="M588" s="453"/>
      <c r="N588" s="453"/>
      <c r="O588" s="453"/>
      <c r="P588" s="453"/>
      <c r="Q588" s="453"/>
      <c r="R588" s="550"/>
      <c r="S588" s="453"/>
      <c r="T588" s="453"/>
      <c r="U588" s="453"/>
      <c r="V588" s="453"/>
      <c r="W588" s="453"/>
      <c r="X588" s="453"/>
      <c r="Y588" s="453"/>
      <c r="Z588" s="489"/>
      <c r="AA588" s="489"/>
      <c r="AB588" s="490"/>
      <c r="AC588" s="453"/>
      <c r="AD588" s="453"/>
      <c r="AE588" s="453"/>
      <c r="AF588" s="453"/>
      <c r="AG588" s="453"/>
      <c r="AH588" s="453"/>
      <c r="AI588" s="453"/>
      <c r="AJ588" s="453"/>
      <c r="AK588" s="453"/>
      <c r="AL588" s="453"/>
      <c r="AM588" s="453"/>
      <c r="AN588" s="453"/>
      <c r="AO588" s="453"/>
      <c r="AP588" s="453"/>
      <c r="AQ588" s="453"/>
      <c r="AR588" s="453"/>
      <c r="AS588" s="453"/>
      <c r="AT588" s="453"/>
      <c r="AU588" s="453"/>
      <c r="AV588" s="453"/>
      <c r="AW588" s="453"/>
      <c r="AX588" s="453"/>
      <c r="AY588" s="453">
        <v>3000</v>
      </c>
      <c r="AZ588" s="453"/>
      <c r="BA588" s="532"/>
      <c r="BB588" s="502"/>
      <c r="BC588" s="503"/>
      <c r="BD588" s="453"/>
      <c r="BE588" s="453"/>
      <c r="BF588" s="470"/>
      <c r="BG588" s="453"/>
      <c r="BH588" s="453"/>
      <c r="BI588" s="453"/>
      <c r="BJ588" s="453"/>
      <c r="BK588" s="453"/>
      <c r="BL588" s="453"/>
      <c r="BM588" s="502"/>
      <c r="BN588" s="490"/>
      <c r="BO588" s="470"/>
      <c r="BP588" s="574"/>
      <c r="BQ588" s="458"/>
      <c r="BR588" s="577"/>
      <c r="BS588" s="524"/>
      <c r="BT588" s="586" t="s">
        <v>4081</v>
      </c>
    </row>
    <row r="589" s="435" customFormat="1" ht="18" customHeight="1" spans="1:72">
      <c r="A589" s="451" t="s">
        <v>4032</v>
      </c>
      <c r="B589" s="543">
        <v>45411</v>
      </c>
      <c r="C589" s="589">
        <v>1000019927</v>
      </c>
      <c r="D589" s="451" t="s">
        <v>4060</v>
      </c>
      <c r="E589" s="457"/>
      <c r="F589" s="453"/>
      <c r="G589" s="453"/>
      <c r="H589" s="453"/>
      <c r="I589" s="453"/>
      <c r="J589" s="453"/>
      <c r="K589" s="453"/>
      <c r="L589" s="453"/>
      <c r="M589" s="453"/>
      <c r="N589" s="453"/>
      <c r="O589" s="453"/>
      <c r="P589" s="453"/>
      <c r="Q589" s="453"/>
      <c r="R589" s="550"/>
      <c r="S589" s="453"/>
      <c r="T589" s="453"/>
      <c r="U589" s="453"/>
      <c r="V589" s="453"/>
      <c r="W589" s="453"/>
      <c r="X589" s="453"/>
      <c r="Y589" s="453"/>
      <c r="Z589" s="489"/>
      <c r="AA589" s="489"/>
      <c r="AB589" s="490"/>
      <c r="AC589" s="453"/>
      <c r="AD589" s="453"/>
      <c r="AE589" s="453"/>
      <c r="AF589" s="453"/>
      <c r="AG589" s="453"/>
      <c r="AH589" s="453"/>
      <c r="AI589" s="453"/>
      <c r="AJ589" s="453"/>
      <c r="AK589" s="453"/>
      <c r="AL589" s="453"/>
      <c r="AM589" s="453"/>
      <c r="AN589" s="453"/>
      <c r="AO589" s="453"/>
      <c r="AP589" s="453"/>
      <c r="AQ589" s="453"/>
      <c r="AR589" s="453"/>
      <c r="AS589" s="453"/>
      <c r="AT589" s="453"/>
      <c r="AU589" s="453"/>
      <c r="AV589" s="453"/>
      <c r="AW589" s="453"/>
      <c r="AX589" s="453"/>
      <c r="AY589" s="453">
        <v>3000</v>
      </c>
      <c r="AZ589" s="453"/>
      <c r="BA589" s="532"/>
      <c r="BB589" s="502"/>
      <c r="BC589" s="503"/>
      <c r="BD589" s="453"/>
      <c r="BE589" s="453"/>
      <c r="BF589" s="470"/>
      <c r="BG589" s="453"/>
      <c r="BH589" s="453"/>
      <c r="BI589" s="453"/>
      <c r="BJ589" s="453"/>
      <c r="BK589" s="453"/>
      <c r="BL589" s="453"/>
      <c r="BM589" s="502"/>
      <c r="BN589" s="490"/>
      <c r="BO589" s="470"/>
      <c r="BP589" s="574"/>
      <c r="BQ589" s="458"/>
      <c r="BR589" s="577"/>
      <c r="BS589" s="524"/>
      <c r="BT589" s="586" t="s">
        <v>4082</v>
      </c>
    </row>
    <row r="590" s="435" customFormat="1" ht="18" customHeight="1" spans="1:72">
      <c r="A590" s="451" t="s">
        <v>4032</v>
      </c>
      <c r="B590" s="543">
        <v>45411</v>
      </c>
      <c r="C590" s="589">
        <v>1000019975</v>
      </c>
      <c r="D590" s="451" t="s">
        <v>4060</v>
      </c>
      <c r="E590" s="457"/>
      <c r="F590" s="453"/>
      <c r="G590" s="453"/>
      <c r="H590" s="453"/>
      <c r="I590" s="453"/>
      <c r="J590" s="453"/>
      <c r="K590" s="453"/>
      <c r="L590" s="453"/>
      <c r="M590" s="453"/>
      <c r="N590" s="453"/>
      <c r="O590" s="453"/>
      <c r="P590" s="453"/>
      <c r="Q590" s="453"/>
      <c r="R590" s="550"/>
      <c r="S590" s="453"/>
      <c r="T590" s="453"/>
      <c r="U590" s="453"/>
      <c r="V590" s="453"/>
      <c r="W590" s="453"/>
      <c r="X590" s="453"/>
      <c r="Y590" s="453"/>
      <c r="Z590" s="489"/>
      <c r="AA590" s="489"/>
      <c r="AB590" s="490"/>
      <c r="AC590" s="453"/>
      <c r="AD590" s="453"/>
      <c r="AE590" s="453"/>
      <c r="AF590" s="453"/>
      <c r="AG590" s="453"/>
      <c r="AH590" s="453"/>
      <c r="AI590" s="453"/>
      <c r="AJ590" s="453"/>
      <c r="AK590" s="453"/>
      <c r="AL590" s="453"/>
      <c r="AM590" s="453"/>
      <c r="AN590" s="453"/>
      <c r="AO590" s="453"/>
      <c r="AP590" s="453"/>
      <c r="AQ590" s="453"/>
      <c r="AR590" s="453"/>
      <c r="AS590" s="453"/>
      <c r="AT590" s="453"/>
      <c r="AU590" s="453"/>
      <c r="AV590" s="453"/>
      <c r="AW590" s="453"/>
      <c r="AX590" s="453"/>
      <c r="AY590" s="453"/>
      <c r="AZ590" s="453"/>
      <c r="BA590" s="532">
        <v>8000</v>
      </c>
      <c r="BB590" s="502"/>
      <c r="BC590" s="503"/>
      <c r="BD590" s="453"/>
      <c r="BE590" s="453"/>
      <c r="BF590" s="470"/>
      <c r="BG590" s="453"/>
      <c r="BH590" s="453"/>
      <c r="BI590" s="453"/>
      <c r="BJ590" s="453"/>
      <c r="BK590" s="453"/>
      <c r="BL590" s="453"/>
      <c r="BM590" s="502"/>
      <c r="BN590" s="490"/>
      <c r="BO590" s="470"/>
      <c r="BP590" s="574"/>
      <c r="BQ590" s="458"/>
      <c r="BR590" s="577"/>
      <c r="BS590" s="524"/>
      <c r="BT590" s="586" t="s">
        <v>4083</v>
      </c>
    </row>
    <row r="591" s="435" customFormat="1" ht="18" customHeight="1" spans="1:72">
      <c r="A591" s="451" t="s">
        <v>4032</v>
      </c>
      <c r="B591" s="543">
        <v>45418</v>
      </c>
      <c r="C591" s="589">
        <v>1000020075</v>
      </c>
      <c r="D591" s="451" t="s">
        <v>4060</v>
      </c>
      <c r="E591" s="457"/>
      <c r="F591" s="453"/>
      <c r="G591" s="453"/>
      <c r="H591" s="453"/>
      <c r="I591" s="453"/>
      <c r="J591" s="453"/>
      <c r="K591" s="453"/>
      <c r="L591" s="453"/>
      <c r="M591" s="453"/>
      <c r="N591" s="453"/>
      <c r="O591" s="453"/>
      <c r="P591" s="453"/>
      <c r="Q591" s="453"/>
      <c r="R591" s="550"/>
      <c r="S591" s="453"/>
      <c r="T591" s="453"/>
      <c r="U591" s="453"/>
      <c r="V591" s="453"/>
      <c r="W591" s="453"/>
      <c r="X591" s="453"/>
      <c r="Y591" s="453"/>
      <c r="Z591" s="489"/>
      <c r="AA591" s="489"/>
      <c r="AB591" s="490"/>
      <c r="AC591" s="453"/>
      <c r="AD591" s="453"/>
      <c r="AE591" s="453"/>
      <c r="AF591" s="453"/>
      <c r="AG591" s="453"/>
      <c r="AH591" s="453"/>
      <c r="AI591" s="453"/>
      <c r="AJ591" s="453"/>
      <c r="AK591" s="453"/>
      <c r="AL591" s="453"/>
      <c r="AM591" s="453"/>
      <c r="AN591" s="453"/>
      <c r="AO591" s="453"/>
      <c r="AP591" s="453"/>
      <c r="AQ591" s="453"/>
      <c r="AR591" s="453"/>
      <c r="AS591" s="453"/>
      <c r="AT591" s="453"/>
      <c r="AU591" s="453"/>
      <c r="AV591" s="453"/>
      <c r="AW591" s="453"/>
      <c r="AX591" s="453"/>
      <c r="AY591" s="453"/>
      <c r="AZ591" s="453"/>
      <c r="BA591" s="532">
        <v>12800</v>
      </c>
      <c r="BB591" s="502"/>
      <c r="BC591" s="503"/>
      <c r="BD591" s="453"/>
      <c r="BE591" s="453"/>
      <c r="BF591" s="470"/>
      <c r="BG591" s="453"/>
      <c r="BH591" s="453"/>
      <c r="BI591" s="453"/>
      <c r="BJ591" s="453"/>
      <c r="BK591" s="453"/>
      <c r="BL591" s="453"/>
      <c r="BM591" s="502"/>
      <c r="BN591" s="490"/>
      <c r="BO591" s="470"/>
      <c r="BP591" s="574"/>
      <c r="BQ591" s="458"/>
      <c r="BR591" s="577"/>
      <c r="BS591" s="524"/>
      <c r="BT591" s="586" t="s">
        <v>4084</v>
      </c>
    </row>
    <row r="592" s="435" customFormat="1" ht="18" customHeight="1" spans="1:72">
      <c r="A592" s="451" t="s">
        <v>4032</v>
      </c>
      <c r="B592" s="543">
        <v>45429</v>
      </c>
      <c r="C592" s="589">
        <v>1000020360</v>
      </c>
      <c r="D592" s="451" t="s">
        <v>4062</v>
      </c>
      <c r="E592" s="457"/>
      <c r="F592" s="453"/>
      <c r="G592" s="453"/>
      <c r="H592" s="453"/>
      <c r="I592" s="453"/>
      <c r="J592" s="453"/>
      <c r="K592" s="453"/>
      <c r="L592" s="453"/>
      <c r="M592" s="453"/>
      <c r="N592" s="453"/>
      <c r="O592" s="453"/>
      <c r="P592" s="453"/>
      <c r="Q592" s="453"/>
      <c r="R592" s="550"/>
      <c r="S592" s="453"/>
      <c r="T592" s="453"/>
      <c r="U592" s="453"/>
      <c r="V592" s="453"/>
      <c r="W592" s="453"/>
      <c r="X592" s="453"/>
      <c r="Y592" s="453"/>
      <c r="Z592" s="489"/>
      <c r="AA592" s="489"/>
      <c r="AB592" s="490"/>
      <c r="AC592" s="453"/>
      <c r="AD592" s="453"/>
      <c r="AE592" s="453"/>
      <c r="AF592" s="453">
        <v>30001</v>
      </c>
      <c r="AG592" s="453"/>
      <c r="AH592" s="453"/>
      <c r="AI592" s="453"/>
      <c r="AJ592" s="453"/>
      <c r="AK592" s="453"/>
      <c r="AL592" s="453"/>
      <c r="AM592" s="453"/>
      <c r="AN592" s="453"/>
      <c r="AO592" s="453"/>
      <c r="AP592" s="453"/>
      <c r="AQ592" s="453"/>
      <c r="AR592" s="453"/>
      <c r="AS592" s="453"/>
      <c r="AT592" s="453"/>
      <c r="AU592" s="453"/>
      <c r="AV592" s="453"/>
      <c r="AW592" s="453"/>
      <c r="AX592" s="453"/>
      <c r="AY592" s="453"/>
      <c r="AZ592" s="453"/>
      <c r="BA592" s="532"/>
      <c r="BB592" s="502"/>
      <c r="BC592" s="503"/>
      <c r="BD592" s="453"/>
      <c r="BE592" s="453"/>
      <c r="BF592" s="470"/>
      <c r="BG592" s="453"/>
      <c r="BH592" s="453"/>
      <c r="BI592" s="453"/>
      <c r="BJ592" s="453"/>
      <c r="BK592" s="453"/>
      <c r="BL592" s="453"/>
      <c r="BM592" s="502"/>
      <c r="BN592" s="490"/>
      <c r="BO592" s="470"/>
      <c r="BP592" s="574"/>
      <c r="BQ592" s="458"/>
      <c r="BR592" s="577"/>
      <c r="BS592" s="524"/>
      <c r="BT592" s="586"/>
    </row>
    <row r="593" s="435" customFormat="1" ht="18" customHeight="1" spans="1:72">
      <c r="A593" s="451" t="s">
        <v>4032</v>
      </c>
      <c r="B593" s="543">
        <v>45429</v>
      </c>
      <c r="C593" s="589">
        <v>1000020361</v>
      </c>
      <c r="D593" s="451" t="s">
        <v>4062</v>
      </c>
      <c r="E593" s="457"/>
      <c r="F593" s="453"/>
      <c r="G593" s="453"/>
      <c r="H593" s="453"/>
      <c r="I593" s="453"/>
      <c r="J593" s="453"/>
      <c r="K593" s="453"/>
      <c r="L593" s="453"/>
      <c r="M593" s="453"/>
      <c r="N593" s="453"/>
      <c r="O593" s="453"/>
      <c r="P593" s="453"/>
      <c r="Q593" s="453"/>
      <c r="R593" s="550"/>
      <c r="S593" s="453"/>
      <c r="T593" s="453"/>
      <c r="U593" s="453"/>
      <c r="V593" s="453"/>
      <c r="W593" s="453"/>
      <c r="X593" s="453"/>
      <c r="Y593" s="453"/>
      <c r="Z593" s="489"/>
      <c r="AA593" s="489"/>
      <c r="AB593" s="490"/>
      <c r="AC593" s="453"/>
      <c r="AD593" s="453"/>
      <c r="AE593" s="453"/>
      <c r="AF593" s="453"/>
      <c r="AG593" s="453"/>
      <c r="AH593" s="453"/>
      <c r="AI593" s="453"/>
      <c r="AJ593" s="453"/>
      <c r="AK593" s="453"/>
      <c r="AL593" s="453"/>
      <c r="AM593" s="453"/>
      <c r="AN593" s="453"/>
      <c r="AO593" s="453"/>
      <c r="AP593" s="453"/>
      <c r="AQ593" s="453"/>
      <c r="AR593" s="453"/>
      <c r="AS593" s="453"/>
      <c r="AT593" s="453"/>
      <c r="AU593" s="453">
        <v>50000</v>
      </c>
      <c r="AV593" s="453"/>
      <c r="AW593" s="453"/>
      <c r="AX593" s="453"/>
      <c r="AY593" s="453"/>
      <c r="AZ593" s="453"/>
      <c r="BA593" s="532"/>
      <c r="BB593" s="502"/>
      <c r="BC593" s="503"/>
      <c r="BD593" s="453"/>
      <c r="BE593" s="453"/>
      <c r="BF593" s="470"/>
      <c r="BG593" s="453"/>
      <c r="BH593" s="453"/>
      <c r="BI593" s="453"/>
      <c r="BJ593" s="453"/>
      <c r="BK593" s="453"/>
      <c r="BL593" s="453"/>
      <c r="BM593" s="502"/>
      <c r="BN593" s="490"/>
      <c r="BO593" s="470"/>
      <c r="BP593" s="574"/>
      <c r="BQ593" s="458"/>
      <c r="BR593" s="577"/>
      <c r="BS593" s="524"/>
      <c r="BT593" s="586"/>
    </row>
    <row r="594" s="435" customFormat="1" ht="18" customHeight="1" spans="1:72">
      <c r="A594" s="451" t="s">
        <v>4032</v>
      </c>
      <c r="B594" s="543">
        <v>45429</v>
      </c>
      <c r="C594" s="589">
        <v>1000020353</v>
      </c>
      <c r="D594" s="451"/>
      <c r="E594" s="457"/>
      <c r="F594" s="453"/>
      <c r="G594" s="453"/>
      <c r="H594" s="453"/>
      <c r="I594" s="453"/>
      <c r="J594" s="453"/>
      <c r="K594" s="453"/>
      <c r="L594" s="453"/>
      <c r="M594" s="453"/>
      <c r="N594" s="453"/>
      <c r="O594" s="453">
        <v>10001</v>
      </c>
      <c r="P594" s="453"/>
      <c r="Q594" s="453"/>
      <c r="R594" s="550"/>
      <c r="S594" s="453"/>
      <c r="T594" s="453"/>
      <c r="U594" s="453"/>
      <c r="V594" s="453"/>
      <c r="W594" s="453"/>
      <c r="X594" s="453"/>
      <c r="Y594" s="453"/>
      <c r="Z594" s="489"/>
      <c r="AA594" s="489"/>
      <c r="AB594" s="490"/>
      <c r="AC594" s="453"/>
      <c r="AD594" s="453"/>
      <c r="AE594" s="453"/>
      <c r="AF594" s="453"/>
      <c r="AG594" s="453"/>
      <c r="AH594" s="453"/>
      <c r="AI594" s="453"/>
      <c r="AJ594" s="453"/>
      <c r="AK594" s="453"/>
      <c r="AL594" s="453"/>
      <c r="AM594" s="453"/>
      <c r="AN594" s="453"/>
      <c r="AO594" s="453"/>
      <c r="AP594" s="453"/>
      <c r="AQ594" s="453"/>
      <c r="AR594" s="453"/>
      <c r="AS594" s="453"/>
      <c r="AT594" s="453"/>
      <c r="AU594" s="453"/>
      <c r="AV594" s="453"/>
      <c r="AW594" s="453"/>
      <c r="AX594" s="453"/>
      <c r="AY594" s="453"/>
      <c r="AZ594" s="453"/>
      <c r="BA594" s="532"/>
      <c r="BB594" s="502"/>
      <c r="BC594" s="503"/>
      <c r="BD594" s="453"/>
      <c r="BE594" s="453"/>
      <c r="BF594" s="470"/>
      <c r="BG594" s="453"/>
      <c r="BH594" s="453"/>
      <c r="BI594" s="453"/>
      <c r="BJ594" s="453"/>
      <c r="BK594" s="453"/>
      <c r="BL594" s="453"/>
      <c r="BM594" s="502"/>
      <c r="BN594" s="490"/>
      <c r="BO594" s="470"/>
      <c r="BP594" s="574"/>
      <c r="BQ594" s="458"/>
      <c r="BR594" s="577"/>
      <c r="BS594" s="524"/>
      <c r="BT594" s="586"/>
    </row>
    <row r="595" s="435" customFormat="1" ht="18" customHeight="1" spans="1:72">
      <c r="A595" s="451" t="s">
        <v>4032</v>
      </c>
      <c r="B595" s="543">
        <v>45429</v>
      </c>
      <c r="C595" s="589">
        <v>1000020370</v>
      </c>
      <c r="D595" s="451"/>
      <c r="E595" s="457"/>
      <c r="F595" s="453"/>
      <c r="G595" s="453"/>
      <c r="H595" s="453"/>
      <c r="I595" s="453"/>
      <c r="J595" s="453"/>
      <c r="K595" s="453"/>
      <c r="L595" s="453"/>
      <c r="M595" s="453"/>
      <c r="N595" s="453"/>
      <c r="O595" s="453"/>
      <c r="P595" s="453"/>
      <c r="Q595" s="453"/>
      <c r="R595" s="550"/>
      <c r="S595" s="453"/>
      <c r="T595" s="453"/>
      <c r="U595" s="453"/>
      <c r="V595" s="453"/>
      <c r="W595" s="453"/>
      <c r="X595" s="453"/>
      <c r="Y595" s="453"/>
      <c r="Z595" s="489"/>
      <c r="AA595" s="489"/>
      <c r="AB595" s="490"/>
      <c r="AC595" s="453"/>
      <c r="AD595" s="453"/>
      <c r="AE595" s="453"/>
      <c r="AF595" s="453"/>
      <c r="AG595" s="453"/>
      <c r="AH595" s="453"/>
      <c r="AI595" s="453"/>
      <c r="AJ595" s="453"/>
      <c r="AK595" s="453"/>
      <c r="AL595" s="453"/>
      <c r="AM595" s="453"/>
      <c r="AN595" s="453"/>
      <c r="AO595" s="453"/>
      <c r="AP595" s="453"/>
      <c r="AQ595" s="453"/>
      <c r="AR595" s="453"/>
      <c r="AS595" s="453"/>
      <c r="AT595" s="453"/>
      <c r="AU595" s="453"/>
      <c r="AV595" s="453"/>
      <c r="AW595" s="453"/>
      <c r="AX595" s="453"/>
      <c r="AY595" s="453"/>
      <c r="AZ595" s="453"/>
      <c r="BA595" s="532"/>
      <c r="BB595" s="502"/>
      <c r="BC595" s="503"/>
      <c r="BD595" s="453"/>
      <c r="BE595" s="453"/>
      <c r="BF595" s="470"/>
      <c r="BG595" s="453"/>
      <c r="BH595" s="453">
        <v>5001</v>
      </c>
      <c r="BI595" s="453"/>
      <c r="BJ595" s="453"/>
      <c r="BK595" s="453"/>
      <c r="BL595" s="453"/>
      <c r="BM595" s="502"/>
      <c r="BN595" s="490"/>
      <c r="BO595" s="470"/>
      <c r="BP595" s="574"/>
      <c r="BQ595" s="458"/>
      <c r="BR595" s="577"/>
      <c r="BS595" s="524"/>
      <c r="BT595" s="586"/>
    </row>
    <row r="596" s="435" customFormat="1" ht="18" customHeight="1" spans="1:72">
      <c r="A596" s="451" t="s">
        <v>4032</v>
      </c>
      <c r="B596" s="543">
        <v>45429</v>
      </c>
      <c r="C596" s="589">
        <v>1000020364</v>
      </c>
      <c r="D596" s="451"/>
      <c r="E596" s="457"/>
      <c r="F596" s="453"/>
      <c r="G596" s="453"/>
      <c r="H596" s="453"/>
      <c r="I596" s="453"/>
      <c r="J596" s="453"/>
      <c r="K596" s="453"/>
      <c r="L596" s="453"/>
      <c r="M596" s="453"/>
      <c r="N596" s="453"/>
      <c r="O596" s="453"/>
      <c r="P596" s="453"/>
      <c r="Q596" s="453"/>
      <c r="R596" s="550"/>
      <c r="S596" s="453"/>
      <c r="T596" s="453"/>
      <c r="U596" s="453"/>
      <c r="V596" s="453"/>
      <c r="W596" s="453"/>
      <c r="X596" s="453"/>
      <c r="Y596" s="453"/>
      <c r="Z596" s="489"/>
      <c r="AA596" s="489"/>
      <c r="AB596" s="490"/>
      <c r="AC596" s="453"/>
      <c r="AD596" s="453"/>
      <c r="AE596" s="453"/>
      <c r="AF596" s="453"/>
      <c r="AG596" s="453"/>
      <c r="AH596" s="453"/>
      <c r="AI596" s="453"/>
      <c r="AJ596" s="453"/>
      <c r="AK596" s="453"/>
      <c r="AL596" s="453"/>
      <c r="AM596" s="453"/>
      <c r="AN596" s="453"/>
      <c r="AO596" s="453"/>
      <c r="AP596" s="453"/>
      <c r="AQ596" s="453"/>
      <c r="AR596" s="453"/>
      <c r="AS596" s="453"/>
      <c r="AT596" s="453"/>
      <c r="AU596" s="453"/>
      <c r="AV596" s="453"/>
      <c r="AW596" s="453"/>
      <c r="AX596" s="453"/>
      <c r="AY596" s="453"/>
      <c r="AZ596" s="453"/>
      <c r="BA596" s="532"/>
      <c r="BB596" s="502"/>
      <c r="BC596" s="503"/>
      <c r="BD596" s="453"/>
      <c r="BE596" s="453"/>
      <c r="BF596" s="470"/>
      <c r="BG596" s="453"/>
      <c r="BH596" s="453"/>
      <c r="BI596" s="453">
        <v>5001</v>
      </c>
      <c r="BJ596" s="453"/>
      <c r="BK596" s="453"/>
      <c r="BL596" s="453"/>
      <c r="BM596" s="502"/>
      <c r="BN596" s="490"/>
      <c r="BO596" s="470"/>
      <c r="BP596" s="574"/>
      <c r="BQ596" s="458"/>
      <c r="BR596" s="577"/>
      <c r="BS596" s="524"/>
      <c r="BT596" s="586"/>
    </row>
    <row r="597" s="435" customFormat="1" ht="18" customHeight="1" spans="1:72">
      <c r="A597" s="451" t="s">
        <v>4032</v>
      </c>
      <c r="B597" s="543">
        <v>45434</v>
      </c>
      <c r="C597" s="589">
        <v>1000020481</v>
      </c>
      <c r="D597" s="451"/>
      <c r="E597" s="457"/>
      <c r="F597" s="453"/>
      <c r="G597" s="453"/>
      <c r="H597" s="453"/>
      <c r="I597" s="453"/>
      <c r="J597" s="453"/>
      <c r="K597" s="453"/>
      <c r="L597" s="453"/>
      <c r="M597" s="453"/>
      <c r="N597" s="453"/>
      <c r="O597" s="453"/>
      <c r="P597" s="453"/>
      <c r="Q597" s="453"/>
      <c r="R597" s="550"/>
      <c r="S597" s="453"/>
      <c r="T597" s="453"/>
      <c r="U597" s="453"/>
      <c r="V597" s="453"/>
      <c r="W597" s="453"/>
      <c r="X597" s="453"/>
      <c r="Y597" s="453"/>
      <c r="Z597" s="489"/>
      <c r="AA597" s="489"/>
      <c r="AB597" s="490"/>
      <c r="AC597" s="453"/>
      <c r="AD597" s="453"/>
      <c r="AE597" s="453"/>
      <c r="AF597" s="453"/>
      <c r="AG597" s="453"/>
      <c r="AH597" s="453"/>
      <c r="AI597" s="453"/>
      <c r="AJ597" s="453"/>
      <c r="AK597" s="453"/>
      <c r="AL597" s="453"/>
      <c r="AM597" s="453"/>
      <c r="AN597" s="453"/>
      <c r="AO597" s="453"/>
      <c r="AP597" s="453"/>
      <c r="AQ597" s="453"/>
      <c r="AR597" s="453"/>
      <c r="AS597" s="453"/>
      <c r="AT597" s="453"/>
      <c r="AU597" s="453"/>
      <c r="AV597" s="453"/>
      <c r="AW597" s="453"/>
      <c r="AX597" s="453"/>
      <c r="AY597" s="453"/>
      <c r="AZ597" s="453"/>
      <c r="BA597" s="532">
        <v>4800</v>
      </c>
      <c r="BB597" s="502"/>
      <c r="BC597" s="503"/>
      <c r="BD597" s="453"/>
      <c r="BE597" s="453"/>
      <c r="BF597" s="470"/>
      <c r="BG597" s="453"/>
      <c r="BH597" s="453"/>
      <c r="BI597" s="453"/>
      <c r="BJ597" s="453"/>
      <c r="BK597" s="453"/>
      <c r="BL597" s="453"/>
      <c r="BM597" s="502"/>
      <c r="BN597" s="490"/>
      <c r="BO597" s="470"/>
      <c r="BP597" s="574"/>
      <c r="BQ597" s="458"/>
      <c r="BR597" s="577"/>
      <c r="BS597" s="524"/>
      <c r="BT597" s="586" t="s">
        <v>4084</v>
      </c>
    </row>
    <row r="598" s="435" customFormat="1" ht="18" customHeight="1" spans="1:72">
      <c r="A598" s="451" t="s">
        <v>4032</v>
      </c>
      <c r="B598" s="543">
        <v>45443</v>
      </c>
      <c r="C598" s="589">
        <v>1000020696</v>
      </c>
      <c r="D598" s="451"/>
      <c r="E598" s="457"/>
      <c r="F598" s="453"/>
      <c r="G598" s="453"/>
      <c r="H598" s="453"/>
      <c r="I598" s="453"/>
      <c r="J598" s="453"/>
      <c r="K598" s="453"/>
      <c r="L598" s="453"/>
      <c r="M598" s="453"/>
      <c r="N598" s="453"/>
      <c r="O598" s="453"/>
      <c r="P598" s="453"/>
      <c r="Q598" s="453">
        <v>3001</v>
      </c>
      <c r="R598" s="550"/>
      <c r="S598" s="453"/>
      <c r="T598" s="453"/>
      <c r="U598" s="453"/>
      <c r="V598" s="453"/>
      <c r="W598" s="453"/>
      <c r="X598" s="453"/>
      <c r="Y598" s="453"/>
      <c r="Z598" s="489"/>
      <c r="AA598" s="489"/>
      <c r="AB598" s="490"/>
      <c r="AC598" s="453"/>
      <c r="AD598" s="453"/>
      <c r="AE598" s="453"/>
      <c r="AF598" s="453"/>
      <c r="AG598" s="453"/>
      <c r="AH598" s="453"/>
      <c r="AI598" s="453"/>
      <c r="AJ598" s="453"/>
      <c r="AK598" s="453"/>
      <c r="AL598" s="453"/>
      <c r="AM598" s="453"/>
      <c r="AN598" s="453"/>
      <c r="AO598" s="453"/>
      <c r="AP598" s="453"/>
      <c r="AQ598" s="453"/>
      <c r="AR598" s="453"/>
      <c r="AS598" s="453"/>
      <c r="AT598" s="453"/>
      <c r="AU598" s="453"/>
      <c r="AV598" s="453"/>
      <c r="AW598" s="453"/>
      <c r="AX598" s="453"/>
      <c r="AY598" s="453"/>
      <c r="AZ598" s="453"/>
      <c r="BA598" s="532"/>
      <c r="BB598" s="502"/>
      <c r="BC598" s="503"/>
      <c r="BD598" s="453"/>
      <c r="BE598" s="453"/>
      <c r="BF598" s="470"/>
      <c r="BG598" s="453"/>
      <c r="BH598" s="453"/>
      <c r="BI598" s="453"/>
      <c r="BJ598" s="453"/>
      <c r="BK598" s="453"/>
      <c r="BL598" s="453"/>
      <c r="BM598" s="502"/>
      <c r="BN598" s="503"/>
      <c r="BO598" s="470"/>
      <c r="BP598" s="574"/>
      <c r="BQ598" s="458"/>
      <c r="BR598" s="577"/>
      <c r="BS598" s="524"/>
      <c r="BT598" s="586"/>
    </row>
    <row r="599" s="435" customFormat="1" ht="18" customHeight="1" spans="1:72">
      <c r="A599" s="451" t="s">
        <v>4032</v>
      </c>
      <c r="B599" s="543">
        <v>45443</v>
      </c>
      <c r="C599" s="589">
        <v>1000020705</v>
      </c>
      <c r="D599" s="451"/>
      <c r="E599" s="457"/>
      <c r="F599" s="453"/>
      <c r="G599" s="453"/>
      <c r="H599" s="453"/>
      <c r="I599" s="453"/>
      <c r="J599" s="453"/>
      <c r="K599" s="453"/>
      <c r="L599" s="453"/>
      <c r="M599" s="453"/>
      <c r="N599" s="453"/>
      <c r="O599" s="453"/>
      <c r="P599" s="453"/>
      <c r="Q599" s="453"/>
      <c r="R599" s="550"/>
      <c r="S599" s="453"/>
      <c r="T599" s="453"/>
      <c r="U599" s="453"/>
      <c r="V599" s="453"/>
      <c r="W599" s="453"/>
      <c r="X599" s="453"/>
      <c r="Y599" s="453"/>
      <c r="Z599" s="489"/>
      <c r="AA599" s="489"/>
      <c r="AB599" s="490"/>
      <c r="AC599" s="453"/>
      <c r="AD599" s="453"/>
      <c r="AE599" s="453"/>
      <c r="AF599" s="453"/>
      <c r="AG599" s="453"/>
      <c r="AH599" s="453"/>
      <c r="AI599" s="453"/>
      <c r="AJ599" s="453"/>
      <c r="AK599" s="453"/>
      <c r="AL599" s="453"/>
      <c r="AM599" s="453"/>
      <c r="AN599" s="453"/>
      <c r="AO599" s="453"/>
      <c r="AP599" s="453"/>
      <c r="AQ599" s="453"/>
      <c r="AR599" s="453"/>
      <c r="AS599" s="453"/>
      <c r="AT599" s="453"/>
      <c r="AU599" s="453"/>
      <c r="AV599" s="453"/>
      <c r="AW599" s="453"/>
      <c r="AX599" s="453"/>
      <c r="AY599" s="453"/>
      <c r="AZ599" s="453"/>
      <c r="BA599" s="532"/>
      <c r="BB599" s="502"/>
      <c r="BC599" s="503"/>
      <c r="BD599" s="453"/>
      <c r="BE599" s="453"/>
      <c r="BF599" s="470"/>
      <c r="BG599" s="453"/>
      <c r="BH599" s="453"/>
      <c r="BI599" s="453">
        <v>1100</v>
      </c>
      <c r="BJ599" s="453"/>
      <c r="BK599" s="453"/>
      <c r="BL599" s="453"/>
      <c r="BM599" s="502"/>
      <c r="BN599" s="503"/>
      <c r="BO599" s="470"/>
      <c r="BP599" s="574"/>
      <c r="BQ599" s="458"/>
      <c r="BR599" s="577"/>
      <c r="BS599" s="524"/>
      <c r="BT599" s="586"/>
    </row>
    <row r="600" s="435" customFormat="1" ht="18" customHeight="1" spans="1:72">
      <c r="A600" s="451" t="s">
        <v>4032</v>
      </c>
      <c r="B600" s="543">
        <v>45449</v>
      </c>
      <c r="C600" s="589">
        <v>1000020935</v>
      </c>
      <c r="D600" s="451"/>
      <c r="E600" s="457"/>
      <c r="F600" s="453"/>
      <c r="G600" s="453"/>
      <c r="H600" s="453"/>
      <c r="I600" s="453"/>
      <c r="J600" s="453"/>
      <c r="K600" s="453"/>
      <c r="L600" s="453"/>
      <c r="M600" s="453"/>
      <c r="N600" s="453"/>
      <c r="O600" s="453"/>
      <c r="P600" s="453"/>
      <c r="Q600" s="453"/>
      <c r="R600" s="550"/>
      <c r="S600" s="453"/>
      <c r="T600" s="453"/>
      <c r="U600" s="453"/>
      <c r="V600" s="453"/>
      <c r="W600" s="453"/>
      <c r="X600" s="453"/>
      <c r="Y600" s="453"/>
      <c r="Z600" s="489"/>
      <c r="AA600" s="489"/>
      <c r="AB600" s="490"/>
      <c r="AC600" s="453"/>
      <c r="AD600" s="453"/>
      <c r="AE600" s="453"/>
      <c r="AF600" s="453"/>
      <c r="AG600" s="453"/>
      <c r="AH600" s="453"/>
      <c r="AI600" s="453"/>
      <c r="AJ600" s="453"/>
      <c r="AK600" s="453"/>
      <c r="AL600" s="453"/>
      <c r="AM600" s="453"/>
      <c r="AN600" s="453"/>
      <c r="AO600" s="453"/>
      <c r="AP600" s="453"/>
      <c r="AQ600" s="453"/>
      <c r="AR600" s="453"/>
      <c r="AS600" s="453"/>
      <c r="AT600" s="453"/>
      <c r="AU600" s="453">
        <v>20001</v>
      </c>
      <c r="AV600" s="453"/>
      <c r="AW600" s="453"/>
      <c r="AX600" s="453"/>
      <c r="AY600" s="453"/>
      <c r="AZ600" s="453"/>
      <c r="BA600" s="532"/>
      <c r="BB600" s="502"/>
      <c r="BC600" s="503"/>
      <c r="BD600" s="453"/>
      <c r="BE600" s="453"/>
      <c r="BF600" s="470"/>
      <c r="BG600" s="453"/>
      <c r="BH600" s="453"/>
      <c r="BI600" s="453"/>
      <c r="BJ600" s="453"/>
      <c r="BK600" s="453"/>
      <c r="BL600" s="453"/>
      <c r="BM600" s="502"/>
      <c r="BN600" s="503"/>
      <c r="BO600" s="470"/>
      <c r="BP600" s="574"/>
      <c r="BQ600" s="458"/>
      <c r="BR600" s="577"/>
      <c r="BS600" s="524"/>
      <c r="BT600" s="586"/>
    </row>
    <row r="601" s="435" customFormat="1" ht="18" customHeight="1" spans="1:72">
      <c r="A601" s="451" t="s">
        <v>4032</v>
      </c>
      <c r="B601" s="543">
        <v>45449</v>
      </c>
      <c r="C601" s="589">
        <v>1000020924</v>
      </c>
      <c r="D601" s="451"/>
      <c r="E601" s="457"/>
      <c r="F601" s="453"/>
      <c r="G601" s="453"/>
      <c r="H601" s="453"/>
      <c r="I601" s="453"/>
      <c r="J601" s="453"/>
      <c r="K601" s="453"/>
      <c r="L601" s="453"/>
      <c r="M601" s="453"/>
      <c r="N601" s="453"/>
      <c r="O601" s="453">
        <v>50000</v>
      </c>
      <c r="P601" s="453"/>
      <c r="Q601" s="453"/>
      <c r="R601" s="550"/>
      <c r="S601" s="453"/>
      <c r="T601" s="453"/>
      <c r="U601" s="453"/>
      <c r="V601" s="453"/>
      <c r="W601" s="453"/>
      <c r="X601" s="453"/>
      <c r="Y601" s="453"/>
      <c r="Z601" s="489"/>
      <c r="AA601" s="489"/>
      <c r="AB601" s="490"/>
      <c r="AC601" s="453"/>
      <c r="AD601" s="453"/>
      <c r="AE601" s="453"/>
      <c r="AF601" s="453"/>
      <c r="AG601" s="453"/>
      <c r="AH601" s="453"/>
      <c r="AI601" s="453"/>
      <c r="AJ601" s="453"/>
      <c r="AK601" s="453"/>
      <c r="AL601" s="453"/>
      <c r="AM601" s="453"/>
      <c r="AN601" s="453"/>
      <c r="AO601" s="453"/>
      <c r="AP601" s="453"/>
      <c r="AQ601" s="453"/>
      <c r="AR601" s="453"/>
      <c r="AS601" s="453"/>
      <c r="AT601" s="453"/>
      <c r="AU601" s="453"/>
      <c r="AV601" s="453"/>
      <c r="AW601" s="453"/>
      <c r="AX601" s="453"/>
      <c r="AY601" s="453"/>
      <c r="AZ601" s="453"/>
      <c r="BA601" s="532"/>
      <c r="BB601" s="502"/>
      <c r="BC601" s="503"/>
      <c r="BD601" s="453"/>
      <c r="BE601" s="453"/>
      <c r="BF601" s="470"/>
      <c r="BG601" s="453"/>
      <c r="BH601" s="453"/>
      <c r="BI601" s="453"/>
      <c r="BJ601" s="453"/>
      <c r="BK601" s="453"/>
      <c r="BL601" s="453"/>
      <c r="BM601" s="502"/>
      <c r="BN601" s="503"/>
      <c r="BO601" s="470"/>
      <c r="BP601" s="574"/>
      <c r="BQ601" s="458"/>
      <c r="BR601" s="577"/>
      <c r="BS601" s="524"/>
      <c r="BT601" s="586"/>
    </row>
    <row r="602" s="435" customFormat="1" ht="18" customHeight="1" spans="1:72">
      <c r="A602" s="451" t="s">
        <v>4032</v>
      </c>
      <c r="B602" s="543">
        <v>45449</v>
      </c>
      <c r="C602" s="589">
        <v>1000020925</v>
      </c>
      <c r="D602" s="451"/>
      <c r="E602" s="457"/>
      <c r="F602" s="453"/>
      <c r="G602" s="453"/>
      <c r="H602" s="453"/>
      <c r="I602" s="453"/>
      <c r="J602" s="453"/>
      <c r="K602" s="453"/>
      <c r="L602" s="453"/>
      <c r="M602" s="453"/>
      <c r="N602" s="453"/>
      <c r="O602" s="453"/>
      <c r="P602" s="453">
        <v>5001</v>
      </c>
      <c r="Q602" s="453"/>
      <c r="R602" s="550"/>
      <c r="S602" s="453"/>
      <c r="T602" s="453"/>
      <c r="U602" s="453"/>
      <c r="V602" s="453"/>
      <c r="W602" s="453"/>
      <c r="X602" s="453"/>
      <c r="Y602" s="453"/>
      <c r="Z602" s="489"/>
      <c r="AA602" s="489"/>
      <c r="AB602" s="490"/>
      <c r="AC602" s="453"/>
      <c r="AD602" s="453"/>
      <c r="AE602" s="453"/>
      <c r="AF602" s="453"/>
      <c r="AG602" s="453"/>
      <c r="AH602" s="453"/>
      <c r="AI602" s="453"/>
      <c r="AJ602" s="453"/>
      <c r="AK602" s="453"/>
      <c r="AL602" s="453"/>
      <c r="AM602" s="453"/>
      <c r="AN602" s="453"/>
      <c r="AO602" s="453"/>
      <c r="AP602" s="453"/>
      <c r="AQ602" s="453"/>
      <c r="AR602" s="453"/>
      <c r="AS602" s="453"/>
      <c r="AT602" s="453"/>
      <c r="AU602" s="453"/>
      <c r="AV602" s="453"/>
      <c r="AW602" s="453"/>
      <c r="AX602" s="453"/>
      <c r="AY602" s="453"/>
      <c r="AZ602" s="453"/>
      <c r="BA602" s="532"/>
      <c r="BB602" s="502"/>
      <c r="BC602" s="503"/>
      <c r="BD602" s="453"/>
      <c r="BE602" s="453"/>
      <c r="BF602" s="470"/>
      <c r="BG602" s="453"/>
      <c r="BH602" s="453"/>
      <c r="BI602" s="453"/>
      <c r="BJ602" s="453"/>
      <c r="BK602" s="453"/>
      <c r="BL602" s="453"/>
      <c r="BM602" s="502"/>
      <c r="BN602" s="503"/>
      <c r="BO602" s="470"/>
      <c r="BP602" s="574"/>
      <c r="BQ602" s="458"/>
      <c r="BR602" s="577"/>
      <c r="BS602" s="524"/>
      <c r="BT602" s="586"/>
    </row>
    <row r="603" s="435" customFormat="1" ht="18" customHeight="1" spans="1:72">
      <c r="A603" s="451" t="s">
        <v>4032</v>
      </c>
      <c r="B603" s="543">
        <v>45449</v>
      </c>
      <c r="C603" s="589">
        <v>1000020926</v>
      </c>
      <c r="D603" s="451"/>
      <c r="E603" s="457"/>
      <c r="F603" s="453"/>
      <c r="G603" s="453"/>
      <c r="H603" s="453"/>
      <c r="I603" s="453"/>
      <c r="J603" s="453"/>
      <c r="K603" s="453"/>
      <c r="L603" s="453"/>
      <c r="M603" s="453"/>
      <c r="N603" s="453"/>
      <c r="O603" s="453"/>
      <c r="P603" s="453"/>
      <c r="Q603" s="453">
        <v>10001</v>
      </c>
      <c r="R603" s="550"/>
      <c r="S603" s="453"/>
      <c r="T603" s="453"/>
      <c r="U603" s="453"/>
      <c r="V603" s="453"/>
      <c r="W603" s="453"/>
      <c r="X603" s="453"/>
      <c r="Y603" s="453"/>
      <c r="Z603" s="489"/>
      <c r="AA603" s="489"/>
      <c r="AB603" s="490"/>
      <c r="AC603" s="453"/>
      <c r="AD603" s="453"/>
      <c r="AE603" s="453"/>
      <c r="AF603" s="453"/>
      <c r="AG603" s="453"/>
      <c r="AH603" s="453"/>
      <c r="AI603" s="453"/>
      <c r="AJ603" s="453"/>
      <c r="AK603" s="453"/>
      <c r="AL603" s="453"/>
      <c r="AM603" s="453"/>
      <c r="AN603" s="453"/>
      <c r="AO603" s="453"/>
      <c r="AP603" s="453"/>
      <c r="AQ603" s="453"/>
      <c r="AR603" s="453"/>
      <c r="AS603" s="453"/>
      <c r="AT603" s="453"/>
      <c r="AU603" s="453"/>
      <c r="AV603" s="453"/>
      <c r="AW603" s="453"/>
      <c r="AX603" s="453"/>
      <c r="AY603" s="453"/>
      <c r="AZ603" s="453"/>
      <c r="BA603" s="532"/>
      <c r="BB603" s="502"/>
      <c r="BC603" s="503"/>
      <c r="BD603" s="453"/>
      <c r="BE603" s="453"/>
      <c r="BF603" s="470"/>
      <c r="BG603" s="453"/>
      <c r="BH603" s="453"/>
      <c r="BI603" s="453"/>
      <c r="BJ603" s="453"/>
      <c r="BK603" s="453"/>
      <c r="BL603" s="453"/>
      <c r="BM603" s="502"/>
      <c r="BN603" s="503"/>
      <c r="BO603" s="470"/>
      <c r="BP603" s="574"/>
      <c r="BQ603" s="458"/>
      <c r="BR603" s="577"/>
      <c r="BS603" s="524"/>
      <c r="BT603" s="586"/>
    </row>
    <row r="604" s="435" customFormat="1" ht="18" customHeight="1" spans="1:72">
      <c r="A604" s="451" t="s">
        <v>4032</v>
      </c>
      <c r="B604" s="543">
        <v>45449</v>
      </c>
      <c r="C604" s="589">
        <v>1000020927</v>
      </c>
      <c r="D604" s="451"/>
      <c r="E604" s="457"/>
      <c r="F604" s="453"/>
      <c r="G604" s="453"/>
      <c r="H604" s="453"/>
      <c r="I604" s="453"/>
      <c r="J604" s="453"/>
      <c r="K604" s="453"/>
      <c r="L604" s="453"/>
      <c r="M604" s="453"/>
      <c r="N604" s="453"/>
      <c r="O604" s="453"/>
      <c r="P604" s="453"/>
      <c r="Q604" s="453"/>
      <c r="R604" s="550"/>
      <c r="S604" s="453"/>
      <c r="T604" s="453">
        <v>60000</v>
      </c>
      <c r="U604" s="453"/>
      <c r="V604" s="453"/>
      <c r="W604" s="453"/>
      <c r="X604" s="453"/>
      <c r="Y604" s="453"/>
      <c r="Z604" s="489"/>
      <c r="AA604" s="489"/>
      <c r="AB604" s="490"/>
      <c r="AC604" s="453"/>
      <c r="AD604" s="453"/>
      <c r="AE604" s="453"/>
      <c r="AF604" s="453"/>
      <c r="AG604" s="453"/>
      <c r="AH604" s="453"/>
      <c r="AI604" s="453"/>
      <c r="AJ604" s="453"/>
      <c r="AK604" s="453"/>
      <c r="AL604" s="453"/>
      <c r="AM604" s="453"/>
      <c r="AN604" s="453"/>
      <c r="AO604" s="453"/>
      <c r="AP604" s="453"/>
      <c r="AQ604" s="453"/>
      <c r="AR604" s="453"/>
      <c r="AS604" s="453"/>
      <c r="AT604" s="453"/>
      <c r="AU604" s="453"/>
      <c r="AV604" s="453"/>
      <c r="AW604" s="453"/>
      <c r="AX604" s="453"/>
      <c r="AY604" s="453"/>
      <c r="AZ604" s="453"/>
      <c r="BA604" s="532"/>
      <c r="BB604" s="502"/>
      <c r="BC604" s="503"/>
      <c r="BD604" s="453"/>
      <c r="BE604" s="453"/>
      <c r="BF604" s="470"/>
      <c r="BG604" s="453"/>
      <c r="BH604" s="453"/>
      <c r="BI604" s="453"/>
      <c r="BJ604" s="453"/>
      <c r="BK604" s="453"/>
      <c r="BL604" s="453"/>
      <c r="BM604" s="502"/>
      <c r="BN604" s="503"/>
      <c r="BO604" s="470"/>
      <c r="BP604" s="574"/>
      <c r="BQ604" s="458"/>
      <c r="BR604" s="577"/>
      <c r="BS604" s="524"/>
      <c r="BT604" s="586"/>
    </row>
    <row r="605" s="435" customFormat="1" ht="18" customHeight="1" spans="1:72">
      <c r="A605" s="451" t="s">
        <v>4032</v>
      </c>
      <c r="B605" s="543">
        <v>45454</v>
      </c>
      <c r="C605" s="589">
        <v>1000020959</v>
      </c>
      <c r="D605" s="451"/>
      <c r="E605" s="457"/>
      <c r="F605" s="453"/>
      <c r="G605" s="453"/>
      <c r="H605" s="453"/>
      <c r="I605" s="453"/>
      <c r="J605" s="453"/>
      <c r="K605" s="453"/>
      <c r="L605" s="453"/>
      <c r="M605" s="453"/>
      <c r="N605" s="453"/>
      <c r="O605" s="453"/>
      <c r="P605" s="453"/>
      <c r="Q605" s="453"/>
      <c r="R605" s="550"/>
      <c r="S605" s="453"/>
      <c r="T605" s="453"/>
      <c r="U605" s="453"/>
      <c r="V605" s="453"/>
      <c r="W605" s="453"/>
      <c r="X605" s="453"/>
      <c r="Y605" s="453"/>
      <c r="Z605" s="489"/>
      <c r="AA605" s="489"/>
      <c r="AB605" s="490"/>
      <c r="AC605" s="453"/>
      <c r="AD605" s="453"/>
      <c r="AE605" s="453"/>
      <c r="AF605" s="453"/>
      <c r="AG605" s="453"/>
      <c r="AH605" s="453"/>
      <c r="AI605" s="453"/>
      <c r="AJ605" s="453"/>
      <c r="AK605" s="453"/>
      <c r="AL605" s="453"/>
      <c r="AM605" s="453"/>
      <c r="AN605" s="453"/>
      <c r="AO605" s="453"/>
      <c r="AP605" s="453"/>
      <c r="AQ605" s="453"/>
      <c r="AR605" s="453"/>
      <c r="AS605" s="453"/>
      <c r="AT605" s="453"/>
      <c r="AU605" s="453"/>
      <c r="AV605" s="453"/>
      <c r="AW605" s="453"/>
      <c r="AX605" s="453"/>
      <c r="AY605" s="453"/>
      <c r="AZ605" s="453">
        <v>640</v>
      </c>
      <c r="BA605" s="532"/>
      <c r="BB605" s="502"/>
      <c r="BC605" s="503"/>
      <c r="BD605" s="453"/>
      <c r="BE605" s="453"/>
      <c r="BF605" s="470"/>
      <c r="BG605" s="453"/>
      <c r="BH605" s="453"/>
      <c r="BI605" s="453"/>
      <c r="BJ605" s="453"/>
      <c r="BK605" s="453"/>
      <c r="BL605" s="453"/>
      <c r="BM605" s="502"/>
      <c r="BN605" s="503"/>
      <c r="BO605" s="470"/>
      <c r="BP605" s="574"/>
      <c r="BQ605" s="458"/>
      <c r="BR605" s="577"/>
      <c r="BS605" s="524"/>
      <c r="BT605" s="586" t="s">
        <v>4085</v>
      </c>
    </row>
    <row r="606" s="435" customFormat="1" ht="18" customHeight="1" spans="1:72">
      <c r="A606" s="451" t="s">
        <v>4032</v>
      </c>
      <c r="B606" s="543">
        <v>45454</v>
      </c>
      <c r="C606" s="589">
        <v>1000020960</v>
      </c>
      <c r="D606" s="451"/>
      <c r="E606" s="457"/>
      <c r="F606" s="453"/>
      <c r="G606" s="453"/>
      <c r="H606" s="453"/>
      <c r="I606" s="453"/>
      <c r="J606" s="453"/>
      <c r="K606" s="453"/>
      <c r="L606" s="453"/>
      <c r="M606" s="453"/>
      <c r="N606" s="453"/>
      <c r="O606" s="453"/>
      <c r="P606" s="453"/>
      <c r="Q606" s="453"/>
      <c r="R606" s="550"/>
      <c r="S606" s="453"/>
      <c r="T606" s="453"/>
      <c r="U606" s="453"/>
      <c r="V606" s="453"/>
      <c r="W606" s="453"/>
      <c r="X606" s="453"/>
      <c r="Y606" s="453"/>
      <c r="Z606" s="489"/>
      <c r="AA606" s="489"/>
      <c r="AB606" s="490"/>
      <c r="AC606" s="453"/>
      <c r="AD606" s="453"/>
      <c r="AE606" s="453"/>
      <c r="AF606" s="453"/>
      <c r="AG606" s="453"/>
      <c r="AH606" s="453"/>
      <c r="AI606" s="453"/>
      <c r="AJ606" s="453"/>
      <c r="AK606" s="453"/>
      <c r="AL606" s="453"/>
      <c r="AM606" s="453"/>
      <c r="AN606" s="453"/>
      <c r="AO606" s="453"/>
      <c r="AP606" s="453"/>
      <c r="AQ606" s="453"/>
      <c r="AR606" s="453"/>
      <c r="AS606" s="453"/>
      <c r="AT606" s="453"/>
      <c r="AU606" s="453"/>
      <c r="AV606" s="453"/>
      <c r="AW606" s="453"/>
      <c r="AX606" s="453"/>
      <c r="AY606" s="453"/>
      <c r="AZ606" s="453"/>
      <c r="BA606" s="532">
        <v>2560</v>
      </c>
      <c r="BB606" s="502"/>
      <c r="BC606" s="503"/>
      <c r="BD606" s="453"/>
      <c r="BE606" s="453"/>
      <c r="BF606" s="470"/>
      <c r="BG606" s="453"/>
      <c r="BH606" s="453"/>
      <c r="BI606" s="453"/>
      <c r="BJ606" s="453"/>
      <c r="BK606" s="453"/>
      <c r="BL606" s="453"/>
      <c r="BM606" s="502"/>
      <c r="BN606" s="503"/>
      <c r="BO606" s="470"/>
      <c r="BP606" s="574"/>
      <c r="BQ606" s="458"/>
      <c r="BR606" s="577"/>
      <c r="BS606" s="524"/>
      <c r="BT606" s="586" t="s">
        <v>4086</v>
      </c>
    </row>
    <row r="607" s="435" customFormat="1" ht="18" customHeight="1" spans="1:72">
      <c r="A607" s="451" t="s">
        <v>4032</v>
      </c>
      <c r="B607" s="543">
        <v>45463</v>
      </c>
      <c r="C607" s="589">
        <v>1000021199</v>
      </c>
      <c r="D607" s="451"/>
      <c r="E607" s="457"/>
      <c r="F607" s="453"/>
      <c r="G607" s="453"/>
      <c r="H607" s="453"/>
      <c r="I607" s="453"/>
      <c r="J607" s="453"/>
      <c r="K607" s="453"/>
      <c r="L607" s="453"/>
      <c r="M607" s="453"/>
      <c r="N607" s="453"/>
      <c r="O607" s="453"/>
      <c r="P607" s="453"/>
      <c r="Q607" s="453"/>
      <c r="R607" s="550"/>
      <c r="S607" s="453"/>
      <c r="T607" s="453"/>
      <c r="U607" s="453"/>
      <c r="V607" s="453"/>
      <c r="W607" s="453"/>
      <c r="X607" s="453"/>
      <c r="Y607" s="453"/>
      <c r="Z607" s="489"/>
      <c r="AA607" s="489"/>
      <c r="AB607" s="490"/>
      <c r="AC607" s="453"/>
      <c r="AD607" s="453"/>
      <c r="AE607" s="453"/>
      <c r="AF607" s="453"/>
      <c r="AG607" s="453"/>
      <c r="AH607" s="453"/>
      <c r="AI607" s="453"/>
      <c r="AJ607" s="453"/>
      <c r="AK607" s="453">
        <v>10001</v>
      </c>
      <c r="AL607" s="453"/>
      <c r="AM607" s="453"/>
      <c r="AN607" s="453"/>
      <c r="AO607" s="453"/>
      <c r="AP607" s="453"/>
      <c r="AQ607" s="453"/>
      <c r="AR607" s="453"/>
      <c r="AS607" s="453"/>
      <c r="AT607" s="453"/>
      <c r="AU607" s="453"/>
      <c r="AV607" s="453"/>
      <c r="AW607" s="453"/>
      <c r="AX607" s="453"/>
      <c r="AY607" s="453"/>
      <c r="AZ607" s="453"/>
      <c r="BA607" s="532"/>
      <c r="BB607" s="502"/>
      <c r="BC607" s="503"/>
      <c r="BD607" s="453"/>
      <c r="BE607" s="453"/>
      <c r="BF607" s="470"/>
      <c r="BG607" s="453"/>
      <c r="BH607" s="453"/>
      <c r="BI607" s="453"/>
      <c r="BJ607" s="453"/>
      <c r="BK607" s="453"/>
      <c r="BL607" s="453"/>
      <c r="BM607" s="502"/>
      <c r="BN607" s="503"/>
      <c r="BO607" s="470"/>
      <c r="BP607" s="574"/>
      <c r="BQ607" s="458"/>
      <c r="BR607" s="577"/>
      <c r="BS607" s="524"/>
      <c r="BT607" s="586"/>
    </row>
    <row r="608" s="435" customFormat="1" ht="18" customHeight="1" spans="1:72">
      <c r="A608" s="451" t="s">
        <v>4032</v>
      </c>
      <c r="B608" s="543">
        <v>45463</v>
      </c>
      <c r="C608" s="589">
        <v>1000021200</v>
      </c>
      <c r="D608" s="451"/>
      <c r="E608" s="457"/>
      <c r="F608" s="453"/>
      <c r="G608" s="453"/>
      <c r="H608" s="453"/>
      <c r="I608" s="453"/>
      <c r="J608" s="453"/>
      <c r="K608" s="453"/>
      <c r="L608" s="453"/>
      <c r="M608" s="453"/>
      <c r="N608" s="453"/>
      <c r="O608" s="453"/>
      <c r="P608" s="453"/>
      <c r="Q608" s="453"/>
      <c r="R608" s="550"/>
      <c r="S608" s="453"/>
      <c r="T608" s="453"/>
      <c r="U608" s="453"/>
      <c r="V608" s="453"/>
      <c r="W608" s="453"/>
      <c r="X608" s="453"/>
      <c r="Y608" s="453"/>
      <c r="Z608" s="489"/>
      <c r="AA608" s="489"/>
      <c r="AB608" s="490"/>
      <c r="AC608" s="453"/>
      <c r="AD608" s="453"/>
      <c r="AE608" s="453"/>
      <c r="AF608" s="453"/>
      <c r="AG608" s="453"/>
      <c r="AH608" s="453"/>
      <c r="AI608" s="453"/>
      <c r="AJ608" s="453"/>
      <c r="AK608" s="453"/>
      <c r="AL608" s="453"/>
      <c r="AM608" s="453"/>
      <c r="AN608" s="453"/>
      <c r="AO608" s="453"/>
      <c r="AP608" s="453"/>
      <c r="AQ608" s="453"/>
      <c r="AR608" s="453"/>
      <c r="AS608" s="453"/>
      <c r="AT608" s="453"/>
      <c r="AU608" s="453">
        <v>30001</v>
      </c>
      <c r="AV608" s="453"/>
      <c r="AW608" s="453"/>
      <c r="AX608" s="453"/>
      <c r="AY608" s="453"/>
      <c r="AZ608" s="453"/>
      <c r="BA608" s="532"/>
      <c r="BB608" s="502"/>
      <c r="BC608" s="503"/>
      <c r="BD608" s="453"/>
      <c r="BE608" s="453"/>
      <c r="BF608" s="470"/>
      <c r="BG608" s="453"/>
      <c r="BH608" s="453"/>
      <c r="BI608" s="453"/>
      <c r="BJ608" s="453"/>
      <c r="BK608" s="453"/>
      <c r="BL608" s="453"/>
      <c r="BM608" s="502"/>
      <c r="BN608" s="503"/>
      <c r="BO608" s="470"/>
      <c r="BP608" s="574"/>
      <c r="BQ608" s="458"/>
      <c r="BR608" s="577"/>
      <c r="BS608" s="524"/>
      <c r="BT608" s="586"/>
    </row>
    <row r="609" s="435" customFormat="1" ht="18" customHeight="1" spans="1:72">
      <c r="A609" s="451" t="s">
        <v>4032</v>
      </c>
      <c r="B609" s="543">
        <v>45478</v>
      </c>
      <c r="C609" s="589">
        <v>1000021637</v>
      </c>
      <c r="D609" s="451"/>
      <c r="E609" s="457"/>
      <c r="F609" s="453"/>
      <c r="G609" s="453"/>
      <c r="H609" s="453"/>
      <c r="I609" s="453"/>
      <c r="J609" s="453"/>
      <c r="K609" s="453"/>
      <c r="L609" s="453"/>
      <c r="M609" s="453"/>
      <c r="N609" s="453"/>
      <c r="O609" s="453"/>
      <c r="P609" s="453"/>
      <c r="Q609" s="453"/>
      <c r="R609" s="550"/>
      <c r="S609" s="453"/>
      <c r="T609" s="453"/>
      <c r="U609" s="453"/>
      <c r="V609" s="453"/>
      <c r="W609" s="453"/>
      <c r="X609" s="453"/>
      <c r="Y609" s="453"/>
      <c r="Z609" s="489"/>
      <c r="AA609" s="489"/>
      <c r="AB609" s="490"/>
      <c r="AC609" s="453"/>
      <c r="AD609" s="453"/>
      <c r="AE609" s="453"/>
      <c r="AF609" s="453">
        <v>30000</v>
      </c>
      <c r="AG609" s="453"/>
      <c r="AH609" s="453"/>
      <c r="AI609" s="453"/>
      <c r="AJ609" s="453"/>
      <c r="AK609" s="453"/>
      <c r="AL609" s="453"/>
      <c r="AM609" s="453"/>
      <c r="AN609" s="453"/>
      <c r="AO609" s="453"/>
      <c r="AP609" s="453"/>
      <c r="AQ609" s="453"/>
      <c r="AR609" s="453"/>
      <c r="AS609" s="453"/>
      <c r="AT609" s="453"/>
      <c r="AU609" s="453"/>
      <c r="AV609" s="453"/>
      <c r="AW609" s="453"/>
      <c r="AX609" s="453"/>
      <c r="AY609" s="453"/>
      <c r="AZ609" s="453"/>
      <c r="BA609" s="532"/>
      <c r="BB609" s="502"/>
      <c r="BC609" s="503"/>
      <c r="BD609" s="453"/>
      <c r="BE609" s="453"/>
      <c r="BF609" s="470"/>
      <c r="BG609" s="453"/>
      <c r="BH609" s="453"/>
      <c r="BI609" s="453"/>
      <c r="BJ609" s="453"/>
      <c r="BK609" s="453"/>
      <c r="BL609" s="453"/>
      <c r="BM609" s="502"/>
      <c r="BN609" s="503"/>
      <c r="BO609" s="470"/>
      <c r="BP609" s="574"/>
      <c r="BQ609" s="458"/>
      <c r="BR609" s="577"/>
      <c r="BS609" s="524"/>
      <c r="BT609" s="586"/>
    </row>
    <row r="610" s="435" customFormat="1" ht="18" customHeight="1" spans="1:72">
      <c r="A610" s="451" t="s">
        <v>4032</v>
      </c>
      <c r="B610" s="543">
        <v>45478</v>
      </c>
      <c r="C610" s="589">
        <v>1000021638</v>
      </c>
      <c r="D610" s="451"/>
      <c r="E610" s="457"/>
      <c r="F610" s="453"/>
      <c r="G610" s="453"/>
      <c r="H610" s="453"/>
      <c r="I610" s="453"/>
      <c r="J610" s="453"/>
      <c r="K610" s="453"/>
      <c r="L610" s="453"/>
      <c r="M610" s="453"/>
      <c r="N610" s="453"/>
      <c r="O610" s="453"/>
      <c r="P610" s="453"/>
      <c r="Q610" s="453"/>
      <c r="R610" s="550"/>
      <c r="S610" s="453"/>
      <c r="T610" s="453"/>
      <c r="U610" s="453"/>
      <c r="V610" s="453"/>
      <c r="W610" s="453"/>
      <c r="X610" s="453"/>
      <c r="Y610" s="453"/>
      <c r="Z610" s="489"/>
      <c r="AA610" s="489"/>
      <c r="AB610" s="490"/>
      <c r="AC610" s="453"/>
      <c r="AD610" s="453"/>
      <c r="AE610" s="453"/>
      <c r="AF610" s="453"/>
      <c r="AG610" s="453"/>
      <c r="AH610" s="453"/>
      <c r="AI610" s="453"/>
      <c r="AJ610" s="453"/>
      <c r="AK610" s="453"/>
      <c r="AL610" s="453"/>
      <c r="AM610" s="453"/>
      <c r="AN610" s="453"/>
      <c r="AO610" s="453"/>
      <c r="AP610" s="453"/>
      <c r="AQ610" s="453"/>
      <c r="AR610" s="453"/>
      <c r="AS610" s="453"/>
      <c r="AT610" s="453"/>
      <c r="AU610" s="453">
        <v>30000</v>
      </c>
      <c r="AV610" s="453"/>
      <c r="AW610" s="453"/>
      <c r="AX610" s="453"/>
      <c r="AY610" s="453"/>
      <c r="AZ610" s="453"/>
      <c r="BA610" s="532"/>
      <c r="BB610" s="502"/>
      <c r="BC610" s="503"/>
      <c r="BD610" s="453"/>
      <c r="BE610" s="453"/>
      <c r="BF610" s="470"/>
      <c r="BG610" s="453"/>
      <c r="BH610" s="453"/>
      <c r="BI610" s="453"/>
      <c r="BJ610" s="453"/>
      <c r="BK610" s="453"/>
      <c r="BL610" s="453"/>
      <c r="BM610" s="502"/>
      <c r="BN610" s="503"/>
      <c r="BO610" s="470"/>
      <c r="BP610" s="574"/>
      <c r="BQ610" s="458"/>
      <c r="BR610" s="577"/>
      <c r="BS610" s="524"/>
      <c r="BT610" s="586"/>
    </row>
    <row r="611" s="435" customFormat="1" ht="18" customHeight="1" spans="1:72">
      <c r="A611" s="451" t="s">
        <v>4032</v>
      </c>
      <c r="B611" s="543">
        <v>45478</v>
      </c>
      <c r="C611" s="589">
        <v>1000021639</v>
      </c>
      <c r="D611" s="451"/>
      <c r="E611" s="457"/>
      <c r="F611" s="453"/>
      <c r="G611" s="453"/>
      <c r="H611" s="453"/>
      <c r="I611" s="453"/>
      <c r="J611" s="453"/>
      <c r="K611" s="453"/>
      <c r="L611" s="453"/>
      <c r="M611" s="453"/>
      <c r="N611" s="453"/>
      <c r="O611" s="453"/>
      <c r="P611" s="453"/>
      <c r="Q611" s="453"/>
      <c r="R611" s="550"/>
      <c r="S611" s="453"/>
      <c r="T611" s="453"/>
      <c r="U611" s="453"/>
      <c r="V611" s="453"/>
      <c r="W611" s="453"/>
      <c r="X611" s="453"/>
      <c r="Y611" s="453"/>
      <c r="Z611" s="489"/>
      <c r="AA611" s="489"/>
      <c r="AB611" s="490"/>
      <c r="AC611" s="453"/>
      <c r="AD611" s="453"/>
      <c r="AE611" s="453"/>
      <c r="AF611" s="453"/>
      <c r="AG611" s="453"/>
      <c r="AH611" s="453"/>
      <c r="AI611" s="453"/>
      <c r="AJ611" s="453"/>
      <c r="AK611" s="453"/>
      <c r="AL611" s="453"/>
      <c r="AM611" s="453"/>
      <c r="AN611" s="453"/>
      <c r="AO611" s="453"/>
      <c r="AP611" s="453"/>
      <c r="AQ611" s="453"/>
      <c r="AR611" s="453"/>
      <c r="AS611" s="453"/>
      <c r="AT611" s="453"/>
      <c r="AU611" s="453"/>
      <c r="AV611" s="453"/>
      <c r="AW611" s="453"/>
      <c r="AX611" s="453"/>
      <c r="AY611" s="453"/>
      <c r="AZ611" s="453"/>
      <c r="BA611" s="532"/>
      <c r="BB611" s="502"/>
      <c r="BC611" s="503"/>
      <c r="BD611" s="453"/>
      <c r="BE611" s="453"/>
      <c r="BF611" s="470"/>
      <c r="BG611" s="453"/>
      <c r="BH611" s="453"/>
      <c r="BI611" s="453">
        <v>5001</v>
      </c>
      <c r="BJ611" s="453"/>
      <c r="BK611" s="453"/>
      <c r="BL611" s="453"/>
      <c r="BM611" s="502"/>
      <c r="BN611" s="503"/>
      <c r="BO611" s="470"/>
      <c r="BP611" s="574"/>
      <c r="BQ611" s="458"/>
      <c r="BR611" s="577"/>
      <c r="BS611" s="524"/>
      <c r="BT611" s="586"/>
    </row>
    <row r="612" s="435" customFormat="1" ht="18" customHeight="1" spans="1:72">
      <c r="A612" s="451" t="s">
        <v>4032</v>
      </c>
      <c r="B612" s="543">
        <v>45478</v>
      </c>
      <c r="C612" s="589">
        <v>1000021640</v>
      </c>
      <c r="D612" s="451"/>
      <c r="E612" s="457"/>
      <c r="F612" s="453"/>
      <c r="G612" s="453"/>
      <c r="H612" s="453"/>
      <c r="I612" s="453"/>
      <c r="J612" s="453"/>
      <c r="K612" s="453"/>
      <c r="L612" s="453"/>
      <c r="M612" s="453"/>
      <c r="N612" s="453"/>
      <c r="O612" s="453"/>
      <c r="P612" s="453"/>
      <c r="Q612" s="453"/>
      <c r="R612" s="550"/>
      <c r="S612" s="453"/>
      <c r="T612" s="453"/>
      <c r="U612" s="453"/>
      <c r="V612" s="453"/>
      <c r="W612" s="453"/>
      <c r="X612" s="453"/>
      <c r="Y612" s="453"/>
      <c r="Z612" s="489"/>
      <c r="AA612" s="489"/>
      <c r="AB612" s="490"/>
      <c r="AC612" s="453"/>
      <c r="AD612" s="453"/>
      <c r="AE612" s="453"/>
      <c r="AF612" s="453"/>
      <c r="AG612" s="453"/>
      <c r="AH612" s="453"/>
      <c r="AI612" s="453"/>
      <c r="AJ612" s="453"/>
      <c r="AK612" s="453"/>
      <c r="AL612" s="453"/>
      <c r="AM612" s="453"/>
      <c r="AN612" s="453"/>
      <c r="AO612" s="453"/>
      <c r="AP612" s="453"/>
      <c r="AQ612" s="453"/>
      <c r="AR612" s="453"/>
      <c r="AS612" s="453"/>
      <c r="AT612" s="453"/>
      <c r="AU612" s="453"/>
      <c r="AV612" s="453"/>
      <c r="AW612" s="453"/>
      <c r="AX612" s="453"/>
      <c r="AY612" s="453"/>
      <c r="AZ612" s="453"/>
      <c r="BA612" s="532"/>
      <c r="BB612" s="502"/>
      <c r="BC612" s="503"/>
      <c r="BD612" s="453"/>
      <c r="BE612" s="453"/>
      <c r="BF612" s="470"/>
      <c r="BG612" s="453"/>
      <c r="BH612" s="453"/>
      <c r="BI612" s="453"/>
      <c r="BJ612" s="453"/>
      <c r="BK612" s="453"/>
      <c r="BL612" s="453"/>
      <c r="BM612" s="502"/>
      <c r="BN612" s="503"/>
      <c r="BO612" s="470"/>
      <c r="BP612" s="574">
        <v>4446</v>
      </c>
      <c r="BQ612" s="458"/>
      <c r="BR612" s="577"/>
      <c r="BS612" s="524"/>
      <c r="BT612" s="586"/>
    </row>
    <row r="613" s="435" customFormat="1" ht="18" customHeight="1" spans="1:72">
      <c r="A613" s="451" t="s">
        <v>4032</v>
      </c>
      <c r="B613" s="543">
        <v>45484</v>
      </c>
      <c r="C613" s="581">
        <v>1000021784</v>
      </c>
      <c r="D613" s="451"/>
      <c r="E613" s="457"/>
      <c r="F613" s="453"/>
      <c r="G613" s="453"/>
      <c r="H613" s="453"/>
      <c r="I613" s="453"/>
      <c r="J613" s="453"/>
      <c r="K613" s="453"/>
      <c r="L613" s="453"/>
      <c r="M613" s="453"/>
      <c r="N613" s="453"/>
      <c r="O613" s="453">
        <v>30000</v>
      </c>
      <c r="P613" s="453"/>
      <c r="Q613" s="453"/>
      <c r="R613" s="550"/>
      <c r="S613" s="453"/>
      <c r="T613" s="453"/>
      <c r="U613" s="453"/>
      <c r="V613" s="453"/>
      <c r="W613" s="453"/>
      <c r="X613" s="453"/>
      <c r="Y613" s="453"/>
      <c r="Z613" s="489"/>
      <c r="AA613" s="489"/>
      <c r="AB613" s="490"/>
      <c r="AC613" s="453"/>
      <c r="AD613" s="453"/>
      <c r="AE613" s="453"/>
      <c r="AF613" s="453"/>
      <c r="AG613" s="453"/>
      <c r="AH613" s="453"/>
      <c r="AI613" s="453"/>
      <c r="AJ613" s="453"/>
      <c r="AK613" s="453"/>
      <c r="AL613" s="453"/>
      <c r="AM613" s="453"/>
      <c r="AN613" s="453"/>
      <c r="AO613" s="453"/>
      <c r="AP613" s="453"/>
      <c r="AQ613" s="453"/>
      <c r="AR613" s="453"/>
      <c r="AS613" s="453"/>
      <c r="AT613" s="453"/>
      <c r="AU613" s="453"/>
      <c r="AV613" s="453"/>
      <c r="AW613" s="453"/>
      <c r="AX613" s="453"/>
      <c r="AY613" s="453"/>
      <c r="AZ613" s="453"/>
      <c r="BA613" s="532"/>
      <c r="BB613" s="502"/>
      <c r="BC613" s="503"/>
      <c r="BD613" s="453"/>
      <c r="BE613" s="453"/>
      <c r="BF613" s="470"/>
      <c r="BG613" s="453"/>
      <c r="BH613" s="453"/>
      <c r="BI613" s="453"/>
      <c r="BJ613" s="453"/>
      <c r="BK613" s="453"/>
      <c r="BL613" s="453"/>
      <c r="BM613" s="502"/>
      <c r="BN613" s="503"/>
      <c r="BO613" s="470"/>
      <c r="BP613" s="574"/>
      <c r="BQ613" s="458"/>
      <c r="BR613" s="577"/>
      <c r="BS613" s="524"/>
      <c r="BT613" s="586"/>
    </row>
    <row r="614" s="435" customFormat="1" ht="18" customHeight="1" spans="1:72">
      <c r="A614" s="451" t="s">
        <v>4032</v>
      </c>
      <c r="B614" s="543">
        <v>45484</v>
      </c>
      <c r="C614" s="581">
        <v>1000021785</v>
      </c>
      <c r="D614" s="451"/>
      <c r="E614" s="457"/>
      <c r="F614" s="453"/>
      <c r="G614" s="453"/>
      <c r="H614" s="453"/>
      <c r="I614" s="453"/>
      <c r="J614" s="453"/>
      <c r="K614" s="453"/>
      <c r="L614" s="453"/>
      <c r="M614" s="453"/>
      <c r="N614" s="453"/>
      <c r="O614" s="453"/>
      <c r="P614" s="453">
        <v>3001</v>
      </c>
      <c r="Q614" s="453"/>
      <c r="R614" s="550"/>
      <c r="S614" s="453"/>
      <c r="T614" s="453"/>
      <c r="U614" s="453"/>
      <c r="V614" s="453"/>
      <c r="W614" s="453"/>
      <c r="X614" s="453"/>
      <c r="Y614" s="453"/>
      <c r="Z614" s="489"/>
      <c r="AA614" s="489"/>
      <c r="AB614" s="490"/>
      <c r="AC614" s="453"/>
      <c r="AD614" s="453"/>
      <c r="AE614" s="453"/>
      <c r="AF614" s="453"/>
      <c r="AG614" s="453"/>
      <c r="AH614" s="453"/>
      <c r="AI614" s="453"/>
      <c r="AJ614" s="453"/>
      <c r="AK614" s="453"/>
      <c r="AL614" s="453"/>
      <c r="AM614" s="453"/>
      <c r="AN614" s="453"/>
      <c r="AO614" s="453"/>
      <c r="AP614" s="453"/>
      <c r="AQ614" s="453"/>
      <c r="AR614" s="453"/>
      <c r="AS614" s="453"/>
      <c r="AT614" s="453"/>
      <c r="AU614" s="453"/>
      <c r="AV614" s="453"/>
      <c r="AW614" s="453"/>
      <c r="AX614" s="453"/>
      <c r="AY614" s="453"/>
      <c r="AZ614" s="453"/>
      <c r="BA614" s="532"/>
      <c r="BB614" s="502"/>
      <c r="BC614" s="503"/>
      <c r="BD614" s="453"/>
      <c r="BE614" s="453"/>
      <c r="BF614" s="470"/>
      <c r="BG614" s="453"/>
      <c r="BH614" s="453"/>
      <c r="BI614" s="453"/>
      <c r="BJ614" s="453"/>
      <c r="BK614" s="453"/>
      <c r="BL614" s="453"/>
      <c r="BM614" s="502"/>
      <c r="BN614" s="503"/>
      <c r="BO614" s="470"/>
      <c r="BP614" s="574"/>
      <c r="BQ614" s="458"/>
      <c r="BR614" s="577"/>
      <c r="BS614" s="524"/>
      <c r="BT614" s="586"/>
    </row>
    <row r="615" s="435" customFormat="1" ht="18" customHeight="1" spans="1:72">
      <c r="A615" s="451" t="s">
        <v>4032</v>
      </c>
      <c r="B615" s="543">
        <v>45484</v>
      </c>
      <c r="C615" s="581">
        <v>1000021786</v>
      </c>
      <c r="D615" s="451"/>
      <c r="E615" s="457"/>
      <c r="F615" s="453"/>
      <c r="G615" s="453"/>
      <c r="H615" s="453"/>
      <c r="I615" s="453"/>
      <c r="J615" s="453"/>
      <c r="K615" s="453"/>
      <c r="L615" s="453"/>
      <c r="M615" s="453"/>
      <c r="N615" s="453"/>
      <c r="O615" s="453"/>
      <c r="P615" s="453"/>
      <c r="Q615" s="453">
        <v>10001</v>
      </c>
      <c r="R615" s="550"/>
      <c r="S615" s="453"/>
      <c r="T615" s="453"/>
      <c r="U615" s="453"/>
      <c r="V615" s="453"/>
      <c r="W615" s="453"/>
      <c r="X615" s="453"/>
      <c r="Y615" s="453"/>
      <c r="Z615" s="489"/>
      <c r="AA615" s="489"/>
      <c r="AB615" s="490"/>
      <c r="AC615" s="453"/>
      <c r="AD615" s="453"/>
      <c r="AE615" s="453"/>
      <c r="AF615" s="453"/>
      <c r="AG615" s="453"/>
      <c r="AH615" s="453"/>
      <c r="AI615" s="453"/>
      <c r="AJ615" s="453"/>
      <c r="AK615" s="453"/>
      <c r="AL615" s="453"/>
      <c r="AM615" s="453"/>
      <c r="AN615" s="453"/>
      <c r="AO615" s="453"/>
      <c r="AP615" s="453"/>
      <c r="AQ615" s="453"/>
      <c r="AR615" s="453"/>
      <c r="AS615" s="453"/>
      <c r="AT615" s="453"/>
      <c r="AU615" s="453"/>
      <c r="AV615" s="453"/>
      <c r="AW615" s="453"/>
      <c r="AX615" s="453"/>
      <c r="AY615" s="453"/>
      <c r="AZ615" s="453"/>
      <c r="BA615" s="532"/>
      <c r="BB615" s="502"/>
      <c r="BC615" s="503"/>
      <c r="BD615" s="453"/>
      <c r="BE615" s="453"/>
      <c r="BF615" s="470"/>
      <c r="BG615" s="453"/>
      <c r="BH615" s="453"/>
      <c r="BI615" s="453"/>
      <c r="BJ615" s="453"/>
      <c r="BK615" s="453"/>
      <c r="BL615" s="453"/>
      <c r="BM615" s="502"/>
      <c r="BN615" s="503"/>
      <c r="BO615" s="470"/>
      <c r="BP615" s="574"/>
      <c r="BQ615" s="458"/>
      <c r="BR615" s="577"/>
      <c r="BS615" s="524"/>
      <c r="BT615" s="586"/>
    </row>
    <row r="616" s="435" customFormat="1" ht="24" customHeight="1" spans="1:72">
      <c r="A616" s="451" t="s">
        <v>4032</v>
      </c>
      <c r="B616" s="543">
        <v>45484</v>
      </c>
      <c r="C616" s="581">
        <v>1000021787</v>
      </c>
      <c r="D616" s="451"/>
      <c r="E616" s="457"/>
      <c r="F616" s="453"/>
      <c r="G616" s="453"/>
      <c r="H616" s="453"/>
      <c r="I616" s="453"/>
      <c r="J616" s="453"/>
      <c r="K616" s="453"/>
      <c r="L616" s="453"/>
      <c r="M616" s="453"/>
      <c r="N616" s="453"/>
      <c r="O616" s="453"/>
      <c r="P616" s="453"/>
      <c r="Q616" s="453"/>
      <c r="R616" s="550"/>
      <c r="S616" s="453"/>
      <c r="T616" s="453">
        <v>50000</v>
      </c>
      <c r="U616" s="453"/>
      <c r="V616" s="453"/>
      <c r="W616" s="453"/>
      <c r="X616" s="453"/>
      <c r="Y616" s="453"/>
      <c r="Z616" s="489"/>
      <c r="AA616" s="489"/>
      <c r="AB616" s="490"/>
      <c r="AC616" s="453"/>
      <c r="AD616" s="453"/>
      <c r="AE616" s="453"/>
      <c r="AF616" s="453"/>
      <c r="AG616" s="453"/>
      <c r="AH616" s="453"/>
      <c r="AI616" s="453"/>
      <c r="AJ616" s="453"/>
      <c r="AK616" s="453"/>
      <c r="AL616" s="453"/>
      <c r="AM616" s="453"/>
      <c r="AN616" s="453"/>
      <c r="AO616" s="453"/>
      <c r="AP616" s="453"/>
      <c r="AQ616" s="453"/>
      <c r="AR616" s="453"/>
      <c r="AS616" s="453"/>
      <c r="AT616" s="453"/>
      <c r="AU616" s="453"/>
      <c r="AV616" s="453"/>
      <c r="AW616" s="453"/>
      <c r="AX616" s="453"/>
      <c r="AY616" s="453"/>
      <c r="AZ616" s="453"/>
      <c r="BA616" s="532"/>
      <c r="BB616" s="502"/>
      <c r="BC616" s="503"/>
      <c r="BD616" s="453"/>
      <c r="BE616" s="453"/>
      <c r="BF616" s="470"/>
      <c r="BG616" s="453"/>
      <c r="BH616" s="453"/>
      <c r="BI616" s="453"/>
      <c r="BJ616" s="453"/>
      <c r="BK616" s="453"/>
      <c r="BL616" s="453"/>
      <c r="BM616" s="502"/>
      <c r="BN616" s="503"/>
      <c r="BO616" s="470"/>
      <c r="BP616" s="574"/>
      <c r="BQ616" s="458"/>
      <c r="BR616" s="577"/>
      <c r="BS616" s="524"/>
      <c r="BT616" s="586"/>
    </row>
    <row r="617" s="435" customFormat="1" ht="24" customHeight="1" spans="1:72">
      <c r="A617" s="451" t="s">
        <v>4032</v>
      </c>
      <c r="B617" s="543">
        <v>45488</v>
      </c>
      <c r="C617" s="581">
        <v>1000021885</v>
      </c>
      <c r="D617" s="451"/>
      <c r="E617" s="457"/>
      <c r="F617" s="453"/>
      <c r="G617" s="453"/>
      <c r="H617" s="453"/>
      <c r="I617" s="453"/>
      <c r="J617" s="453"/>
      <c r="K617" s="453"/>
      <c r="L617" s="453"/>
      <c r="M617" s="453"/>
      <c r="N617" s="453"/>
      <c r="O617" s="453"/>
      <c r="P617" s="453"/>
      <c r="Q617" s="453"/>
      <c r="R617" s="550"/>
      <c r="S617" s="453"/>
      <c r="T617" s="453"/>
      <c r="U617" s="453"/>
      <c r="V617" s="453"/>
      <c r="W617" s="453"/>
      <c r="X617" s="453"/>
      <c r="Y617" s="453"/>
      <c r="Z617" s="489"/>
      <c r="AA617" s="489"/>
      <c r="AB617" s="490"/>
      <c r="AC617" s="453"/>
      <c r="AD617" s="453"/>
      <c r="AE617" s="453"/>
      <c r="AF617" s="453"/>
      <c r="AG617" s="453"/>
      <c r="AH617" s="453"/>
      <c r="AI617" s="453"/>
      <c r="AJ617" s="453"/>
      <c r="AK617" s="453"/>
      <c r="AL617" s="453"/>
      <c r="AM617" s="453"/>
      <c r="AN617" s="453"/>
      <c r="AO617" s="453"/>
      <c r="AP617" s="453"/>
      <c r="AQ617" s="453"/>
      <c r="AR617" s="453"/>
      <c r="AS617" s="453"/>
      <c r="AT617" s="453"/>
      <c r="AU617" s="453"/>
      <c r="AV617" s="453"/>
      <c r="AW617" s="453"/>
      <c r="AX617" s="453"/>
      <c r="AY617" s="453">
        <v>6996</v>
      </c>
      <c r="AZ617" s="453"/>
      <c r="BA617" s="532"/>
      <c r="BB617" s="502"/>
      <c r="BC617" s="503"/>
      <c r="BD617" s="453"/>
      <c r="BE617" s="453"/>
      <c r="BF617" s="470"/>
      <c r="BG617" s="453"/>
      <c r="BH617" s="453"/>
      <c r="BI617" s="453"/>
      <c r="BJ617" s="453"/>
      <c r="BK617" s="453"/>
      <c r="BL617" s="453"/>
      <c r="BM617" s="502"/>
      <c r="BN617" s="503"/>
      <c r="BO617" s="470"/>
      <c r="BP617" s="574"/>
      <c r="BQ617" s="458"/>
      <c r="BR617" s="577"/>
      <c r="BS617" s="524"/>
      <c r="BT617" s="586" t="s">
        <v>4087</v>
      </c>
    </row>
    <row r="618" s="435" customFormat="1" ht="24" customHeight="1" spans="1:72">
      <c r="A618" s="451" t="s">
        <v>4032</v>
      </c>
      <c r="B618" s="543">
        <v>45490</v>
      </c>
      <c r="C618" s="581">
        <v>1000021920</v>
      </c>
      <c r="D618" s="451"/>
      <c r="E618" s="457"/>
      <c r="F618" s="453"/>
      <c r="G618" s="453"/>
      <c r="H618" s="453"/>
      <c r="I618" s="453"/>
      <c r="J618" s="453"/>
      <c r="K618" s="453"/>
      <c r="L618" s="453"/>
      <c r="M618" s="453"/>
      <c r="N618" s="453"/>
      <c r="O618" s="453"/>
      <c r="P618" s="453"/>
      <c r="Q618" s="453"/>
      <c r="R618" s="550"/>
      <c r="S618" s="453"/>
      <c r="T618" s="453"/>
      <c r="U618" s="453"/>
      <c r="V618" s="453"/>
      <c r="W618" s="453"/>
      <c r="X618" s="453"/>
      <c r="Y618" s="453"/>
      <c r="Z618" s="489"/>
      <c r="AA618" s="489"/>
      <c r="AB618" s="490"/>
      <c r="AC618" s="453"/>
      <c r="AD618" s="453"/>
      <c r="AE618" s="453"/>
      <c r="AF618" s="453">
        <v>30000</v>
      </c>
      <c r="AG618" s="453"/>
      <c r="AH618" s="453"/>
      <c r="AI618" s="453"/>
      <c r="AJ618" s="453"/>
      <c r="AK618" s="453"/>
      <c r="AL618" s="453"/>
      <c r="AM618" s="453"/>
      <c r="AN618" s="453"/>
      <c r="AO618" s="453"/>
      <c r="AP618" s="453"/>
      <c r="AQ618" s="453"/>
      <c r="AR618" s="453"/>
      <c r="AS618" s="453"/>
      <c r="AT618" s="453"/>
      <c r="AU618" s="453"/>
      <c r="AV618" s="453"/>
      <c r="AW618" s="453"/>
      <c r="AX618" s="453"/>
      <c r="AY618" s="453"/>
      <c r="AZ618" s="453"/>
      <c r="BA618" s="532"/>
      <c r="BB618" s="502"/>
      <c r="BC618" s="503"/>
      <c r="BD618" s="453"/>
      <c r="BE618" s="453"/>
      <c r="BF618" s="470"/>
      <c r="BG618" s="453"/>
      <c r="BH618" s="453"/>
      <c r="BI618" s="453"/>
      <c r="BJ618" s="453"/>
      <c r="BK618" s="453"/>
      <c r="BL618" s="453"/>
      <c r="BM618" s="502"/>
      <c r="BN618" s="503"/>
      <c r="BO618" s="470"/>
      <c r="BP618" s="574"/>
      <c r="BQ618" s="458"/>
      <c r="BR618" s="577"/>
      <c r="BS618" s="524"/>
      <c r="BT618" s="586"/>
    </row>
    <row r="619" s="435" customFormat="1" ht="24" customHeight="1" spans="1:72">
      <c r="A619" s="451" t="s">
        <v>4032</v>
      </c>
      <c r="B619" s="543">
        <v>45490</v>
      </c>
      <c r="C619" s="581">
        <v>1000021921</v>
      </c>
      <c r="D619" s="451"/>
      <c r="E619" s="457"/>
      <c r="F619" s="453"/>
      <c r="G619" s="453"/>
      <c r="H619" s="453"/>
      <c r="I619" s="453"/>
      <c r="J619" s="453"/>
      <c r="K619" s="453"/>
      <c r="L619" s="453"/>
      <c r="M619" s="453"/>
      <c r="N619" s="453"/>
      <c r="O619" s="453"/>
      <c r="P619" s="453"/>
      <c r="Q619" s="453"/>
      <c r="R619" s="550"/>
      <c r="S619" s="453"/>
      <c r="T619" s="453"/>
      <c r="U619" s="453"/>
      <c r="V619" s="453"/>
      <c r="W619" s="453"/>
      <c r="X619" s="453"/>
      <c r="Y619" s="453"/>
      <c r="Z619" s="489"/>
      <c r="AA619" s="489"/>
      <c r="AB619" s="490"/>
      <c r="AC619" s="453"/>
      <c r="AD619" s="453"/>
      <c r="AE619" s="453"/>
      <c r="AF619" s="453"/>
      <c r="AG619" s="453"/>
      <c r="AH619" s="453"/>
      <c r="AI619" s="453"/>
      <c r="AJ619" s="453"/>
      <c r="AK619" s="453">
        <v>10001</v>
      </c>
      <c r="AL619" s="453"/>
      <c r="AM619" s="453"/>
      <c r="AN619" s="453"/>
      <c r="AO619" s="453"/>
      <c r="AP619" s="453"/>
      <c r="AQ619" s="453"/>
      <c r="AR619" s="453"/>
      <c r="AS619" s="453"/>
      <c r="AT619" s="453"/>
      <c r="AU619" s="453"/>
      <c r="AV619" s="453"/>
      <c r="AW619" s="453"/>
      <c r="AX619" s="453"/>
      <c r="AY619" s="453"/>
      <c r="AZ619" s="453"/>
      <c r="BA619" s="532"/>
      <c r="BB619" s="502"/>
      <c r="BC619" s="503"/>
      <c r="BD619" s="453"/>
      <c r="BE619" s="453"/>
      <c r="BF619" s="470"/>
      <c r="BG619" s="453"/>
      <c r="BH619" s="453"/>
      <c r="BI619" s="453"/>
      <c r="BJ619" s="453"/>
      <c r="BK619" s="453"/>
      <c r="BL619" s="453"/>
      <c r="BM619" s="502"/>
      <c r="BN619" s="503"/>
      <c r="BO619" s="470"/>
      <c r="BP619" s="574"/>
      <c r="BQ619" s="458"/>
      <c r="BR619" s="577"/>
      <c r="BS619" s="524"/>
      <c r="BT619" s="586"/>
    </row>
    <row r="620" s="435" customFormat="1" ht="24" customHeight="1" spans="1:72">
      <c r="A620" s="451" t="s">
        <v>4032</v>
      </c>
      <c r="B620" s="543">
        <v>45490</v>
      </c>
      <c r="C620" s="581">
        <v>1000021922</v>
      </c>
      <c r="D620" s="451"/>
      <c r="E620" s="457"/>
      <c r="F620" s="453"/>
      <c r="G620" s="453"/>
      <c r="H620" s="453"/>
      <c r="I620" s="453"/>
      <c r="J620" s="453"/>
      <c r="K620" s="453"/>
      <c r="L620" s="453"/>
      <c r="M620" s="453"/>
      <c r="N620" s="453"/>
      <c r="O620" s="453"/>
      <c r="P620" s="453"/>
      <c r="Q620" s="453"/>
      <c r="R620" s="550"/>
      <c r="S620" s="453"/>
      <c r="T620" s="453"/>
      <c r="U620" s="453"/>
      <c r="V620" s="453"/>
      <c r="W620" s="453"/>
      <c r="X620" s="453"/>
      <c r="Y620" s="453"/>
      <c r="Z620" s="489"/>
      <c r="AA620" s="489"/>
      <c r="AB620" s="490"/>
      <c r="AC620" s="453"/>
      <c r="AD620" s="453"/>
      <c r="AE620" s="453"/>
      <c r="AF620" s="453"/>
      <c r="AG620" s="453"/>
      <c r="AH620" s="453"/>
      <c r="AI620" s="453"/>
      <c r="AJ620" s="453"/>
      <c r="AK620" s="453"/>
      <c r="AL620" s="453"/>
      <c r="AM620" s="453"/>
      <c r="AN620" s="453"/>
      <c r="AO620" s="453"/>
      <c r="AP620" s="453"/>
      <c r="AQ620" s="453"/>
      <c r="AR620" s="453"/>
      <c r="AS620" s="453"/>
      <c r="AT620" s="453"/>
      <c r="AU620" s="453">
        <v>50000</v>
      </c>
      <c r="AV620" s="453"/>
      <c r="AW620" s="453"/>
      <c r="AX620" s="453"/>
      <c r="AY620" s="453"/>
      <c r="AZ620" s="453"/>
      <c r="BA620" s="532"/>
      <c r="BB620" s="502"/>
      <c r="BC620" s="503"/>
      <c r="BD620" s="453"/>
      <c r="BE620" s="453"/>
      <c r="BF620" s="470"/>
      <c r="BG620" s="453"/>
      <c r="BH620" s="453"/>
      <c r="BI620" s="453"/>
      <c r="BJ620" s="453"/>
      <c r="BK620" s="453"/>
      <c r="BL620" s="453"/>
      <c r="BM620" s="502"/>
      <c r="BN620" s="503"/>
      <c r="BO620" s="470"/>
      <c r="BP620" s="574"/>
      <c r="BQ620" s="458"/>
      <c r="BR620" s="577"/>
      <c r="BS620" s="524"/>
      <c r="BT620" s="586"/>
    </row>
    <row r="621" s="435" customFormat="1" ht="24" customHeight="1" spans="1:72">
      <c r="A621" s="451" t="s">
        <v>4032</v>
      </c>
      <c r="B621" s="543">
        <v>45502</v>
      </c>
      <c r="C621" s="592" t="s">
        <v>4088</v>
      </c>
      <c r="D621" s="451"/>
      <c r="E621" s="457"/>
      <c r="F621" s="453"/>
      <c r="G621" s="453"/>
      <c r="H621" s="453"/>
      <c r="I621" s="453"/>
      <c r="J621" s="453"/>
      <c r="K621" s="453"/>
      <c r="L621" s="453"/>
      <c r="M621" s="453"/>
      <c r="N621" s="453"/>
      <c r="O621" s="453"/>
      <c r="P621" s="453"/>
      <c r="Q621" s="453"/>
      <c r="R621" s="550"/>
      <c r="S621" s="453"/>
      <c r="T621" s="453"/>
      <c r="U621" s="453"/>
      <c r="V621" s="453"/>
      <c r="W621" s="453"/>
      <c r="X621" s="453"/>
      <c r="Y621" s="453"/>
      <c r="Z621" s="489"/>
      <c r="AA621" s="489"/>
      <c r="AB621" s="490"/>
      <c r="AC621" s="453"/>
      <c r="AD621" s="453"/>
      <c r="AE621" s="453"/>
      <c r="AF621" s="453"/>
      <c r="AG621" s="453"/>
      <c r="AH621" s="453"/>
      <c r="AI621" s="453"/>
      <c r="AJ621" s="453"/>
      <c r="AK621" s="453"/>
      <c r="AL621" s="453"/>
      <c r="AM621" s="453"/>
      <c r="AN621" s="453"/>
      <c r="AO621" s="453"/>
      <c r="AP621" s="453"/>
      <c r="AQ621" s="453"/>
      <c r="AR621" s="453"/>
      <c r="AS621" s="453"/>
      <c r="AT621" s="453"/>
      <c r="AU621" s="453"/>
      <c r="AV621" s="453"/>
      <c r="AW621" s="453"/>
      <c r="AX621" s="453"/>
      <c r="AY621" s="453">
        <v>4776</v>
      </c>
      <c r="AZ621" s="453"/>
      <c r="BA621" s="532"/>
      <c r="BB621" s="502"/>
      <c r="BC621" s="503"/>
      <c r="BD621" s="453"/>
      <c r="BE621" s="453"/>
      <c r="BF621" s="470"/>
      <c r="BG621" s="453"/>
      <c r="BH621" s="453"/>
      <c r="BI621" s="453"/>
      <c r="BJ621" s="453"/>
      <c r="BK621" s="453"/>
      <c r="BL621" s="453"/>
      <c r="BM621" s="502"/>
      <c r="BN621" s="503"/>
      <c r="BO621" s="470"/>
      <c r="BP621" s="574"/>
      <c r="BQ621" s="458"/>
      <c r="BR621" s="577"/>
      <c r="BS621" s="524"/>
      <c r="BT621" s="586" t="s">
        <v>4089</v>
      </c>
    </row>
    <row r="622" s="435" customFormat="1" ht="24" customHeight="1" spans="1:72">
      <c r="A622" s="451" t="s">
        <v>4032</v>
      </c>
      <c r="B622" s="543">
        <v>45504</v>
      </c>
      <c r="C622" s="589">
        <v>1000022218</v>
      </c>
      <c r="D622" s="451"/>
      <c r="E622" s="457"/>
      <c r="F622" s="453"/>
      <c r="G622" s="453"/>
      <c r="H622" s="453"/>
      <c r="I622" s="453"/>
      <c r="J622" s="453"/>
      <c r="K622" s="453"/>
      <c r="L622" s="453"/>
      <c r="M622" s="453"/>
      <c r="N622" s="453"/>
      <c r="O622" s="453"/>
      <c r="P622" s="453"/>
      <c r="Q622" s="453"/>
      <c r="R622" s="550"/>
      <c r="S622" s="453"/>
      <c r="T622" s="453"/>
      <c r="U622" s="453"/>
      <c r="V622" s="453"/>
      <c r="W622" s="453"/>
      <c r="X622" s="453"/>
      <c r="Y622" s="453"/>
      <c r="Z622" s="489"/>
      <c r="AA622" s="489"/>
      <c r="AB622" s="490"/>
      <c r="AC622" s="453"/>
      <c r="AD622" s="453"/>
      <c r="AE622" s="453"/>
      <c r="AF622" s="453"/>
      <c r="AG622" s="453"/>
      <c r="AH622" s="453"/>
      <c r="AI622" s="453"/>
      <c r="AJ622" s="453"/>
      <c r="AK622" s="453"/>
      <c r="AL622" s="453"/>
      <c r="AM622" s="453"/>
      <c r="AN622" s="453"/>
      <c r="AO622" s="453"/>
      <c r="AP622" s="453"/>
      <c r="AQ622" s="453"/>
      <c r="AR622" s="453"/>
      <c r="AS622" s="453"/>
      <c r="AT622" s="453"/>
      <c r="AU622" s="453"/>
      <c r="AV622" s="453"/>
      <c r="AW622" s="453"/>
      <c r="AX622" s="453"/>
      <c r="AY622" s="453"/>
      <c r="AZ622" s="453">
        <v>960</v>
      </c>
      <c r="BA622" s="532"/>
      <c r="BB622" s="502"/>
      <c r="BC622" s="503"/>
      <c r="BD622" s="453"/>
      <c r="BE622" s="453"/>
      <c r="BF622" s="470"/>
      <c r="BG622" s="453"/>
      <c r="BH622" s="453"/>
      <c r="BI622" s="453"/>
      <c r="BJ622" s="453"/>
      <c r="BK622" s="453"/>
      <c r="BL622" s="453"/>
      <c r="BM622" s="502"/>
      <c r="BN622" s="503"/>
      <c r="BO622" s="470"/>
      <c r="BP622" s="574"/>
      <c r="BQ622" s="458"/>
      <c r="BR622" s="577"/>
      <c r="BS622" s="524"/>
      <c r="BT622" s="586" t="s">
        <v>4090</v>
      </c>
    </row>
    <row r="623" s="435" customFormat="1" ht="24" customHeight="1" spans="1:72">
      <c r="A623" s="451" t="s">
        <v>4032</v>
      </c>
      <c r="B623" s="543">
        <v>45506</v>
      </c>
      <c r="C623" s="589">
        <v>1000022263</v>
      </c>
      <c r="D623" s="451"/>
      <c r="E623" s="457"/>
      <c r="F623" s="453"/>
      <c r="G623" s="453"/>
      <c r="H623" s="453"/>
      <c r="I623" s="453"/>
      <c r="J623" s="453"/>
      <c r="K623" s="453"/>
      <c r="L623" s="453"/>
      <c r="M623" s="453"/>
      <c r="N623" s="453"/>
      <c r="O623" s="453"/>
      <c r="P623" s="453"/>
      <c r="Q623" s="453"/>
      <c r="R623" s="550"/>
      <c r="S623" s="453"/>
      <c r="T623" s="453"/>
      <c r="U623" s="453"/>
      <c r="V623" s="453"/>
      <c r="W623" s="453"/>
      <c r="X623" s="453"/>
      <c r="Y623" s="453"/>
      <c r="Z623" s="489"/>
      <c r="AA623" s="489"/>
      <c r="AB623" s="490"/>
      <c r="AC623" s="453"/>
      <c r="AD623" s="453"/>
      <c r="AE623" s="453"/>
      <c r="AF623" s="453">
        <v>10001</v>
      </c>
      <c r="AG623" s="453"/>
      <c r="AH623" s="453"/>
      <c r="AI623" s="453"/>
      <c r="AJ623" s="453"/>
      <c r="AK623" s="453"/>
      <c r="AL623" s="453"/>
      <c r="AM623" s="453"/>
      <c r="AN623" s="453"/>
      <c r="AO623" s="453"/>
      <c r="AP623" s="453"/>
      <c r="AQ623" s="453"/>
      <c r="AR623" s="453"/>
      <c r="AS623" s="453"/>
      <c r="AT623" s="453"/>
      <c r="AU623" s="453"/>
      <c r="AV623" s="453"/>
      <c r="AW623" s="453"/>
      <c r="AX623" s="453"/>
      <c r="AY623" s="453"/>
      <c r="AZ623" s="453"/>
      <c r="BA623" s="532"/>
      <c r="BB623" s="502"/>
      <c r="BC623" s="503"/>
      <c r="BD623" s="453"/>
      <c r="BE623" s="453"/>
      <c r="BF623" s="470"/>
      <c r="BG623" s="453"/>
      <c r="BH623" s="453"/>
      <c r="BI623" s="453"/>
      <c r="BJ623" s="453"/>
      <c r="BK623" s="453"/>
      <c r="BL623" s="453"/>
      <c r="BM623" s="502"/>
      <c r="BN623" s="503"/>
      <c r="BO623" s="470"/>
      <c r="BP623" s="574"/>
      <c r="BQ623" s="458"/>
      <c r="BR623" s="577"/>
      <c r="BS623" s="524"/>
      <c r="BT623" s="586"/>
    </row>
    <row r="624" s="435" customFormat="1" ht="24" customHeight="1" spans="1:72">
      <c r="A624" s="451" t="s">
        <v>4032</v>
      </c>
      <c r="B624" s="543">
        <v>45506</v>
      </c>
      <c r="C624" s="589">
        <v>1000022264</v>
      </c>
      <c r="D624" s="451"/>
      <c r="E624" s="457"/>
      <c r="F624" s="453"/>
      <c r="G624" s="453"/>
      <c r="H624" s="453"/>
      <c r="I624" s="453"/>
      <c r="J624" s="453"/>
      <c r="K624" s="453"/>
      <c r="L624" s="453"/>
      <c r="M624" s="453"/>
      <c r="N624" s="453"/>
      <c r="O624" s="453"/>
      <c r="P624" s="453"/>
      <c r="Q624" s="453"/>
      <c r="R624" s="550"/>
      <c r="S624" s="453"/>
      <c r="T624" s="453"/>
      <c r="U624" s="453"/>
      <c r="V624" s="453"/>
      <c r="W624" s="453"/>
      <c r="X624" s="453"/>
      <c r="Y624" s="453"/>
      <c r="Z624" s="489"/>
      <c r="AA624" s="489"/>
      <c r="AB624" s="490"/>
      <c r="AC624" s="453"/>
      <c r="AD624" s="453"/>
      <c r="AE624" s="453"/>
      <c r="AF624" s="453"/>
      <c r="AG624" s="453"/>
      <c r="AH624" s="453"/>
      <c r="AI624" s="453"/>
      <c r="AJ624" s="453"/>
      <c r="AK624" s="453">
        <v>3001</v>
      </c>
      <c r="AL624" s="453"/>
      <c r="AM624" s="453"/>
      <c r="AN624" s="453"/>
      <c r="AO624" s="453"/>
      <c r="AP624" s="453"/>
      <c r="AQ624" s="453"/>
      <c r="AR624" s="453"/>
      <c r="AS624" s="453"/>
      <c r="AT624" s="453"/>
      <c r="AU624" s="453"/>
      <c r="AV624" s="453"/>
      <c r="AW624" s="453"/>
      <c r="AX624" s="453"/>
      <c r="AY624" s="453"/>
      <c r="AZ624" s="453"/>
      <c r="BA624" s="532"/>
      <c r="BB624" s="502"/>
      <c r="BC624" s="503"/>
      <c r="BD624" s="453"/>
      <c r="BE624" s="453"/>
      <c r="BF624" s="470"/>
      <c r="BG624" s="453"/>
      <c r="BH624" s="453"/>
      <c r="BI624" s="453"/>
      <c r="BJ624" s="453"/>
      <c r="BK624" s="453"/>
      <c r="BL624" s="453"/>
      <c r="BM624" s="502"/>
      <c r="BN624" s="503"/>
      <c r="BO624" s="470"/>
      <c r="BP624" s="574"/>
      <c r="BQ624" s="458"/>
      <c r="BR624" s="577"/>
      <c r="BS624" s="524"/>
      <c r="BT624" s="586"/>
    </row>
    <row r="625" s="435" customFormat="1" ht="24" customHeight="1" spans="1:72">
      <c r="A625" s="451" t="s">
        <v>4032</v>
      </c>
      <c r="B625" s="543">
        <v>45506</v>
      </c>
      <c r="C625" s="589">
        <v>1000022265</v>
      </c>
      <c r="D625" s="451"/>
      <c r="E625" s="457"/>
      <c r="F625" s="453"/>
      <c r="G625" s="453"/>
      <c r="H625" s="453"/>
      <c r="I625" s="453"/>
      <c r="J625" s="453"/>
      <c r="K625" s="453"/>
      <c r="L625" s="453"/>
      <c r="M625" s="453"/>
      <c r="N625" s="453"/>
      <c r="O625" s="453"/>
      <c r="P625" s="453"/>
      <c r="Q625" s="453"/>
      <c r="R625" s="550"/>
      <c r="S625" s="453"/>
      <c r="T625" s="453"/>
      <c r="U625" s="453"/>
      <c r="V625" s="453"/>
      <c r="W625" s="453"/>
      <c r="X625" s="453"/>
      <c r="Y625" s="453"/>
      <c r="Z625" s="489"/>
      <c r="AA625" s="489"/>
      <c r="AB625" s="490"/>
      <c r="AC625" s="453"/>
      <c r="AD625" s="453"/>
      <c r="AE625" s="453"/>
      <c r="AF625" s="453"/>
      <c r="AG625" s="453"/>
      <c r="AH625" s="453"/>
      <c r="AI625" s="453"/>
      <c r="AJ625" s="453"/>
      <c r="AK625" s="453"/>
      <c r="AL625" s="453"/>
      <c r="AM625" s="453"/>
      <c r="AN625" s="453"/>
      <c r="AO625" s="453"/>
      <c r="AP625" s="453"/>
      <c r="AQ625" s="453"/>
      <c r="AR625" s="453"/>
      <c r="AS625" s="453"/>
      <c r="AT625" s="453"/>
      <c r="AU625" s="453">
        <v>60000</v>
      </c>
      <c r="AV625" s="453"/>
      <c r="AW625" s="453"/>
      <c r="AX625" s="453"/>
      <c r="AY625" s="453"/>
      <c r="AZ625" s="453"/>
      <c r="BA625" s="532"/>
      <c r="BB625" s="502"/>
      <c r="BC625" s="503"/>
      <c r="BD625" s="453"/>
      <c r="BE625" s="453"/>
      <c r="BF625" s="470"/>
      <c r="BG625" s="453"/>
      <c r="BH625" s="453"/>
      <c r="BI625" s="453"/>
      <c r="BJ625" s="453"/>
      <c r="BK625" s="453"/>
      <c r="BL625" s="453"/>
      <c r="BM625" s="502"/>
      <c r="BN625" s="503"/>
      <c r="BO625" s="470"/>
      <c r="BP625" s="574"/>
      <c r="BQ625" s="458"/>
      <c r="BR625" s="577"/>
      <c r="BS625" s="524"/>
      <c r="BT625" s="586"/>
    </row>
    <row r="626" s="435" customFormat="1" ht="24" customHeight="1" spans="1:72">
      <c r="A626" s="451" t="s">
        <v>4032</v>
      </c>
      <c r="B626" s="543">
        <v>45506</v>
      </c>
      <c r="C626" s="589">
        <v>1000022266</v>
      </c>
      <c r="D626" s="451"/>
      <c r="E626" s="457"/>
      <c r="F626" s="453"/>
      <c r="G626" s="453"/>
      <c r="H626" s="453"/>
      <c r="I626" s="453"/>
      <c r="J626" s="453"/>
      <c r="K626" s="453"/>
      <c r="L626" s="453"/>
      <c r="M626" s="453"/>
      <c r="N626" s="453"/>
      <c r="O626" s="453"/>
      <c r="P626" s="453"/>
      <c r="Q626" s="453"/>
      <c r="R626" s="550"/>
      <c r="S626" s="453"/>
      <c r="T626" s="453"/>
      <c r="U626" s="453"/>
      <c r="V626" s="453"/>
      <c r="W626" s="453"/>
      <c r="X626" s="453"/>
      <c r="Y626" s="453"/>
      <c r="Z626" s="489"/>
      <c r="AA626" s="489"/>
      <c r="AB626" s="490"/>
      <c r="AC626" s="453"/>
      <c r="AD626" s="453"/>
      <c r="AE626" s="453"/>
      <c r="AF626" s="453"/>
      <c r="AG626" s="453"/>
      <c r="AH626" s="453"/>
      <c r="AI626" s="453"/>
      <c r="AJ626" s="453"/>
      <c r="AK626" s="453"/>
      <c r="AL626" s="453"/>
      <c r="AM626" s="453"/>
      <c r="AN626" s="453"/>
      <c r="AO626" s="453"/>
      <c r="AP626" s="453"/>
      <c r="AQ626" s="453"/>
      <c r="AR626" s="453"/>
      <c r="AS626" s="453"/>
      <c r="AT626" s="453"/>
      <c r="AU626" s="453"/>
      <c r="AV626" s="453"/>
      <c r="AW626" s="453"/>
      <c r="AX626" s="453"/>
      <c r="AY626" s="453"/>
      <c r="AZ626" s="453"/>
      <c r="BA626" s="532"/>
      <c r="BB626" s="502"/>
      <c r="BC626" s="503"/>
      <c r="BD626" s="453"/>
      <c r="BE626" s="453"/>
      <c r="BF626" s="470"/>
      <c r="BG626" s="453"/>
      <c r="BH626" s="453"/>
      <c r="BI626" s="453">
        <v>3001</v>
      </c>
      <c r="BJ626" s="453"/>
      <c r="BK626" s="453"/>
      <c r="BL626" s="453"/>
      <c r="BM626" s="502"/>
      <c r="BN626" s="503"/>
      <c r="BO626" s="470"/>
      <c r="BP626" s="574"/>
      <c r="BQ626" s="458"/>
      <c r="BR626" s="577"/>
      <c r="BS626" s="524"/>
      <c r="BT626" s="586"/>
    </row>
    <row r="627" s="435" customFormat="1" ht="24" customHeight="1" spans="1:72">
      <c r="A627" s="451" t="s">
        <v>4032</v>
      </c>
      <c r="B627" s="543">
        <v>45519</v>
      </c>
      <c r="C627" s="589">
        <v>1000022525</v>
      </c>
      <c r="D627" s="451"/>
      <c r="E627" s="457"/>
      <c r="F627" s="453"/>
      <c r="G627" s="453"/>
      <c r="H627" s="453"/>
      <c r="I627" s="453"/>
      <c r="J627" s="453"/>
      <c r="K627" s="453"/>
      <c r="L627" s="453"/>
      <c r="M627" s="453"/>
      <c r="N627" s="453"/>
      <c r="O627" s="453"/>
      <c r="P627" s="453"/>
      <c r="Q627" s="453"/>
      <c r="R627" s="550"/>
      <c r="S627" s="453"/>
      <c r="T627" s="453"/>
      <c r="U627" s="453"/>
      <c r="V627" s="453"/>
      <c r="W627" s="453"/>
      <c r="X627" s="453"/>
      <c r="Y627" s="453"/>
      <c r="Z627" s="489"/>
      <c r="AA627" s="489"/>
      <c r="AB627" s="490"/>
      <c r="AC627" s="453"/>
      <c r="AD627" s="453"/>
      <c r="AE627" s="453"/>
      <c r="AF627" s="453"/>
      <c r="AG627" s="453"/>
      <c r="AH627" s="453"/>
      <c r="AI627" s="453"/>
      <c r="AJ627" s="453"/>
      <c r="AK627" s="453"/>
      <c r="AL627" s="453"/>
      <c r="AM627" s="453"/>
      <c r="AN627" s="453"/>
      <c r="AO627" s="453"/>
      <c r="AP627" s="453"/>
      <c r="AQ627" s="453"/>
      <c r="AR627" s="453"/>
      <c r="AS627" s="453"/>
      <c r="AT627" s="453"/>
      <c r="AU627" s="453"/>
      <c r="AV627" s="453"/>
      <c r="AW627" s="453"/>
      <c r="AX627" s="453"/>
      <c r="AY627" s="453"/>
      <c r="AZ627" s="453">
        <v>640</v>
      </c>
      <c r="BA627" s="532"/>
      <c r="BB627" s="502"/>
      <c r="BC627" s="503"/>
      <c r="BD627" s="453"/>
      <c r="BE627" s="453"/>
      <c r="BF627" s="470"/>
      <c r="BG627" s="453"/>
      <c r="BH627" s="453"/>
      <c r="BI627" s="453"/>
      <c r="BJ627" s="453"/>
      <c r="BK627" s="453"/>
      <c r="BL627" s="453"/>
      <c r="BM627" s="502"/>
      <c r="BN627" s="503"/>
      <c r="BO627" s="470"/>
      <c r="BP627" s="574"/>
      <c r="BQ627" s="458"/>
      <c r="BR627" s="577"/>
      <c r="BS627" s="524"/>
      <c r="BT627" s="586" t="s">
        <v>4091</v>
      </c>
    </row>
    <row r="628" s="435" customFormat="1" ht="24" customHeight="1" spans="1:72">
      <c r="A628" s="451" t="s">
        <v>4032</v>
      </c>
      <c r="B628" s="543">
        <v>45520</v>
      </c>
      <c r="C628" s="589">
        <v>1000022608</v>
      </c>
      <c r="D628" s="451"/>
      <c r="E628" s="457"/>
      <c r="F628" s="453"/>
      <c r="G628" s="453"/>
      <c r="H628" s="453"/>
      <c r="I628" s="453"/>
      <c r="J628" s="453"/>
      <c r="K628" s="453"/>
      <c r="L628" s="453"/>
      <c r="M628" s="453"/>
      <c r="N628" s="453"/>
      <c r="O628" s="453"/>
      <c r="P628" s="453"/>
      <c r="Q628" s="453"/>
      <c r="R628" s="550"/>
      <c r="S628" s="453"/>
      <c r="T628" s="453"/>
      <c r="U628" s="453"/>
      <c r="V628" s="453"/>
      <c r="W628" s="453"/>
      <c r="X628" s="453"/>
      <c r="Y628" s="453"/>
      <c r="Z628" s="489"/>
      <c r="AA628" s="489"/>
      <c r="AB628" s="490"/>
      <c r="AC628" s="453"/>
      <c r="AD628" s="453"/>
      <c r="AE628" s="453"/>
      <c r="AF628" s="453">
        <v>30000</v>
      </c>
      <c r="AG628" s="453"/>
      <c r="AH628" s="453"/>
      <c r="AI628" s="453"/>
      <c r="AJ628" s="453"/>
      <c r="AK628" s="453"/>
      <c r="AL628" s="453"/>
      <c r="AM628" s="453"/>
      <c r="AN628" s="453"/>
      <c r="AO628" s="453"/>
      <c r="AP628" s="453"/>
      <c r="AQ628" s="453"/>
      <c r="AR628" s="453"/>
      <c r="AS628" s="453"/>
      <c r="AT628" s="453"/>
      <c r="AU628" s="453"/>
      <c r="AV628" s="453"/>
      <c r="AW628" s="453"/>
      <c r="AX628" s="453"/>
      <c r="AY628" s="453"/>
      <c r="AZ628" s="453"/>
      <c r="BA628" s="532"/>
      <c r="BB628" s="502"/>
      <c r="BC628" s="503"/>
      <c r="BD628" s="453"/>
      <c r="BE628" s="453"/>
      <c r="BF628" s="470"/>
      <c r="BG628" s="453"/>
      <c r="BH628" s="453"/>
      <c r="BI628" s="453"/>
      <c r="BJ628" s="453"/>
      <c r="BK628" s="453"/>
      <c r="BL628" s="453"/>
      <c r="BM628" s="502"/>
      <c r="BN628" s="503"/>
      <c r="BO628" s="470"/>
      <c r="BP628" s="574"/>
      <c r="BQ628" s="458"/>
      <c r="BR628" s="577"/>
      <c r="BS628" s="524"/>
      <c r="BT628" s="586"/>
    </row>
    <row r="629" s="435" customFormat="1" ht="24" customHeight="1" spans="1:72">
      <c r="A629" s="451" t="s">
        <v>4032</v>
      </c>
      <c r="B629" s="543">
        <v>45520</v>
      </c>
      <c r="C629" s="589">
        <v>1000022609</v>
      </c>
      <c r="D629" s="451"/>
      <c r="E629" s="457"/>
      <c r="F629" s="453"/>
      <c r="G629" s="453"/>
      <c r="H629" s="453"/>
      <c r="I629" s="453"/>
      <c r="J629" s="453"/>
      <c r="K629" s="453"/>
      <c r="L629" s="453"/>
      <c r="M629" s="453"/>
      <c r="N629" s="453"/>
      <c r="O629" s="453"/>
      <c r="P629" s="453"/>
      <c r="Q629" s="453"/>
      <c r="R629" s="550"/>
      <c r="S629" s="453"/>
      <c r="T629" s="453"/>
      <c r="U629" s="453"/>
      <c r="V629" s="453"/>
      <c r="W629" s="453"/>
      <c r="X629" s="453"/>
      <c r="Y629" s="453"/>
      <c r="Z629" s="489"/>
      <c r="AA629" s="489"/>
      <c r="AB629" s="490"/>
      <c r="AC629" s="453"/>
      <c r="AD629" s="453"/>
      <c r="AE629" s="453"/>
      <c r="AF629" s="453"/>
      <c r="AG629" s="453"/>
      <c r="AH629" s="453"/>
      <c r="AI629" s="453"/>
      <c r="AJ629" s="453"/>
      <c r="AK629" s="453">
        <v>5001</v>
      </c>
      <c r="AL629" s="453"/>
      <c r="AM629" s="453"/>
      <c r="AN629" s="453"/>
      <c r="AO629" s="453"/>
      <c r="AP629" s="453"/>
      <c r="AQ629" s="453"/>
      <c r="AR629" s="453"/>
      <c r="AS629" s="453"/>
      <c r="AT629" s="453"/>
      <c r="AU629" s="453"/>
      <c r="AV629" s="453"/>
      <c r="AW629" s="453"/>
      <c r="AX629" s="453"/>
      <c r="AY629" s="453"/>
      <c r="AZ629" s="453"/>
      <c r="BA629" s="532"/>
      <c r="BB629" s="502"/>
      <c r="BC629" s="503"/>
      <c r="BD629" s="453"/>
      <c r="BE629" s="453"/>
      <c r="BF629" s="470"/>
      <c r="BG629" s="453"/>
      <c r="BH629" s="453"/>
      <c r="BI629" s="453"/>
      <c r="BJ629" s="453"/>
      <c r="BK629" s="453"/>
      <c r="BL629" s="453"/>
      <c r="BM629" s="502"/>
      <c r="BN629" s="503"/>
      <c r="BO629" s="470"/>
      <c r="BP629" s="574"/>
      <c r="BQ629" s="458"/>
      <c r="BR629" s="577"/>
      <c r="BS629" s="524"/>
      <c r="BT629" s="586"/>
    </row>
    <row r="630" s="435" customFormat="1" ht="24" customHeight="1" spans="1:72">
      <c r="A630" s="451" t="s">
        <v>4032</v>
      </c>
      <c r="B630" s="543">
        <v>45520</v>
      </c>
      <c r="C630" s="589">
        <v>1000022610</v>
      </c>
      <c r="D630" s="451"/>
      <c r="E630" s="457"/>
      <c r="F630" s="453"/>
      <c r="G630" s="453"/>
      <c r="H630" s="453"/>
      <c r="I630" s="453"/>
      <c r="J630" s="453"/>
      <c r="K630" s="453"/>
      <c r="L630" s="453"/>
      <c r="M630" s="453"/>
      <c r="N630" s="453"/>
      <c r="O630" s="453"/>
      <c r="P630" s="453"/>
      <c r="Q630" s="453"/>
      <c r="R630" s="550"/>
      <c r="S630" s="453"/>
      <c r="T630" s="453"/>
      <c r="U630" s="453"/>
      <c r="V630" s="453"/>
      <c r="W630" s="453"/>
      <c r="X630" s="453"/>
      <c r="Y630" s="453"/>
      <c r="Z630" s="489"/>
      <c r="AA630" s="489"/>
      <c r="AB630" s="490"/>
      <c r="AC630" s="453"/>
      <c r="AD630" s="453"/>
      <c r="AE630" s="453"/>
      <c r="AF630" s="453"/>
      <c r="AG630" s="453"/>
      <c r="AH630" s="453"/>
      <c r="AI630" s="453"/>
      <c r="AJ630" s="453"/>
      <c r="AK630" s="453"/>
      <c r="AL630" s="453"/>
      <c r="AM630" s="453"/>
      <c r="AN630" s="453"/>
      <c r="AO630" s="453"/>
      <c r="AP630" s="453"/>
      <c r="AQ630" s="453"/>
      <c r="AR630" s="453"/>
      <c r="AS630" s="453"/>
      <c r="AT630" s="453"/>
      <c r="AU630" s="453">
        <v>30000</v>
      </c>
      <c r="AV630" s="453"/>
      <c r="AW630" s="453"/>
      <c r="AX630" s="453"/>
      <c r="AY630" s="453"/>
      <c r="AZ630" s="453"/>
      <c r="BA630" s="532"/>
      <c r="BB630" s="502"/>
      <c r="BC630" s="503"/>
      <c r="BD630" s="453"/>
      <c r="BE630" s="453"/>
      <c r="BF630" s="470"/>
      <c r="BG630" s="453"/>
      <c r="BH630" s="453"/>
      <c r="BI630" s="453"/>
      <c r="BJ630" s="453"/>
      <c r="BK630" s="453"/>
      <c r="BL630" s="453"/>
      <c r="BM630" s="502"/>
      <c r="BN630" s="503"/>
      <c r="BO630" s="470"/>
      <c r="BP630" s="574"/>
      <c r="BQ630" s="458"/>
      <c r="BR630" s="577"/>
      <c r="BS630" s="524"/>
      <c r="BT630" s="586"/>
    </row>
    <row r="631" s="435" customFormat="1" ht="24" customHeight="1" spans="1:72">
      <c r="A631" s="451" t="s">
        <v>4032</v>
      </c>
      <c r="B631" s="543">
        <v>45520</v>
      </c>
      <c r="C631" s="589">
        <v>1000022611</v>
      </c>
      <c r="D631" s="451"/>
      <c r="E631" s="457"/>
      <c r="F631" s="453"/>
      <c r="G631" s="453"/>
      <c r="H631" s="453"/>
      <c r="I631" s="453"/>
      <c r="J631" s="453"/>
      <c r="K631" s="453"/>
      <c r="L631" s="453"/>
      <c r="M631" s="453"/>
      <c r="N631" s="453"/>
      <c r="O631" s="453"/>
      <c r="P631" s="453"/>
      <c r="Q631" s="453"/>
      <c r="R631" s="550"/>
      <c r="S631" s="453"/>
      <c r="T631" s="453"/>
      <c r="U631" s="453"/>
      <c r="V631" s="453"/>
      <c r="W631" s="453"/>
      <c r="X631" s="453"/>
      <c r="Y631" s="453"/>
      <c r="Z631" s="489"/>
      <c r="AA631" s="489"/>
      <c r="AB631" s="490"/>
      <c r="AC631" s="453"/>
      <c r="AD631" s="453"/>
      <c r="AE631" s="453"/>
      <c r="AF631" s="453"/>
      <c r="AG631" s="453"/>
      <c r="AH631" s="453"/>
      <c r="AI631" s="453"/>
      <c r="AJ631" s="453"/>
      <c r="AK631" s="453"/>
      <c r="AL631" s="453"/>
      <c r="AM631" s="453"/>
      <c r="AN631" s="453"/>
      <c r="AO631" s="453"/>
      <c r="AP631" s="453"/>
      <c r="AQ631" s="453"/>
      <c r="AR631" s="453"/>
      <c r="AS631" s="453"/>
      <c r="AT631" s="453"/>
      <c r="AU631" s="453"/>
      <c r="AV631" s="453"/>
      <c r="AW631" s="453"/>
      <c r="AX631" s="453"/>
      <c r="AY631" s="453"/>
      <c r="AZ631" s="453"/>
      <c r="BA631" s="532"/>
      <c r="BB631" s="502"/>
      <c r="BC631" s="503"/>
      <c r="BD631" s="453"/>
      <c r="BE631" s="453"/>
      <c r="BF631" s="470"/>
      <c r="BG631" s="453"/>
      <c r="BH631" s="453"/>
      <c r="BI631" s="453">
        <v>3001</v>
      </c>
      <c r="BJ631" s="453"/>
      <c r="BK631" s="453"/>
      <c r="BL631" s="453"/>
      <c r="BM631" s="502"/>
      <c r="BN631" s="503"/>
      <c r="BO631" s="470"/>
      <c r="BP631" s="574"/>
      <c r="BQ631" s="458"/>
      <c r="BR631" s="577"/>
      <c r="BS631" s="524"/>
      <c r="BT631" s="586"/>
    </row>
    <row r="632" s="435" customFormat="1" ht="24" customHeight="1" spans="1:72">
      <c r="A632" s="451" t="s">
        <v>4032</v>
      </c>
      <c r="B632" s="543">
        <v>45534</v>
      </c>
      <c r="C632" s="589">
        <v>1000022815</v>
      </c>
      <c r="D632" s="451"/>
      <c r="E632" s="457"/>
      <c r="F632" s="453"/>
      <c r="G632" s="453"/>
      <c r="H632" s="453"/>
      <c r="I632" s="453"/>
      <c r="J632" s="453"/>
      <c r="K632" s="453"/>
      <c r="L632" s="453"/>
      <c r="M632" s="453"/>
      <c r="N632" s="453"/>
      <c r="O632" s="453"/>
      <c r="P632" s="453"/>
      <c r="Q632" s="453"/>
      <c r="R632" s="550"/>
      <c r="S632" s="453"/>
      <c r="T632" s="453"/>
      <c r="U632" s="453"/>
      <c r="V632" s="453"/>
      <c r="W632" s="453"/>
      <c r="X632" s="453"/>
      <c r="Y632" s="453"/>
      <c r="Z632" s="489"/>
      <c r="AA632" s="489"/>
      <c r="AB632" s="490"/>
      <c r="AC632" s="453"/>
      <c r="AD632" s="453"/>
      <c r="AE632" s="453"/>
      <c r="AF632" s="453"/>
      <c r="AG632" s="453"/>
      <c r="AH632" s="453"/>
      <c r="AI632" s="453"/>
      <c r="AJ632" s="453"/>
      <c r="AK632" s="453">
        <v>1001</v>
      </c>
      <c r="AL632" s="453"/>
      <c r="AM632" s="453"/>
      <c r="AN632" s="453"/>
      <c r="AO632" s="453"/>
      <c r="AP632" s="453"/>
      <c r="AQ632" s="453"/>
      <c r="AR632" s="453"/>
      <c r="AS632" s="453"/>
      <c r="AT632" s="453"/>
      <c r="AU632" s="453"/>
      <c r="AV632" s="453"/>
      <c r="AW632" s="453"/>
      <c r="AX632" s="453"/>
      <c r="AY632" s="453"/>
      <c r="AZ632" s="453"/>
      <c r="BA632" s="532"/>
      <c r="BB632" s="502"/>
      <c r="BC632" s="503"/>
      <c r="BD632" s="453"/>
      <c r="BE632" s="453"/>
      <c r="BF632" s="470"/>
      <c r="BG632" s="453"/>
      <c r="BH632" s="453"/>
      <c r="BI632" s="453"/>
      <c r="BJ632" s="453"/>
      <c r="BK632" s="453"/>
      <c r="BL632" s="453"/>
      <c r="BM632" s="502"/>
      <c r="BN632" s="503"/>
      <c r="BO632" s="470"/>
      <c r="BP632" s="574"/>
      <c r="BQ632" s="458"/>
      <c r="BR632" s="577"/>
      <c r="BS632" s="524"/>
      <c r="BT632" s="586"/>
    </row>
    <row r="633" s="435" customFormat="1" ht="24" customHeight="1" spans="1:72">
      <c r="A633" s="451" t="s">
        <v>4032</v>
      </c>
      <c r="B633" s="543">
        <v>45534</v>
      </c>
      <c r="C633" s="589">
        <v>1000022817</v>
      </c>
      <c r="D633" s="451"/>
      <c r="E633" s="457"/>
      <c r="F633" s="453"/>
      <c r="G633" s="453"/>
      <c r="H633" s="453"/>
      <c r="I633" s="453"/>
      <c r="J633" s="453"/>
      <c r="K633" s="453"/>
      <c r="L633" s="453"/>
      <c r="M633" s="453"/>
      <c r="N633" s="453"/>
      <c r="O633" s="453"/>
      <c r="P633" s="453"/>
      <c r="Q633" s="453"/>
      <c r="R633" s="550"/>
      <c r="S633" s="453"/>
      <c r="T633" s="453"/>
      <c r="U633" s="453"/>
      <c r="V633" s="453"/>
      <c r="W633" s="453"/>
      <c r="X633" s="453"/>
      <c r="Y633" s="453"/>
      <c r="Z633" s="489"/>
      <c r="AA633" s="489"/>
      <c r="AB633" s="490"/>
      <c r="AC633" s="453"/>
      <c r="AD633" s="453"/>
      <c r="AE633" s="453"/>
      <c r="AF633" s="453"/>
      <c r="AG633" s="453"/>
      <c r="AH633" s="453"/>
      <c r="AI633" s="453"/>
      <c r="AJ633" s="453"/>
      <c r="AK633" s="453"/>
      <c r="AL633" s="453"/>
      <c r="AM633" s="453"/>
      <c r="AN633" s="453"/>
      <c r="AO633" s="453"/>
      <c r="AP633" s="453"/>
      <c r="AQ633" s="453"/>
      <c r="AR633" s="453"/>
      <c r="AS633" s="453"/>
      <c r="AT633" s="453"/>
      <c r="AU633" s="453"/>
      <c r="AV633" s="453"/>
      <c r="AW633" s="453"/>
      <c r="AX633" s="453"/>
      <c r="AY633" s="453"/>
      <c r="AZ633" s="453">
        <v>640</v>
      </c>
      <c r="BA633" s="532"/>
      <c r="BB633" s="502"/>
      <c r="BC633" s="503"/>
      <c r="BD633" s="453"/>
      <c r="BE633" s="453"/>
      <c r="BF633" s="470"/>
      <c r="BG633" s="453"/>
      <c r="BH633" s="453"/>
      <c r="BI633" s="453"/>
      <c r="BJ633" s="453"/>
      <c r="BK633" s="453"/>
      <c r="BL633" s="453"/>
      <c r="BM633" s="502"/>
      <c r="BN633" s="503"/>
      <c r="BO633" s="470"/>
      <c r="BP633" s="574"/>
      <c r="BQ633" s="458"/>
      <c r="BR633" s="577"/>
      <c r="BS633" s="524"/>
      <c r="BT633" s="586" t="s">
        <v>4092</v>
      </c>
    </row>
    <row r="634" s="435" customFormat="1" ht="26" customHeight="1" spans="1:72">
      <c r="A634" s="451" t="s">
        <v>4032</v>
      </c>
      <c r="B634" s="543">
        <v>45538</v>
      </c>
      <c r="C634" s="589">
        <v>1000022865</v>
      </c>
      <c r="D634" s="451"/>
      <c r="E634" s="457"/>
      <c r="F634" s="453"/>
      <c r="G634" s="453"/>
      <c r="H634" s="453"/>
      <c r="I634" s="453"/>
      <c r="J634" s="453"/>
      <c r="K634" s="453"/>
      <c r="L634" s="453"/>
      <c r="M634" s="453"/>
      <c r="N634" s="453"/>
      <c r="O634" s="453">
        <v>20000</v>
      </c>
      <c r="P634" s="453"/>
      <c r="Q634" s="453"/>
      <c r="R634" s="550"/>
      <c r="S634" s="453"/>
      <c r="T634" s="453"/>
      <c r="U634" s="453"/>
      <c r="V634" s="453"/>
      <c r="W634" s="453"/>
      <c r="X634" s="453"/>
      <c r="Y634" s="453"/>
      <c r="Z634" s="489"/>
      <c r="AA634" s="489"/>
      <c r="AB634" s="490"/>
      <c r="AC634" s="453"/>
      <c r="AD634" s="453"/>
      <c r="AE634" s="453"/>
      <c r="AF634" s="453"/>
      <c r="AG634" s="453"/>
      <c r="AH634" s="453"/>
      <c r="AI634" s="453"/>
      <c r="AJ634" s="453"/>
      <c r="AK634" s="453"/>
      <c r="AL634" s="453"/>
      <c r="AM634" s="453"/>
      <c r="AN634" s="453"/>
      <c r="AO634" s="453"/>
      <c r="AP634" s="453"/>
      <c r="AQ634" s="453"/>
      <c r="AR634" s="453"/>
      <c r="AS634" s="453"/>
      <c r="AT634" s="453"/>
      <c r="AU634" s="453"/>
      <c r="AV634" s="453"/>
      <c r="AW634" s="453"/>
      <c r="AX634" s="453"/>
      <c r="AY634" s="453"/>
      <c r="AZ634" s="453"/>
      <c r="BA634" s="532"/>
      <c r="BB634" s="502"/>
      <c r="BC634" s="503"/>
      <c r="BD634" s="453"/>
      <c r="BE634" s="453"/>
      <c r="BF634" s="470"/>
      <c r="BG634" s="453"/>
      <c r="BH634" s="453"/>
      <c r="BI634" s="453"/>
      <c r="BJ634" s="453"/>
      <c r="BK634" s="453"/>
      <c r="BL634" s="453"/>
      <c r="BM634" s="502"/>
      <c r="BN634" s="503"/>
      <c r="BO634" s="470"/>
      <c r="BP634" s="574"/>
      <c r="BQ634" s="458"/>
      <c r="BR634" s="577"/>
      <c r="BS634" s="524"/>
      <c r="BT634" s="586"/>
    </row>
    <row r="635" s="435" customFormat="1" ht="18" customHeight="1" spans="1:72">
      <c r="A635" s="451" t="s">
        <v>4032</v>
      </c>
      <c r="B635" s="543">
        <v>45538</v>
      </c>
      <c r="C635" s="589">
        <v>1000022864</v>
      </c>
      <c r="D635" s="451"/>
      <c r="E635" s="457"/>
      <c r="F635" s="453"/>
      <c r="G635" s="453"/>
      <c r="H635" s="453"/>
      <c r="I635" s="453"/>
      <c r="J635" s="453"/>
      <c r="K635" s="453"/>
      <c r="L635" s="453"/>
      <c r="M635" s="453"/>
      <c r="N635" s="453"/>
      <c r="O635" s="453"/>
      <c r="P635" s="453"/>
      <c r="Q635" s="453"/>
      <c r="R635" s="550"/>
      <c r="S635" s="453"/>
      <c r="T635" s="453"/>
      <c r="U635" s="453"/>
      <c r="V635" s="453"/>
      <c r="W635" s="453"/>
      <c r="X635" s="453"/>
      <c r="Y635" s="453"/>
      <c r="Z635" s="489"/>
      <c r="AA635" s="489"/>
      <c r="AB635" s="490"/>
      <c r="AC635" s="453"/>
      <c r="AD635" s="453"/>
      <c r="AE635" s="453"/>
      <c r="AF635" s="453"/>
      <c r="AG635" s="453"/>
      <c r="AH635" s="453"/>
      <c r="AI635" s="453"/>
      <c r="AJ635" s="453"/>
      <c r="AK635" s="453">
        <v>3001</v>
      </c>
      <c r="AL635" s="453"/>
      <c r="AM635" s="453"/>
      <c r="AN635" s="453"/>
      <c r="AO635" s="453"/>
      <c r="AP635" s="453"/>
      <c r="AQ635" s="453"/>
      <c r="AR635" s="453"/>
      <c r="AS635" s="453"/>
      <c r="AT635" s="453"/>
      <c r="AU635" s="453"/>
      <c r="AV635" s="453"/>
      <c r="AW635" s="453"/>
      <c r="AX635" s="453"/>
      <c r="AY635" s="453"/>
      <c r="AZ635" s="453"/>
      <c r="BA635" s="532"/>
      <c r="BB635" s="502"/>
      <c r="BC635" s="503"/>
      <c r="BD635" s="453"/>
      <c r="BE635" s="453"/>
      <c r="BF635" s="470"/>
      <c r="BG635" s="453"/>
      <c r="BH635" s="453"/>
      <c r="BI635" s="453"/>
      <c r="BJ635" s="453"/>
      <c r="BK635" s="453"/>
      <c r="BL635" s="453"/>
      <c r="BM635" s="502"/>
      <c r="BN635" s="503"/>
      <c r="BO635" s="470"/>
      <c r="BP635" s="574"/>
      <c r="BQ635" s="458"/>
      <c r="BR635" s="577"/>
      <c r="BS635" s="524"/>
      <c r="BT635" s="586"/>
    </row>
    <row r="636" s="435" customFormat="1" ht="18" customHeight="1" spans="1:72">
      <c r="A636" s="451" t="s">
        <v>4032</v>
      </c>
      <c r="B636" s="543">
        <v>45545</v>
      </c>
      <c r="C636" s="589">
        <v>1000023091</v>
      </c>
      <c r="D636" s="451"/>
      <c r="E636" s="457"/>
      <c r="F636" s="453"/>
      <c r="G636" s="453"/>
      <c r="H636" s="453"/>
      <c r="I636" s="453"/>
      <c r="J636" s="453"/>
      <c r="K636" s="453"/>
      <c r="L636" s="453"/>
      <c r="M636" s="453"/>
      <c r="N636" s="453"/>
      <c r="O636" s="453"/>
      <c r="P636" s="453"/>
      <c r="Q636" s="453"/>
      <c r="R636" s="550"/>
      <c r="S636" s="453"/>
      <c r="T636" s="453"/>
      <c r="U636" s="453"/>
      <c r="V636" s="453"/>
      <c r="W636" s="453"/>
      <c r="X636" s="453"/>
      <c r="Y636" s="453"/>
      <c r="Z636" s="489"/>
      <c r="AA636" s="489"/>
      <c r="AB636" s="490"/>
      <c r="AC636" s="453"/>
      <c r="AD636" s="453"/>
      <c r="AE636" s="453"/>
      <c r="AF636" s="453"/>
      <c r="AG636" s="453"/>
      <c r="AH636" s="453"/>
      <c r="AI636" s="453"/>
      <c r="AJ636" s="453"/>
      <c r="AK636" s="453"/>
      <c r="AL636" s="453"/>
      <c r="AM636" s="453"/>
      <c r="AN636" s="453"/>
      <c r="AO636" s="453"/>
      <c r="AP636" s="453"/>
      <c r="AQ636" s="453"/>
      <c r="AR636" s="453"/>
      <c r="AS636" s="453"/>
      <c r="AT636" s="453"/>
      <c r="AU636" s="453"/>
      <c r="AV636" s="453"/>
      <c r="AW636" s="453"/>
      <c r="AX636" s="453"/>
      <c r="AY636" s="453"/>
      <c r="AZ636" s="453">
        <v>640</v>
      </c>
      <c r="BA636" s="532"/>
      <c r="BB636" s="502"/>
      <c r="BC636" s="503"/>
      <c r="BD636" s="453"/>
      <c r="BE636" s="453"/>
      <c r="BF636" s="470"/>
      <c r="BG636" s="453"/>
      <c r="BH636" s="453"/>
      <c r="BI636" s="453"/>
      <c r="BJ636" s="453"/>
      <c r="BK636" s="453"/>
      <c r="BL636" s="453"/>
      <c r="BM636" s="502"/>
      <c r="BN636" s="503"/>
      <c r="BO636" s="470"/>
      <c r="BP636" s="574"/>
      <c r="BQ636" s="458"/>
      <c r="BR636" s="577"/>
      <c r="BS636" s="524"/>
      <c r="BT636" s="586" t="s">
        <v>4093</v>
      </c>
    </row>
    <row r="637" s="435" customFormat="1" ht="18" customHeight="1" spans="1:72">
      <c r="A637" s="451" t="s">
        <v>4032</v>
      </c>
      <c r="B637" s="543">
        <v>45549</v>
      </c>
      <c r="C637" s="589">
        <v>1000023155</v>
      </c>
      <c r="D637" s="451"/>
      <c r="E637" s="457"/>
      <c r="F637" s="453"/>
      <c r="G637" s="453"/>
      <c r="H637" s="453"/>
      <c r="I637" s="453"/>
      <c r="J637" s="453"/>
      <c r="K637" s="453"/>
      <c r="L637" s="453"/>
      <c r="M637" s="453"/>
      <c r="N637" s="453"/>
      <c r="O637" s="453"/>
      <c r="P637" s="453"/>
      <c r="Q637" s="453"/>
      <c r="R637" s="550"/>
      <c r="S637" s="453"/>
      <c r="T637" s="453"/>
      <c r="U637" s="453"/>
      <c r="V637" s="453"/>
      <c r="W637" s="453"/>
      <c r="X637" s="453"/>
      <c r="Y637" s="453"/>
      <c r="Z637" s="489"/>
      <c r="AA637" s="489"/>
      <c r="AB637" s="490"/>
      <c r="AC637" s="453"/>
      <c r="AD637" s="453"/>
      <c r="AE637" s="453"/>
      <c r="AF637" s="453"/>
      <c r="AG637" s="453"/>
      <c r="AH637" s="453"/>
      <c r="AI637" s="453"/>
      <c r="AJ637" s="453"/>
      <c r="AK637" s="453"/>
      <c r="AL637" s="453"/>
      <c r="AM637" s="453"/>
      <c r="AN637" s="453"/>
      <c r="AO637" s="453"/>
      <c r="AP637" s="453"/>
      <c r="AQ637" s="453"/>
      <c r="AR637" s="453"/>
      <c r="AS637" s="453"/>
      <c r="AT637" s="453"/>
      <c r="AU637" s="453"/>
      <c r="AV637" s="453"/>
      <c r="AW637" s="453"/>
      <c r="AX637" s="453">
        <v>6048</v>
      </c>
      <c r="AY637" s="453"/>
      <c r="AZ637" s="453"/>
      <c r="BA637" s="532"/>
      <c r="BB637" s="502"/>
      <c r="BC637" s="503"/>
      <c r="BD637" s="453"/>
      <c r="BE637" s="453"/>
      <c r="BF637" s="470"/>
      <c r="BG637" s="453"/>
      <c r="BH637" s="453"/>
      <c r="BI637" s="453"/>
      <c r="BJ637" s="453"/>
      <c r="BK637" s="453"/>
      <c r="BL637" s="453"/>
      <c r="BM637" s="502"/>
      <c r="BN637" s="503"/>
      <c r="BO637" s="470"/>
      <c r="BP637" s="574"/>
      <c r="BQ637" s="458"/>
      <c r="BR637" s="577"/>
      <c r="BS637" s="524"/>
      <c r="BT637" s="586" t="s">
        <v>4094</v>
      </c>
    </row>
    <row r="638" s="435" customFormat="1" ht="18" customHeight="1" spans="1:72">
      <c r="A638" s="451" t="s">
        <v>4032</v>
      </c>
      <c r="B638" s="543">
        <v>45549</v>
      </c>
      <c r="C638" s="589">
        <v>1000023164</v>
      </c>
      <c r="D638" s="451"/>
      <c r="E638" s="457"/>
      <c r="F638" s="453"/>
      <c r="G638" s="453"/>
      <c r="H638" s="453"/>
      <c r="I638" s="453"/>
      <c r="J638" s="453"/>
      <c r="K638" s="453"/>
      <c r="L638" s="453"/>
      <c r="M638" s="453"/>
      <c r="N638" s="453"/>
      <c r="O638" s="453"/>
      <c r="P638" s="453"/>
      <c r="Q638" s="453"/>
      <c r="R638" s="550"/>
      <c r="S638" s="453"/>
      <c r="T638" s="453"/>
      <c r="U638" s="453"/>
      <c r="V638" s="453"/>
      <c r="W638" s="453"/>
      <c r="X638" s="453"/>
      <c r="Y638" s="453"/>
      <c r="Z638" s="489"/>
      <c r="AA638" s="489"/>
      <c r="AB638" s="490"/>
      <c r="AC638" s="453"/>
      <c r="AD638" s="453"/>
      <c r="AE638" s="453"/>
      <c r="AF638" s="453"/>
      <c r="AG638" s="453"/>
      <c r="AH638" s="453"/>
      <c r="AI638" s="453"/>
      <c r="AJ638" s="453"/>
      <c r="AK638" s="453">
        <v>10001</v>
      </c>
      <c r="AL638" s="453"/>
      <c r="AM638" s="453"/>
      <c r="AN638" s="453"/>
      <c r="AO638" s="453"/>
      <c r="AP638" s="453"/>
      <c r="AQ638" s="453"/>
      <c r="AR638" s="453"/>
      <c r="AS638" s="453"/>
      <c r="AT638" s="453"/>
      <c r="AU638" s="453"/>
      <c r="AV638" s="453"/>
      <c r="AW638" s="453"/>
      <c r="AX638" s="453"/>
      <c r="AY638" s="453"/>
      <c r="AZ638" s="453"/>
      <c r="BA638" s="532"/>
      <c r="BB638" s="502"/>
      <c r="BC638" s="503"/>
      <c r="BD638" s="453"/>
      <c r="BE638" s="453"/>
      <c r="BF638" s="470"/>
      <c r="BG638" s="453"/>
      <c r="BH638" s="453"/>
      <c r="BI638" s="453"/>
      <c r="BJ638" s="453"/>
      <c r="BK638" s="453"/>
      <c r="BL638" s="453"/>
      <c r="BM638" s="502"/>
      <c r="BN638" s="503"/>
      <c r="BO638" s="470"/>
      <c r="BP638" s="574"/>
      <c r="BQ638" s="458"/>
      <c r="BR638" s="577"/>
      <c r="BS638" s="524"/>
      <c r="BT638" s="586"/>
    </row>
    <row r="639" s="435" customFormat="1" ht="18" customHeight="1" spans="1:72">
      <c r="A639" s="451" t="s">
        <v>4032</v>
      </c>
      <c r="B639" s="543">
        <v>45549</v>
      </c>
      <c r="C639" s="589">
        <v>1000023162</v>
      </c>
      <c r="D639" s="451"/>
      <c r="E639" s="457"/>
      <c r="F639" s="453"/>
      <c r="G639" s="453"/>
      <c r="H639" s="453"/>
      <c r="I639" s="453"/>
      <c r="J639" s="453"/>
      <c r="K639" s="453"/>
      <c r="L639" s="453"/>
      <c r="M639" s="453"/>
      <c r="N639" s="453"/>
      <c r="O639" s="453"/>
      <c r="P639" s="453">
        <v>5001</v>
      </c>
      <c r="Q639" s="453"/>
      <c r="R639" s="550"/>
      <c r="S639" s="453"/>
      <c r="T639" s="453"/>
      <c r="U639" s="453"/>
      <c r="V639" s="453"/>
      <c r="W639" s="453"/>
      <c r="X639" s="453"/>
      <c r="Y639" s="453"/>
      <c r="Z639" s="489"/>
      <c r="AA639" s="489"/>
      <c r="AB639" s="490"/>
      <c r="AC639" s="453"/>
      <c r="AD639" s="453"/>
      <c r="AE639" s="453"/>
      <c r="AF639" s="453"/>
      <c r="AG639" s="453"/>
      <c r="AH639" s="453"/>
      <c r="AI639" s="453"/>
      <c r="AJ639" s="453"/>
      <c r="AK639" s="453"/>
      <c r="AL639" s="453"/>
      <c r="AM639" s="453"/>
      <c r="AN639" s="453"/>
      <c r="AO639" s="453"/>
      <c r="AP639" s="453"/>
      <c r="AQ639" s="453"/>
      <c r="AR639" s="453"/>
      <c r="AS639" s="453"/>
      <c r="AT639" s="453"/>
      <c r="AU639" s="453"/>
      <c r="AV639" s="453"/>
      <c r="AW639" s="453"/>
      <c r="AX639" s="453"/>
      <c r="AY639" s="453"/>
      <c r="AZ639" s="453"/>
      <c r="BA639" s="532"/>
      <c r="BB639" s="502"/>
      <c r="BC639" s="503"/>
      <c r="BD639" s="453"/>
      <c r="BE639" s="453"/>
      <c r="BF639" s="470"/>
      <c r="BG639" s="453"/>
      <c r="BH639" s="453"/>
      <c r="BI639" s="453"/>
      <c r="BJ639" s="453"/>
      <c r="BK639" s="453"/>
      <c r="BL639" s="453"/>
      <c r="BM639" s="502"/>
      <c r="BN639" s="503"/>
      <c r="BO639" s="470"/>
      <c r="BP639" s="574"/>
      <c r="BQ639" s="458"/>
      <c r="BR639" s="577"/>
      <c r="BS639" s="524"/>
      <c r="BT639" s="586"/>
    </row>
    <row r="640" s="435" customFormat="1" ht="18" customHeight="1" spans="1:72">
      <c r="A640" s="451" t="s">
        <v>4032</v>
      </c>
      <c r="B640" s="543">
        <v>45549</v>
      </c>
      <c r="C640" s="589">
        <v>1000023163</v>
      </c>
      <c r="D640" s="451"/>
      <c r="E640" s="457"/>
      <c r="F640" s="453"/>
      <c r="G640" s="453"/>
      <c r="H640" s="453"/>
      <c r="I640" s="453"/>
      <c r="J640" s="453"/>
      <c r="K640" s="453"/>
      <c r="L640" s="453"/>
      <c r="M640" s="453"/>
      <c r="N640" s="453"/>
      <c r="O640" s="453"/>
      <c r="P640" s="453"/>
      <c r="Q640" s="453"/>
      <c r="R640" s="550"/>
      <c r="S640" s="453"/>
      <c r="T640" s="453">
        <v>20001</v>
      </c>
      <c r="U640" s="453"/>
      <c r="V640" s="453"/>
      <c r="W640" s="453"/>
      <c r="X640" s="453"/>
      <c r="Y640" s="453"/>
      <c r="Z640" s="489"/>
      <c r="AA640" s="489"/>
      <c r="AB640" s="490"/>
      <c r="AC640" s="453"/>
      <c r="AD640" s="453"/>
      <c r="AE640" s="453"/>
      <c r="AF640" s="453"/>
      <c r="AG640" s="453"/>
      <c r="AH640" s="453"/>
      <c r="AI640" s="453"/>
      <c r="AJ640" s="453"/>
      <c r="AK640" s="453"/>
      <c r="AL640" s="453"/>
      <c r="AM640" s="453"/>
      <c r="AN640" s="453"/>
      <c r="AO640" s="453"/>
      <c r="AP640" s="453"/>
      <c r="AQ640" s="453"/>
      <c r="AR640" s="453"/>
      <c r="AS640" s="453"/>
      <c r="AT640" s="453"/>
      <c r="AU640" s="453"/>
      <c r="AV640" s="453"/>
      <c r="AW640" s="453"/>
      <c r="AX640" s="453"/>
      <c r="AY640" s="453"/>
      <c r="AZ640" s="453"/>
      <c r="BA640" s="532"/>
      <c r="BB640" s="502"/>
      <c r="BC640" s="503"/>
      <c r="BD640" s="453"/>
      <c r="BE640" s="453"/>
      <c r="BF640" s="470"/>
      <c r="BG640" s="453"/>
      <c r="BH640" s="453"/>
      <c r="BI640" s="453"/>
      <c r="BJ640" s="453"/>
      <c r="BK640" s="453"/>
      <c r="BL640" s="453"/>
      <c r="BM640" s="502"/>
      <c r="BN640" s="503"/>
      <c r="BO640" s="470"/>
      <c r="BP640" s="574"/>
      <c r="BQ640" s="458"/>
      <c r="BR640" s="577"/>
      <c r="BS640" s="524"/>
      <c r="BT640" s="586"/>
    </row>
    <row r="641" s="435" customFormat="1" ht="18" customHeight="1" spans="1:72">
      <c r="A641" s="451" t="s">
        <v>4032</v>
      </c>
      <c r="B641" s="543">
        <v>45549</v>
      </c>
      <c r="C641" s="589">
        <v>1000023165</v>
      </c>
      <c r="D641" s="451"/>
      <c r="E641" s="457"/>
      <c r="F641" s="453"/>
      <c r="G641" s="453"/>
      <c r="H641" s="453"/>
      <c r="I641" s="453"/>
      <c r="J641" s="453"/>
      <c r="K641" s="453"/>
      <c r="L641" s="453"/>
      <c r="M641" s="453"/>
      <c r="N641" s="453"/>
      <c r="O641" s="453"/>
      <c r="P641" s="453"/>
      <c r="Q641" s="453"/>
      <c r="R641" s="550"/>
      <c r="S641" s="453"/>
      <c r="T641" s="453"/>
      <c r="U641" s="453"/>
      <c r="V641" s="453"/>
      <c r="W641" s="453"/>
      <c r="X641" s="453"/>
      <c r="Y641" s="453"/>
      <c r="Z641" s="489"/>
      <c r="AA641" s="489"/>
      <c r="AB641" s="490"/>
      <c r="AC641" s="453"/>
      <c r="AD641" s="453"/>
      <c r="AE641" s="453"/>
      <c r="AF641" s="453"/>
      <c r="AG641" s="453"/>
      <c r="AH641" s="453"/>
      <c r="AI641" s="453"/>
      <c r="AJ641" s="453"/>
      <c r="AK641" s="453"/>
      <c r="AL641" s="453"/>
      <c r="AM641" s="453"/>
      <c r="AN641" s="453"/>
      <c r="AO641" s="453"/>
      <c r="AP641" s="453"/>
      <c r="AQ641" s="453"/>
      <c r="AR641" s="453"/>
      <c r="AS641" s="453"/>
      <c r="AT641" s="453"/>
      <c r="AU641" s="453"/>
      <c r="AV641" s="453"/>
      <c r="AW641" s="453"/>
      <c r="AX641" s="453"/>
      <c r="AY641" s="453"/>
      <c r="AZ641" s="453"/>
      <c r="BA641" s="532"/>
      <c r="BB641" s="502"/>
      <c r="BC641" s="503"/>
      <c r="BD641" s="453"/>
      <c r="BE641" s="453"/>
      <c r="BF641" s="470"/>
      <c r="BG641" s="453"/>
      <c r="BH641" s="453"/>
      <c r="BI641" s="453">
        <v>3001</v>
      </c>
      <c r="BJ641" s="453"/>
      <c r="BK641" s="453"/>
      <c r="BL641" s="453"/>
      <c r="BM641" s="502"/>
      <c r="BN641" s="503"/>
      <c r="BO641" s="470"/>
      <c r="BP641" s="574"/>
      <c r="BQ641" s="458"/>
      <c r="BR641" s="577"/>
      <c r="BS641" s="524"/>
      <c r="BT641" s="586"/>
    </row>
    <row r="642" s="435" customFormat="1" ht="18" customHeight="1" spans="1:72">
      <c r="A642" s="451" t="s">
        <v>4032</v>
      </c>
      <c r="B642" s="543">
        <v>45561</v>
      </c>
      <c r="C642" s="589">
        <v>1000023400</v>
      </c>
      <c r="D642" s="451"/>
      <c r="E642" s="457"/>
      <c r="F642" s="453"/>
      <c r="G642" s="453"/>
      <c r="H642" s="453"/>
      <c r="I642" s="453"/>
      <c r="J642" s="453"/>
      <c r="K642" s="453"/>
      <c r="L642" s="453"/>
      <c r="M642" s="453"/>
      <c r="N642" s="453"/>
      <c r="O642" s="453"/>
      <c r="P642" s="453"/>
      <c r="Q642" s="453"/>
      <c r="R642" s="550"/>
      <c r="S642" s="453"/>
      <c r="T642" s="453"/>
      <c r="U642" s="453"/>
      <c r="V642" s="453"/>
      <c r="W642" s="453"/>
      <c r="X642" s="453"/>
      <c r="Y642" s="453"/>
      <c r="Z642" s="489"/>
      <c r="AA642" s="489"/>
      <c r="AB642" s="490"/>
      <c r="AC642" s="453"/>
      <c r="AD642" s="453"/>
      <c r="AE642" s="453"/>
      <c r="AF642" s="453"/>
      <c r="AG642" s="453"/>
      <c r="AH642" s="453"/>
      <c r="AI642" s="453"/>
      <c r="AJ642" s="453"/>
      <c r="AK642" s="453"/>
      <c r="AL642" s="453"/>
      <c r="AM642" s="453"/>
      <c r="AN642" s="453"/>
      <c r="AO642" s="453"/>
      <c r="AP642" s="453"/>
      <c r="AQ642" s="453"/>
      <c r="AR642" s="453"/>
      <c r="AS642" s="453"/>
      <c r="AT642" s="453"/>
      <c r="AU642" s="453"/>
      <c r="AV642" s="453"/>
      <c r="AW642" s="453"/>
      <c r="AX642" s="453"/>
      <c r="AY642" s="453"/>
      <c r="AZ642" s="453"/>
      <c r="BA642" s="532"/>
      <c r="BB642" s="502"/>
      <c r="BC642" s="503"/>
      <c r="BD642" s="453"/>
      <c r="BE642" s="453"/>
      <c r="BF642" s="470"/>
      <c r="BG642" s="453">
        <v>3001</v>
      </c>
      <c r="BH642" s="453"/>
      <c r="BI642" s="453"/>
      <c r="BJ642" s="453"/>
      <c r="BK642" s="453"/>
      <c r="BL642" s="453"/>
      <c r="BM642" s="502"/>
      <c r="BN642" s="503"/>
      <c r="BO642" s="470"/>
      <c r="BP642" s="574"/>
      <c r="BQ642" s="458"/>
      <c r="BR642" s="577"/>
      <c r="BS642" s="524"/>
      <c r="BT642" s="586"/>
    </row>
    <row r="643" s="435" customFormat="1" ht="18" customHeight="1" spans="1:72">
      <c r="A643" s="451" t="s">
        <v>4032</v>
      </c>
      <c r="B643" s="543">
        <v>45561</v>
      </c>
      <c r="C643" s="589">
        <v>1000023401</v>
      </c>
      <c r="D643" s="451"/>
      <c r="E643" s="457"/>
      <c r="F643" s="453"/>
      <c r="G643" s="453"/>
      <c r="H643" s="453"/>
      <c r="I643" s="453"/>
      <c r="J643" s="453"/>
      <c r="K643" s="453"/>
      <c r="L643" s="453"/>
      <c r="M643" s="453"/>
      <c r="N643" s="453"/>
      <c r="O643" s="453"/>
      <c r="P643" s="453"/>
      <c r="Q643" s="453"/>
      <c r="R643" s="550"/>
      <c r="S643" s="453"/>
      <c r="T643" s="453"/>
      <c r="U643" s="453"/>
      <c r="V643" s="453"/>
      <c r="W643" s="453"/>
      <c r="X643" s="453"/>
      <c r="Y643" s="453"/>
      <c r="Z643" s="489"/>
      <c r="AA643" s="489"/>
      <c r="AB643" s="490"/>
      <c r="AC643" s="453"/>
      <c r="AD643" s="453"/>
      <c r="AE643" s="453"/>
      <c r="AF643" s="453"/>
      <c r="AG643" s="453"/>
      <c r="AH643" s="453"/>
      <c r="AI643" s="453"/>
      <c r="AJ643" s="453"/>
      <c r="AK643" s="453"/>
      <c r="AL643" s="453"/>
      <c r="AM643" s="453"/>
      <c r="AN643" s="453"/>
      <c r="AO643" s="453"/>
      <c r="AP643" s="453"/>
      <c r="AQ643" s="453"/>
      <c r="AR643" s="453"/>
      <c r="AS643" s="453"/>
      <c r="AT643" s="453"/>
      <c r="AU643" s="453"/>
      <c r="AV643" s="453"/>
      <c r="AW643" s="453"/>
      <c r="AX643" s="453"/>
      <c r="AY643" s="453"/>
      <c r="AZ643" s="453"/>
      <c r="BA643" s="532"/>
      <c r="BB643" s="502"/>
      <c r="BC643" s="503"/>
      <c r="BD643" s="453"/>
      <c r="BE643" s="453"/>
      <c r="BF643" s="470"/>
      <c r="BG643" s="453"/>
      <c r="BH643" s="453"/>
      <c r="BI643" s="453">
        <v>10001</v>
      </c>
      <c r="BJ643" s="453"/>
      <c r="BK643" s="453"/>
      <c r="BL643" s="453"/>
      <c r="BM643" s="502"/>
      <c r="BN643" s="503"/>
      <c r="BO643" s="470"/>
      <c r="BP643" s="574"/>
      <c r="BQ643" s="458"/>
      <c r="BR643" s="577"/>
      <c r="BS643" s="524"/>
      <c r="BT643" s="586"/>
    </row>
    <row r="644" s="435" customFormat="1" ht="18" customHeight="1" spans="1:72">
      <c r="A644" s="451" t="s">
        <v>4032</v>
      </c>
      <c r="B644" s="543">
        <v>45561</v>
      </c>
      <c r="C644" s="589">
        <v>1000023402</v>
      </c>
      <c r="D644" s="451"/>
      <c r="E644" s="457"/>
      <c r="F644" s="453"/>
      <c r="G644" s="453"/>
      <c r="H644" s="453"/>
      <c r="I644" s="453"/>
      <c r="J644" s="453"/>
      <c r="K644" s="453"/>
      <c r="L644" s="453"/>
      <c r="M644" s="453"/>
      <c r="N644" s="453"/>
      <c r="O644" s="453"/>
      <c r="P644" s="453"/>
      <c r="Q644" s="453"/>
      <c r="R644" s="550"/>
      <c r="S644" s="453"/>
      <c r="T644" s="453"/>
      <c r="U644" s="453"/>
      <c r="V644" s="453"/>
      <c r="W644" s="453"/>
      <c r="X644" s="453"/>
      <c r="Y644" s="453"/>
      <c r="Z644" s="489"/>
      <c r="AA644" s="489"/>
      <c r="AB644" s="490"/>
      <c r="AC644" s="453"/>
      <c r="AD644" s="453"/>
      <c r="AE644" s="453"/>
      <c r="AF644" s="453"/>
      <c r="AG644" s="453"/>
      <c r="AH644" s="453"/>
      <c r="AI644" s="453"/>
      <c r="AJ644" s="453"/>
      <c r="AK644" s="453"/>
      <c r="AL644" s="453"/>
      <c r="AM644" s="453"/>
      <c r="AN644" s="453"/>
      <c r="AO644" s="453"/>
      <c r="AP644" s="453"/>
      <c r="AQ644" s="453"/>
      <c r="AR644" s="453"/>
      <c r="AS644" s="453"/>
      <c r="AT644" s="453"/>
      <c r="AU644" s="453"/>
      <c r="AV644" s="453"/>
      <c r="AW644" s="453"/>
      <c r="AX644" s="453"/>
      <c r="AY644" s="453"/>
      <c r="AZ644" s="453"/>
      <c r="BA644" s="532"/>
      <c r="BB644" s="502"/>
      <c r="BC644" s="503"/>
      <c r="BD644" s="453"/>
      <c r="BE644" s="453"/>
      <c r="BF644" s="470"/>
      <c r="BG644" s="453"/>
      <c r="BH644" s="453"/>
      <c r="BI644" s="453"/>
      <c r="BJ644" s="453">
        <v>1297</v>
      </c>
      <c r="BK644" s="453"/>
      <c r="BL644" s="453"/>
      <c r="BM644" s="502"/>
      <c r="BN644" s="503"/>
      <c r="BO644" s="470"/>
      <c r="BP644" s="574"/>
      <c r="BQ644" s="458"/>
      <c r="BR644" s="577"/>
      <c r="BS644" s="524"/>
      <c r="BT644" s="586"/>
    </row>
    <row r="645" s="435" customFormat="1" ht="18" customHeight="1" spans="1:72">
      <c r="A645" s="451" t="s">
        <v>4032</v>
      </c>
      <c r="B645" s="543">
        <v>45575</v>
      </c>
      <c r="C645" s="589">
        <v>1000023559</v>
      </c>
      <c r="D645" s="451"/>
      <c r="E645" s="457"/>
      <c r="F645" s="453"/>
      <c r="G645" s="453"/>
      <c r="H645" s="453"/>
      <c r="I645" s="453"/>
      <c r="J645" s="453"/>
      <c r="K645" s="453"/>
      <c r="L645" s="453"/>
      <c r="M645" s="453"/>
      <c r="N645" s="453"/>
      <c r="O645" s="453"/>
      <c r="P645" s="453"/>
      <c r="Q645" s="453"/>
      <c r="R645" s="550"/>
      <c r="S645" s="453"/>
      <c r="T645" s="453"/>
      <c r="U645" s="453"/>
      <c r="V645" s="453"/>
      <c r="W645" s="453"/>
      <c r="X645" s="453"/>
      <c r="Y645" s="453"/>
      <c r="Z645" s="489"/>
      <c r="AA645" s="489"/>
      <c r="AB645" s="490"/>
      <c r="AC645" s="453"/>
      <c r="AD645" s="453"/>
      <c r="AE645" s="453"/>
      <c r="AF645" s="453"/>
      <c r="AG645" s="453"/>
      <c r="AH645" s="453"/>
      <c r="AI645" s="453"/>
      <c r="AJ645" s="453"/>
      <c r="AK645" s="453"/>
      <c r="AL645" s="453"/>
      <c r="AM645" s="453"/>
      <c r="AN645" s="453"/>
      <c r="AO645" s="453"/>
      <c r="AP645" s="453"/>
      <c r="AQ645" s="453"/>
      <c r="AR645" s="453"/>
      <c r="AS645" s="453"/>
      <c r="AT645" s="453"/>
      <c r="AU645" s="453"/>
      <c r="AV645" s="453"/>
      <c r="AW645" s="453"/>
      <c r="AX645" s="453"/>
      <c r="AY645" s="453"/>
      <c r="AZ645" s="453">
        <v>640</v>
      </c>
      <c r="BA645" s="532"/>
      <c r="BB645" s="502"/>
      <c r="BC645" s="503"/>
      <c r="BD645" s="453"/>
      <c r="BE645" s="453"/>
      <c r="BF645" s="470"/>
      <c r="BG645" s="453"/>
      <c r="BH645" s="453"/>
      <c r="BI645" s="453"/>
      <c r="BJ645" s="453"/>
      <c r="BK645" s="453"/>
      <c r="BL645" s="453"/>
      <c r="BM645" s="502"/>
      <c r="BN645" s="503"/>
      <c r="BO645" s="470"/>
      <c r="BP645" s="574"/>
      <c r="BQ645" s="458"/>
      <c r="BR645" s="577"/>
      <c r="BS645" s="524"/>
      <c r="BT645" s="586" t="s">
        <v>4095</v>
      </c>
    </row>
    <row r="646" s="435" customFormat="1" ht="18" customHeight="1" spans="1:72">
      <c r="A646" s="451" t="s">
        <v>4032</v>
      </c>
      <c r="B646" s="543">
        <v>45579</v>
      </c>
      <c r="C646" s="589">
        <v>1000023668</v>
      </c>
      <c r="D646" s="451"/>
      <c r="E646" s="457"/>
      <c r="F646" s="453"/>
      <c r="G646" s="453"/>
      <c r="H646" s="453"/>
      <c r="I646" s="453"/>
      <c r="J646" s="453"/>
      <c r="K646" s="453"/>
      <c r="L646" s="453"/>
      <c r="M646" s="453"/>
      <c r="N646" s="453"/>
      <c r="O646" s="453"/>
      <c r="P646" s="453"/>
      <c r="Q646" s="453"/>
      <c r="R646" s="550"/>
      <c r="S646" s="453"/>
      <c r="T646" s="453"/>
      <c r="U646" s="453"/>
      <c r="V646" s="453"/>
      <c r="W646" s="453"/>
      <c r="X646" s="453"/>
      <c r="Y646" s="453"/>
      <c r="Z646" s="489"/>
      <c r="AA646" s="489"/>
      <c r="AB646" s="490"/>
      <c r="AC646" s="453"/>
      <c r="AD646" s="453"/>
      <c r="AE646" s="453"/>
      <c r="AF646" s="453"/>
      <c r="AG646" s="453"/>
      <c r="AH646" s="453"/>
      <c r="AI646" s="453"/>
      <c r="AJ646" s="453"/>
      <c r="AK646" s="453"/>
      <c r="AL646" s="453"/>
      <c r="AM646" s="453"/>
      <c r="AN646" s="453"/>
      <c r="AO646" s="453"/>
      <c r="AP646" s="453"/>
      <c r="AQ646" s="453"/>
      <c r="AR646" s="453"/>
      <c r="AS646" s="453"/>
      <c r="AT646" s="453"/>
      <c r="AU646" s="453"/>
      <c r="AV646" s="453"/>
      <c r="AW646" s="453"/>
      <c r="AX646" s="453"/>
      <c r="AY646" s="453">
        <v>10032</v>
      </c>
      <c r="AZ646" s="453"/>
      <c r="BA646" s="532"/>
      <c r="BB646" s="502"/>
      <c r="BC646" s="503"/>
      <c r="BD646" s="453"/>
      <c r="BE646" s="453"/>
      <c r="BF646" s="470"/>
      <c r="BG646" s="453"/>
      <c r="BH646" s="453"/>
      <c r="BI646" s="453"/>
      <c r="BJ646" s="453"/>
      <c r="BK646" s="453"/>
      <c r="BL646" s="453"/>
      <c r="BM646" s="502"/>
      <c r="BN646" s="503"/>
      <c r="BO646" s="470"/>
      <c r="BP646" s="574"/>
      <c r="BQ646" s="458"/>
      <c r="BR646" s="577"/>
      <c r="BS646" s="524"/>
      <c r="BT646" s="586" t="s">
        <v>4096</v>
      </c>
    </row>
    <row r="647" s="435" customFormat="1" ht="18" customHeight="1" spans="1:72">
      <c r="A647" s="451" t="s">
        <v>4032</v>
      </c>
      <c r="B647" s="543">
        <v>45577</v>
      </c>
      <c r="C647" s="589">
        <v>1000023658</v>
      </c>
      <c r="D647" s="451"/>
      <c r="E647" s="457"/>
      <c r="F647" s="453"/>
      <c r="G647" s="453"/>
      <c r="H647" s="453"/>
      <c r="I647" s="453"/>
      <c r="J647" s="453"/>
      <c r="K647" s="453"/>
      <c r="L647" s="453"/>
      <c r="M647" s="453"/>
      <c r="N647" s="453"/>
      <c r="O647" s="453"/>
      <c r="P647" s="453"/>
      <c r="Q647" s="453"/>
      <c r="R647" s="550"/>
      <c r="S647" s="453"/>
      <c r="T647" s="453"/>
      <c r="U647" s="453"/>
      <c r="V647" s="453">
        <v>3634</v>
      </c>
      <c r="W647" s="453"/>
      <c r="X647" s="453"/>
      <c r="Y647" s="453"/>
      <c r="Z647" s="489" t="s">
        <v>4097</v>
      </c>
      <c r="AA647" s="489"/>
      <c r="AB647" s="490"/>
      <c r="AC647" s="453"/>
      <c r="AD647" s="453"/>
      <c r="AE647" s="453"/>
      <c r="AF647" s="453"/>
      <c r="AG647" s="453"/>
      <c r="AH647" s="453"/>
      <c r="AI647" s="453"/>
      <c r="AJ647" s="453"/>
      <c r="AK647" s="453"/>
      <c r="AL647" s="453"/>
      <c r="AM647" s="453"/>
      <c r="AN647" s="453"/>
      <c r="AO647" s="453"/>
      <c r="AP647" s="453"/>
      <c r="AQ647" s="453"/>
      <c r="AR647" s="453"/>
      <c r="AS647" s="453"/>
      <c r="AT647" s="453"/>
      <c r="AU647" s="453"/>
      <c r="AV647" s="453"/>
      <c r="AW647" s="453"/>
      <c r="AX647" s="453"/>
      <c r="AY647" s="453"/>
      <c r="AZ647" s="453"/>
      <c r="BA647" s="532"/>
      <c r="BB647" s="502"/>
      <c r="BC647" s="503"/>
      <c r="BD647" s="453"/>
      <c r="BE647" s="453"/>
      <c r="BF647" s="470"/>
      <c r="BG647" s="453"/>
      <c r="BH647" s="453"/>
      <c r="BI647" s="453"/>
      <c r="BJ647" s="453"/>
      <c r="BK647" s="453"/>
      <c r="BL647" s="453"/>
      <c r="BM647" s="502"/>
      <c r="BN647" s="503"/>
      <c r="BO647" s="470"/>
      <c r="BP647" s="574"/>
      <c r="BQ647" s="458"/>
      <c r="BR647" s="577"/>
      <c r="BS647" s="524"/>
      <c r="BT647" s="586"/>
    </row>
    <row r="648" s="435" customFormat="1" ht="18" customHeight="1" spans="1:72">
      <c r="A648" s="451" t="s">
        <v>4032</v>
      </c>
      <c r="B648" s="543">
        <v>45581</v>
      </c>
      <c r="C648" s="589">
        <v>1000023721</v>
      </c>
      <c r="D648" s="451"/>
      <c r="E648" s="457"/>
      <c r="F648" s="453"/>
      <c r="G648" s="453"/>
      <c r="H648" s="453"/>
      <c r="I648" s="453"/>
      <c r="J648" s="453"/>
      <c r="K648" s="453"/>
      <c r="L648" s="453"/>
      <c r="M648" s="453"/>
      <c r="N648" s="453"/>
      <c r="O648" s="453"/>
      <c r="P648" s="453"/>
      <c r="Q648" s="453"/>
      <c r="R648" s="550"/>
      <c r="S648" s="453"/>
      <c r="T648" s="453"/>
      <c r="U648" s="453"/>
      <c r="V648" s="453"/>
      <c r="W648" s="453"/>
      <c r="X648" s="453"/>
      <c r="Y648" s="453"/>
      <c r="Z648" s="489"/>
      <c r="AA648" s="489"/>
      <c r="AB648" s="490"/>
      <c r="AC648" s="453"/>
      <c r="AD648" s="453"/>
      <c r="AE648" s="453"/>
      <c r="AF648" s="453">
        <v>20001</v>
      </c>
      <c r="AG648" s="453"/>
      <c r="AH648" s="453"/>
      <c r="AI648" s="453"/>
      <c r="AJ648" s="453"/>
      <c r="AK648" s="453"/>
      <c r="AL648" s="453"/>
      <c r="AM648" s="453"/>
      <c r="AN648" s="453"/>
      <c r="AO648" s="453"/>
      <c r="AP648" s="453"/>
      <c r="AQ648" s="453"/>
      <c r="AR648" s="453"/>
      <c r="AS648" s="453"/>
      <c r="AT648" s="453"/>
      <c r="AU648" s="453"/>
      <c r="AV648" s="453"/>
      <c r="AW648" s="453"/>
      <c r="AX648" s="453"/>
      <c r="AY648" s="453"/>
      <c r="AZ648" s="453"/>
      <c r="BA648" s="532"/>
      <c r="BB648" s="502"/>
      <c r="BC648" s="503"/>
      <c r="BD648" s="453"/>
      <c r="BE648" s="453"/>
      <c r="BF648" s="470"/>
      <c r="BG648" s="453"/>
      <c r="BH648" s="453"/>
      <c r="BI648" s="453"/>
      <c r="BJ648" s="453"/>
      <c r="BK648" s="453"/>
      <c r="BL648" s="453"/>
      <c r="BM648" s="502"/>
      <c r="BN648" s="503"/>
      <c r="BO648" s="470"/>
      <c r="BP648" s="574"/>
      <c r="BQ648" s="458"/>
      <c r="BR648" s="577"/>
      <c r="BS648" s="524"/>
      <c r="BT648" s="586"/>
    </row>
    <row r="649" s="435" customFormat="1" ht="18" customHeight="1" spans="1:72">
      <c r="A649" s="451" t="s">
        <v>4032</v>
      </c>
      <c r="B649" s="543">
        <v>45581</v>
      </c>
      <c r="C649" s="589">
        <v>1000023722</v>
      </c>
      <c r="D649" s="451"/>
      <c r="E649" s="457"/>
      <c r="F649" s="453"/>
      <c r="G649" s="453"/>
      <c r="H649" s="453"/>
      <c r="I649" s="453"/>
      <c r="J649" s="453"/>
      <c r="K649" s="453"/>
      <c r="L649" s="453"/>
      <c r="M649" s="453"/>
      <c r="N649" s="453"/>
      <c r="O649" s="453"/>
      <c r="P649" s="453"/>
      <c r="Q649" s="453"/>
      <c r="R649" s="550"/>
      <c r="S649" s="453"/>
      <c r="T649" s="453"/>
      <c r="U649" s="453"/>
      <c r="V649" s="453"/>
      <c r="W649" s="453"/>
      <c r="X649" s="453"/>
      <c r="Y649" s="453"/>
      <c r="Z649" s="489"/>
      <c r="AA649" s="489"/>
      <c r="AB649" s="490"/>
      <c r="AC649" s="453"/>
      <c r="AD649" s="453"/>
      <c r="AE649" s="453"/>
      <c r="AF649" s="453"/>
      <c r="AG649" s="453"/>
      <c r="AH649" s="453"/>
      <c r="AI649" s="453"/>
      <c r="AJ649" s="453"/>
      <c r="AK649" s="453"/>
      <c r="AL649" s="453"/>
      <c r="AM649" s="453"/>
      <c r="AN649" s="453"/>
      <c r="AO649" s="453"/>
      <c r="AP649" s="453"/>
      <c r="AQ649" s="453"/>
      <c r="AR649" s="453"/>
      <c r="AS649" s="453"/>
      <c r="AT649" s="453"/>
      <c r="AU649" s="453">
        <v>40000</v>
      </c>
      <c r="AV649" s="453"/>
      <c r="AW649" s="453"/>
      <c r="AX649" s="453"/>
      <c r="AY649" s="453"/>
      <c r="AZ649" s="453"/>
      <c r="BA649" s="532"/>
      <c r="BB649" s="502"/>
      <c r="BC649" s="503"/>
      <c r="BD649" s="453"/>
      <c r="BE649" s="453"/>
      <c r="BF649" s="470"/>
      <c r="BG649" s="453"/>
      <c r="BH649" s="453"/>
      <c r="BI649" s="453"/>
      <c r="BJ649" s="453"/>
      <c r="BK649" s="453"/>
      <c r="BL649" s="453"/>
      <c r="BM649" s="502"/>
      <c r="BN649" s="503"/>
      <c r="BO649" s="470"/>
      <c r="BP649" s="574"/>
      <c r="BQ649" s="458"/>
      <c r="BR649" s="577"/>
      <c r="BS649" s="524"/>
      <c r="BT649" s="586"/>
    </row>
    <row r="650" s="435" customFormat="1" ht="18" customHeight="1" spans="1:72">
      <c r="A650" s="451" t="s">
        <v>4032</v>
      </c>
      <c r="B650" s="543">
        <v>45581</v>
      </c>
      <c r="C650" s="589">
        <v>1000023718</v>
      </c>
      <c r="D650" s="451"/>
      <c r="E650" s="457"/>
      <c r="F650" s="453"/>
      <c r="G650" s="453"/>
      <c r="H650" s="453"/>
      <c r="I650" s="453"/>
      <c r="J650" s="453"/>
      <c r="K650" s="453"/>
      <c r="L650" s="453"/>
      <c r="M650" s="453"/>
      <c r="N650" s="453"/>
      <c r="O650" s="453">
        <v>20001</v>
      </c>
      <c r="P650" s="453"/>
      <c r="Q650" s="453"/>
      <c r="R650" s="550"/>
      <c r="S650" s="453"/>
      <c r="T650" s="453"/>
      <c r="U650" s="453"/>
      <c r="V650" s="453"/>
      <c r="W650" s="453"/>
      <c r="X650" s="453"/>
      <c r="Y650" s="453"/>
      <c r="Z650" s="489"/>
      <c r="AA650" s="489"/>
      <c r="AB650" s="490"/>
      <c r="AC650" s="453"/>
      <c r="AD650" s="453"/>
      <c r="AE650" s="453"/>
      <c r="AF650" s="453"/>
      <c r="AG650" s="453"/>
      <c r="AH650" s="453"/>
      <c r="AI650" s="453"/>
      <c r="AJ650" s="453"/>
      <c r="AK650" s="453"/>
      <c r="AL650" s="453"/>
      <c r="AM650" s="453"/>
      <c r="AN650" s="453"/>
      <c r="AO650" s="453"/>
      <c r="AP650" s="453"/>
      <c r="AQ650" s="453"/>
      <c r="AR650" s="453"/>
      <c r="AS650" s="453"/>
      <c r="AT650" s="453"/>
      <c r="AU650" s="453"/>
      <c r="AV650" s="453"/>
      <c r="AW650" s="453"/>
      <c r="AX650" s="453"/>
      <c r="AY650" s="453"/>
      <c r="AZ650" s="453"/>
      <c r="BA650" s="532"/>
      <c r="BB650" s="502"/>
      <c r="BC650" s="503"/>
      <c r="BD650" s="453"/>
      <c r="BE650" s="453"/>
      <c r="BF650" s="470"/>
      <c r="BG650" s="453"/>
      <c r="BH650" s="453"/>
      <c r="BI650" s="453"/>
      <c r="BJ650" s="453"/>
      <c r="BK650" s="453"/>
      <c r="BL650" s="453"/>
      <c r="BM650" s="502"/>
      <c r="BN650" s="503"/>
      <c r="BO650" s="470"/>
      <c r="BP650" s="574"/>
      <c r="BQ650" s="458"/>
      <c r="BR650" s="577"/>
      <c r="BS650" s="524"/>
      <c r="BT650" s="586"/>
    </row>
    <row r="651" s="435" customFormat="1" ht="18" customHeight="1" spans="1:72">
      <c r="A651" s="451" t="s">
        <v>4032</v>
      </c>
      <c r="B651" s="543">
        <v>45581</v>
      </c>
      <c r="C651" s="589">
        <v>1000023719</v>
      </c>
      <c r="D651" s="451"/>
      <c r="E651" s="457"/>
      <c r="F651" s="453"/>
      <c r="G651" s="453"/>
      <c r="H651" s="453"/>
      <c r="I651" s="453"/>
      <c r="J651" s="453"/>
      <c r="K651" s="453"/>
      <c r="L651" s="453"/>
      <c r="M651" s="453"/>
      <c r="N651" s="453"/>
      <c r="O651" s="453"/>
      <c r="P651" s="453"/>
      <c r="Q651" s="453">
        <v>10001</v>
      </c>
      <c r="R651" s="550"/>
      <c r="S651" s="453"/>
      <c r="T651" s="453"/>
      <c r="U651" s="453"/>
      <c r="V651" s="453"/>
      <c r="W651" s="453"/>
      <c r="X651" s="453"/>
      <c r="Y651" s="453"/>
      <c r="Z651" s="489"/>
      <c r="AA651" s="489"/>
      <c r="AB651" s="490"/>
      <c r="AC651" s="453"/>
      <c r="AD651" s="453"/>
      <c r="AE651" s="453"/>
      <c r="AF651" s="453"/>
      <c r="AG651" s="453"/>
      <c r="AH651" s="453"/>
      <c r="AI651" s="453"/>
      <c r="AJ651" s="453"/>
      <c r="AK651" s="453"/>
      <c r="AL651" s="453"/>
      <c r="AM651" s="453"/>
      <c r="AN651" s="453"/>
      <c r="AO651" s="453"/>
      <c r="AP651" s="453"/>
      <c r="AQ651" s="453"/>
      <c r="AR651" s="453"/>
      <c r="AS651" s="453"/>
      <c r="AT651" s="453"/>
      <c r="AU651" s="453"/>
      <c r="AV651" s="453"/>
      <c r="AW651" s="453"/>
      <c r="AX651" s="453"/>
      <c r="AY651" s="453"/>
      <c r="AZ651" s="453"/>
      <c r="BA651" s="532"/>
      <c r="BB651" s="502"/>
      <c r="BC651" s="503"/>
      <c r="BD651" s="453"/>
      <c r="BE651" s="453"/>
      <c r="BF651" s="470"/>
      <c r="BG651" s="453"/>
      <c r="BH651" s="453"/>
      <c r="BI651" s="453"/>
      <c r="BJ651" s="453"/>
      <c r="BK651" s="453"/>
      <c r="BL651" s="453"/>
      <c r="BM651" s="502"/>
      <c r="BN651" s="503"/>
      <c r="BO651" s="470"/>
      <c r="BP651" s="574"/>
      <c r="BQ651" s="458"/>
      <c r="BR651" s="577"/>
      <c r="BS651" s="524"/>
      <c r="BT651" s="586"/>
    </row>
    <row r="652" s="435" customFormat="1" ht="18" customHeight="1" spans="1:72">
      <c r="A652" s="451" t="s">
        <v>4032</v>
      </c>
      <c r="B652" s="543">
        <v>45581</v>
      </c>
      <c r="C652" s="589">
        <v>1000023720</v>
      </c>
      <c r="D652" s="451"/>
      <c r="E652" s="457"/>
      <c r="F652" s="453"/>
      <c r="G652" s="453"/>
      <c r="H652" s="453"/>
      <c r="I652" s="453"/>
      <c r="J652" s="453"/>
      <c r="K652" s="453"/>
      <c r="L652" s="453"/>
      <c r="M652" s="453"/>
      <c r="N652" s="453"/>
      <c r="O652" s="453"/>
      <c r="P652" s="453"/>
      <c r="Q652" s="453"/>
      <c r="R652" s="550"/>
      <c r="S652" s="453"/>
      <c r="T652" s="453">
        <v>10001</v>
      </c>
      <c r="U652" s="453"/>
      <c r="V652" s="453"/>
      <c r="W652" s="453"/>
      <c r="X652" s="453"/>
      <c r="Y652" s="453"/>
      <c r="Z652" s="489"/>
      <c r="AA652" s="489"/>
      <c r="AB652" s="490"/>
      <c r="AC652" s="453"/>
      <c r="AD652" s="453"/>
      <c r="AE652" s="453"/>
      <c r="AF652" s="453"/>
      <c r="AG652" s="453"/>
      <c r="AH652" s="453"/>
      <c r="AI652" s="453"/>
      <c r="AJ652" s="453"/>
      <c r="AK652" s="453"/>
      <c r="AL652" s="453"/>
      <c r="AM652" s="453"/>
      <c r="AN652" s="453"/>
      <c r="AO652" s="453"/>
      <c r="AP652" s="453"/>
      <c r="AQ652" s="453"/>
      <c r="AR652" s="453"/>
      <c r="AS652" s="453"/>
      <c r="AT652" s="453"/>
      <c r="AU652" s="453"/>
      <c r="AV652" s="453"/>
      <c r="AW652" s="453"/>
      <c r="AX652" s="453"/>
      <c r="AY652" s="453"/>
      <c r="AZ652" s="453"/>
      <c r="BA652" s="532"/>
      <c r="BB652" s="502"/>
      <c r="BC652" s="503"/>
      <c r="BD652" s="453"/>
      <c r="BE652" s="453"/>
      <c r="BF652" s="470"/>
      <c r="BG652" s="453"/>
      <c r="BH652" s="453"/>
      <c r="BI652" s="453"/>
      <c r="BJ652" s="453"/>
      <c r="BK652" s="453"/>
      <c r="BL652" s="453"/>
      <c r="BM652" s="502"/>
      <c r="BN652" s="503"/>
      <c r="BO652" s="470"/>
      <c r="BP652" s="574"/>
      <c r="BQ652" s="458"/>
      <c r="BR652" s="577"/>
      <c r="BS652" s="524"/>
      <c r="BT652" s="586"/>
    </row>
    <row r="653" s="435" customFormat="1" ht="18" customHeight="1" spans="1:72">
      <c r="A653" s="451" t="s">
        <v>4032</v>
      </c>
      <c r="B653" s="543">
        <v>45582</v>
      </c>
      <c r="C653" s="589">
        <v>1000023740</v>
      </c>
      <c r="D653" s="451"/>
      <c r="E653" s="457"/>
      <c r="F653" s="453"/>
      <c r="G653" s="453"/>
      <c r="H653" s="453"/>
      <c r="I653" s="453"/>
      <c r="J653" s="453"/>
      <c r="K653" s="453"/>
      <c r="L653" s="453"/>
      <c r="M653" s="453"/>
      <c r="N653" s="453"/>
      <c r="O653" s="453"/>
      <c r="P653" s="453"/>
      <c r="Q653" s="453"/>
      <c r="R653" s="550"/>
      <c r="S653" s="453"/>
      <c r="T653" s="453"/>
      <c r="U653" s="453"/>
      <c r="V653" s="453">
        <v>6192</v>
      </c>
      <c r="W653" s="453"/>
      <c r="X653" s="453"/>
      <c r="Y653" s="453"/>
      <c r="Z653" s="596">
        <v>4500146463</v>
      </c>
      <c r="AA653" s="596">
        <f>V653-1200</f>
        <v>4992</v>
      </c>
      <c r="AB653" s="490"/>
      <c r="AC653" s="453"/>
      <c r="AD653" s="453"/>
      <c r="AE653" s="453"/>
      <c r="AF653" s="453"/>
      <c r="AG653" s="453"/>
      <c r="AH653" s="453"/>
      <c r="AI653" s="453"/>
      <c r="AJ653" s="453"/>
      <c r="AK653" s="453"/>
      <c r="AL653" s="453"/>
      <c r="AM653" s="453"/>
      <c r="AN653" s="453"/>
      <c r="AO653" s="453"/>
      <c r="AP653" s="453"/>
      <c r="AQ653" s="453"/>
      <c r="AR653" s="453"/>
      <c r="AS653" s="453"/>
      <c r="AT653" s="453"/>
      <c r="AU653" s="453"/>
      <c r="AV653" s="453"/>
      <c r="AW653" s="453"/>
      <c r="AX653" s="453"/>
      <c r="AY653" s="453"/>
      <c r="AZ653" s="453"/>
      <c r="BA653" s="532"/>
      <c r="BB653" s="502"/>
      <c r="BC653" s="503"/>
      <c r="BD653" s="453"/>
      <c r="BE653" s="453"/>
      <c r="BF653" s="470"/>
      <c r="BG653" s="453"/>
      <c r="BH653" s="453"/>
      <c r="BI653" s="453"/>
      <c r="BJ653" s="453"/>
      <c r="BK653" s="453"/>
      <c r="BL653" s="453"/>
      <c r="BM653" s="502"/>
      <c r="BN653" s="503"/>
      <c r="BO653" s="470"/>
      <c r="BP653" s="574"/>
      <c r="BQ653" s="458"/>
      <c r="BR653" s="577"/>
      <c r="BS653" s="524"/>
      <c r="BT653" s="586"/>
    </row>
    <row r="654" s="435" customFormat="1" ht="18" customHeight="1" spans="1:72">
      <c r="A654" s="451" t="s">
        <v>4032</v>
      </c>
      <c r="B654" s="543">
        <v>45582</v>
      </c>
      <c r="C654" s="589">
        <v>1000023741</v>
      </c>
      <c r="D654" s="451"/>
      <c r="E654" s="457"/>
      <c r="F654" s="453"/>
      <c r="G654" s="453"/>
      <c r="H654" s="453"/>
      <c r="I654" s="453"/>
      <c r="J654" s="453"/>
      <c r="K654" s="453"/>
      <c r="L654" s="453"/>
      <c r="M654" s="453"/>
      <c r="N654" s="453"/>
      <c r="O654" s="453"/>
      <c r="P654" s="453"/>
      <c r="Q654" s="453"/>
      <c r="R654" s="550"/>
      <c r="S654" s="453"/>
      <c r="T654" s="453"/>
      <c r="U654" s="453"/>
      <c r="V654" s="453"/>
      <c r="W654" s="453"/>
      <c r="X654" s="453">
        <v>3096</v>
      </c>
      <c r="Y654" s="453"/>
      <c r="Z654" s="596">
        <v>4500146463</v>
      </c>
      <c r="AA654" s="596">
        <f>X654-600</f>
        <v>2496</v>
      </c>
      <c r="AB654" s="490"/>
      <c r="AC654" s="453"/>
      <c r="AD654" s="453"/>
      <c r="AE654" s="453"/>
      <c r="AF654" s="453"/>
      <c r="AG654" s="453"/>
      <c r="AH654" s="453"/>
      <c r="AI654" s="453"/>
      <c r="AJ654" s="453"/>
      <c r="AK654" s="453"/>
      <c r="AL654" s="453"/>
      <c r="AM654" s="453"/>
      <c r="AN654" s="453"/>
      <c r="AO654" s="453"/>
      <c r="AP654" s="453"/>
      <c r="AQ654" s="453"/>
      <c r="AR654" s="453"/>
      <c r="AS654" s="453"/>
      <c r="AT654" s="453"/>
      <c r="AU654" s="453"/>
      <c r="AV654" s="453"/>
      <c r="AW654" s="453"/>
      <c r="AX654" s="453"/>
      <c r="AY654" s="453"/>
      <c r="AZ654" s="453"/>
      <c r="BA654" s="532"/>
      <c r="BB654" s="502"/>
      <c r="BC654" s="503"/>
      <c r="BD654" s="453"/>
      <c r="BE654" s="453"/>
      <c r="BF654" s="470"/>
      <c r="BG654" s="453"/>
      <c r="BH654" s="453"/>
      <c r="BI654" s="453"/>
      <c r="BJ654" s="453"/>
      <c r="BK654" s="453"/>
      <c r="BL654" s="453"/>
      <c r="BM654" s="502"/>
      <c r="BN654" s="503"/>
      <c r="BO654" s="470"/>
      <c r="BP654" s="574"/>
      <c r="BQ654" s="458"/>
      <c r="BR654" s="577"/>
      <c r="BS654" s="524"/>
      <c r="BT654" s="586"/>
    </row>
    <row r="655" s="435" customFormat="1" ht="18" customHeight="1" spans="1:72">
      <c r="A655" s="451" t="s">
        <v>4032</v>
      </c>
      <c r="B655" s="543">
        <v>45590</v>
      </c>
      <c r="C655" s="589">
        <v>1000023954</v>
      </c>
      <c r="D655" s="451"/>
      <c r="E655" s="457"/>
      <c r="F655" s="453"/>
      <c r="G655" s="453"/>
      <c r="H655" s="453"/>
      <c r="I655" s="453"/>
      <c r="J655" s="453"/>
      <c r="K655" s="453"/>
      <c r="L655" s="453"/>
      <c r="M655" s="453"/>
      <c r="N655" s="453"/>
      <c r="O655" s="453"/>
      <c r="P655" s="453"/>
      <c r="Q655" s="453"/>
      <c r="R655" s="550"/>
      <c r="S655" s="453"/>
      <c r="T655" s="453"/>
      <c r="U655" s="453"/>
      <c r="V655" s="453">
        <v>46862</v>
      </c>
      <c r="W655" s="453"/>
      <c r="X655" s="453"/>
      <c r="Y655" s="453"/>
      <c r="Z655" s="489" t="s">
        <v>4098</v>
      </c>
      <c r="AA655" s="489"/>
      <c r="AB655" s="490"/>
      <c r="AC655" s="453"/>
      <c r="AD655" s="453"/>
      <c r="AE655" s="453"/>
      <c r="AF655" s="453"/>
      <c r="AG655" s="453"/>
      <c r="AH655" s="453"/>
      <c r="AI655" s="453"/>
      <c r="AJ655" s="453"/>
      <c r="AK655" s="453"/>
      <c r="AL655" s="453"/>
      <c r="AM655" s="453"/>
      <c r="AN655" s="453"/>
      <c r="AO655" s="453"/>
      <c r="AP655" s="453"/>
      <c r="AQ655" s="453"/>
      <c r="AR655" s="453"/>
      <c r="AS655" s="453"/>
      <c r="AT655" s="453"/>
      <c r="AU655" s="453"/>
      <c r="AV655" s="453"/>
      <c r="AW655" s="453"/>
      <c r="AX655" s="453"/>
      <c r="AY655" s="453"/>
      <c r="AZ655" s="453"/>
      <c r="BA655" s="532"/>
      <c r="BB655" s="502"/>
      <c r="BC655" s="503"/>
      <c r="BD655" s="453"/>
      <c r="BE655" s="453"/>
      <c r="BF655" s="470"/>
      <c r="BG655" s="453"/>
      <c r="BH655" s="453"/>
      <c r="BI655" s="453"/>
      <c r="BJ655" s="453"/>
      <c r="BK655" s="453"/>
      <c r="BL655" s="453"/>
      <c r="BM655" s="502"/>
      <c r="BN655" s="503"/>
      <c r="BO655" s="470"/>
      <c r="BP655" s="574"/>
      <c r="BQ655" s="458"/>
      <c r="BR655" s="577"/>
      <c r="BS655" s="524"/>
      <c r="BT655" s="586"/>
    </row>
    <row r="656" s="435" customFormat="1" ht="18" customHeight="1" spans="1:72">
      <c r="A656" s="451" t="s">
        <v>4032</v>
      </c>
      <c r="B656" s="543">
        <v>45590</v>
      </c>
      <c r="C656" s="589">
        <v>1000023952</v>
      </c>
      <c r="D656" s="451"/>
      <c r="E656" s="457"/>
      <c r="F656" s="453"/>
      <c r="G656" s="453"/>
      <c r="H656" s="453"/>
      <c r="I656" s="453"/>
      <c r="J656" s="453"/>
      <c r="K656" s="453"/>
      <c r="L656" s="453"/>
      <c r="M656" s="453"/>
      <c r="N656" s="453"/>
      <c r="O656" s="453"/>
      <c r="P656" s="453"/>
      <c r="Q656" s="453"/>
      <c r="R656" s="550"/>
      <c r="S656" s="453"/>
      <c r="T656" s="453"/>
      <c r="U656" s="453"/>
      <c r="V656" s="453"/>
      <c r="W656" s="453"/>
      <c r="X656" s="453"/>
      <c r="Y656" s="453"/>
      <c r="Z656" s="597"/>
      <c r="AA656" s="489"/>
      <c r="AB656" s="490"/>
      <c r="AC656" s="453"/>
      <c r="AD656" s="453"/>
      <c r="AE656" s="453"/>
      <c r="AF656" s="453"/>
      <c r="AG656" s="453"/>
      <c r="AH656" s="453"/>
      <c r="AI656" s="453"/>
      <c r="AJ656" s="453"/>
      <c r="AK656" s="453"/>
      <c r="AL656" s="453"/>
      <c r="AM656" s="453"/>
      <c r="AN656" s="453"/>
      <c r="AO656" s="453"/>
      <c r="AP656" s="453"/>
      <c r="AQ656" s="453"/>
      <c r="AR656" s="453"/>
      <c r="AS656" s="453"/>
      <c r="AT656" s="453"/>
      <c r="AU656" s="453"/>
      <c r="AV656" s="453"/>
      <c r="AW656" s="453"/>
      <c r="AX656" s="453"/>
      <c r="AY656" s="453"/>
      <c r="AZ656" s="453">
        <v>3520</v>
      </c>
      <c r="BA656" s="532"/>
      <c r="BB656" s="502"/>
      <c r="BC656" s="503"/>
      <c r="BD656" s="453"/>
      <c r="BE656" s="453"/>
      <c r="BF656" s="470"/>
      <c r="BG656" s="453"/>
      <c r="BH656" s="453"/>
      <c r="BI656" s="453"/>
      <c r="BJ656" s="453"/>
      <c r="BK656" s="453"/>
      <c r="BL656" s="453"/>
      <c r="BM656" s="502"/>
      <c r="BN656" s="503"/>
      <c r="BO656" s="470"/>
      <c r="BP656" s="574"/>
      <c r="BQ656" s="458"/>
      <c r="BR656" s="577"/>
      <c r="BS656" s="524"/>
      <c r="BT656" s="590" t="s">
        <v>4099</v>
      </c>
    </row>
    <row r="657" s="435" customFormat="1" ht="18" customHeight="1" spans="1:72">
      <c r="A657" s="451" t="s">
        <v>4032</v>
      </c>
      <c r="B657" s="543">
        <v>45590</v>
      </c>
      <c r="C657" s="589">
        <v>1000023953</v>
      </c>
      <c r="D657" s="451"/>
      <c r="E657" s="457"/>
      <c r="F657" s="453"/>
      <c r="G657" s="453"/>
      <c r="H657" s="453"/>
      <c r="I657" s="453"/>
      <c r="J657" s="453"/>
      <c r="K657" s="453"/>
      <c r="L657" s="453"/>
      <c r="M657" s="453"/>
      <c r="N657" s="453"/>
      <c r="O657" s="453"/>
      <c r="P657" s="453"/>
      <c r="Q657" s="453"/>
      <c r="R657" s="550"/>
      <c r="S657" s="453"/>
      <c r="T657" s="453"/>
      <c r="U657" s="453"/>
      <c r="V657" s="453"/>
      <c r="W657" s="453"/>
      <c r="X657" s="453"/>
      <c r="Y657" s="453"/>
      <c r="Z657" s="597"/>
      <c r="AA657" s="489"/>
      <c r="AB657" s="490"/>
      <c r="AC657" s="453"/>
      <c r="AD657" s="453"/>
      <c r="AE657" s="453"/>
      <c r="AF657" s="453"/>
      <c r="AG657" s="453"/>
      <c r="AH657" s="453"/>
      <c r="AI657" s="453"/>
      <c r="AJ657" s="453"/>
      <c r="AK657" s="453"/>
      <c r="AL657" s="453"/>
      <c r="AM657" s="453"/>
      <c r="AN657" s="453"/>
      <c r="AO657" s="453"/>
      <c r="AP657" s="453"/>
      <c r="AQ657" s="453"/>
      <c r="AR657" s="453"/>
      <c r="AS657" s="453"/>
      <c r="AT657" s="453"/>
      <c r="AU657" s="453"/>
      <c r="AV657" s="453"/>
      <c r="AW657" s="453"/>
      <c r="AX657" s="453"/>
      <c r="AY657" s="453"/>
      <c r="AZ657" s="453"/>
      <c r="BA657" s="532"/>
      <c r="BB657" s="502">
        <v>1600</v>
      </c>
      <c r="BC657" s="503"/>
      <c r="BD657" s="453"/>
      <c r="BE657" s="453"/>
      <c r="BF657" s="470"/>
      <c r="BG657" s="453"/>
      <c r="BH657" s="453"/>
      <c r="BI657" s="453"/>
      <c r="BJ657" s="453"/>
      <c r="BK657" s="453"/>
      <c r="BL657" s="453"/>
      <c r="BM657" s="502"/>
      <c r="BN657" s="503"/>
      <c r="BO657" s="470"/>
      <c r="BP657" s="574"/>
      <c r="BQ657" s="458"/>
      <c r="BR657" s="577"/>
      <c r="BS657" s="524"/>
      <c r="BT657" s="590" t="s">
        <v>4099</v>
      </c>
    </row>
    <row r="658" s="435" customFormat="1" ht="18" customHeight="1" spans="1:72">
      <c r="A658" s="451" t="s">
        <v>4032</v>
      </c>
      <c r="B658" s="543">
        <v>45594</v>
      </c>
      <c r="C658" s="589">
        <v>1000024047</v>
      </c>
      <c r="D658" s="451"/>
      <c r="E658" s="457"/>
      <c r="F658" s="453"/>
      <c r="G658" s="453"/>
      <c r="H658" s="453"/>
      <c r="I658" s="453"/>
      <c r="J658" s="453"/>
      <c r="K658" s="453"/>
      <c r="L658" s="453"/>
      <c r="M658" s="453"/>
      <c r="N658" s="453"/>
      <c r="O658" s="453"/>
      <c r="P658" s="453"/>
      <c r="Q658" s="453"/>
      <c r="R658" s="550"/>
      <c r="S658" s="453"/>
      <c r="T658" s="453"/>
      <c r="U658" s="453"/>
      <c r="V658" s="453"/>
      <c r="W658" s="453"/>
      <c r="X658" s="453"/>
      <c r="Y658" s="453"/>
      <c r="Z658" s="597"/>
      <c r="AA658" s="489"/>
      <c r="AB658" s="490"/>
      <c r="AC658" s="453"/>
      <c r="AD658" s="453"/>
      <c r="AE658" s="453"/>
      <c r="AF658" s="453">
        <v>20001</v>
      </c>
      <c r="AG658" s="453"/>
      <c r="AH658" s="453"/>
      <c r="AI658" s="453"/>
      <c r="AJ658" s="453"/>
      <c r="AK658" s="453"/>
      <c r="AL658" s="453"/>
      <c r="AM658" s="453"/>
      <c r="AN658" s="453"/>
      <c r="AO658" s="453"/>
      <c r="AP658" s="453"/>
      <c r="AQ658" s="453"/>
      <c r="AR658" s="453"/>
      <c r="AS658" s="453"/>
      <c r="AT658" s="453"/>
      <c r="AU658" s="453"/>
      <c r="AV658" s="453"/>
      <c r="AW658" s="453"/>
      <c r="AX658" s="453"/>
      <c r="AY658" s="453"/>
      <c r="AZ658" s="453"/>
      <c r="BA658" s="532"/>
      <c r="BB658" s="502"/>
      <c r="BC658" s="503"/>
      <c r="BD658" s="453"/>
      <c r="BE658" s="453"/>
      <c r="BF658" s="470"/>
      <c r="BG658" s="453"/>
      <c r="BH658" s="453"/>
      <c r="BI658" s="453"/>
      <c r="BJ658" s="453"/>
      <c r="BK658" s="453"/>
      <c r="BL658" s="453"/>
      <c r="BM658" s="502"/>
      <c r="BN658" s="503"/>
      <c r="BO658" s="470"/>
      <c r="BP658" s="574"/>
      <c r="BQ658" s="458"/>
      <c r="BR658" s="577"/>
      <c r="BS658" s="524"/>
      <c r="BT658" s="590"/>
    </row>
    <row r="659" s="435" customFormat="1" ht="18" customHeight="1" spans="1:72">
      <c r="A659" s="451" t="s">
        <v>4032</v>
      </c>
      <c r="B659" s="543">
        <v>45594</v>
      </c>
      <c r="C659" s="589">
        <v>1000024048</v>
      </c>
      <c r="D659" s="451"/>
      <c r="E659" s="457"/>
      <c r="F659" s="453"/>
      <c r="G659" s="453"/>
      <c r="H659" s="453"/>
      <c r="I659" s="453"/>
      <c r="J659" s="453"/>
      <c r="K659" s="453"/>
      <c r="L659" s="453"/>
      <c r="M659" s="453"/>
      <c r="N659" s="453"/>
      <c r="O659" s="453"/>
      <c r="P659" s="453"/>
      <c r="Q659" s="453"/>
      <c r="R659" s="550"/>
      <c r="S659" s="453"/>
      <c r="T659" s="453"/>
      <c r="U659" s="453"/>
      <c r="V659" s="453"/>
      <c r="W659" s="453"/>
      <c r="X659" s="453"/>
      <c r="Y659" s="453"/>
      <c r="Z659" s="597"/>
      <c r="AA659" s="489"/>
      <c r="AB659" s="490"/>
      <c r="AC659" s="453"/>
      <c r="AD659" s="453"/>
      <c r="AE659" s="453"/>
      <c r="AF659" s="453"/>
      <c r="AG659" s="453"/>
      <c r="AH659" s="453"/>
      <c r="AI659" s="453"/>
      <c r="AJ659" s="453"/>
      <c r="AK659" s="453"/>
      <c r="AL659" s="453"/>
      <c r="AM659" s="453"/>
      <c r="AN659" s="453"/>
      <c r="AO659" s="453"/>
      <c r="AP659" s="453"/>
      <c r="AQ659" s="453"/>
      <c r="AR659" s="453"/>
      <c r="AS659" s="453"/>
      <c r="AT659" s="453"/>
      <c r="AU659" s="453">
        <v>30000</v>
      </c>
      <c r="AV659" s="453"/>
      <c r="AW659" s="453"/>
      <c r="AX659" s="453"/>
      <c r="AY659" s="453"/>
      <c r="AZ659" s="453"/>
      <c r="BA659" s="532"/>
      <c r="BB659" s="502"/>
      <c r="BC659" s="503"/>
      <c r="BD659" s="453"/>
      <c r="BE659" s="453"/>
      <c r="BF659" s="470"/>
      <c r="BG659" s="453"/>
      <c r="BH659" s="453"/>
      <c r="BI659" s="453"/>
      <c r="BJ659" s="453"/>
      <c r="BK659" s="453"/>
      <c r="BL659" s="453"/>
      <c r="BM659" s="502"/>
      <c r="BN659" s="503"/>
      <c r="BO659" s="470"/>
      <c r="BP659" s="574"/>
      <c r="BQ659" s="458"/>
      <c r="BR659" s="577"/>
      <c r="BS659" s="524"/>
      <c r="BT659" s="590"/>
    </row>
    <row r="660" s="435" customFormat="1" ht="18" customHeight="1" spans="1:72">
      <c r="A660" s="451" t="s">
        <v>4032</v>
      </c>
      <c r="B660" s="543">
        <v>45594</v>
      </c>
      <c r="C660" s="589">
        <v>1000024043</v>
      </c>
      <c r="D660" s="451"/>
      <c r="E660" s="457"/>
      <c r="F660" s="453"/>
      <c r="G660" s="453"/>
      <c r="H660" s="453"/>
      <c r="I660" s="453"/>
      <c r="J660" s="453"/>
      <c r="K660" s="453"/>
      <c r="L660" s="453"/>
      <c r="M660" s="453"/>
      <c r="N660" s="453"/>
      <c r="O660" s="453">
        <v>20001</v>
      </c>
      <c r="P660" s="453"/>
      <c r="Q660" s="453"/>
      <c r="R660" s="550"/>
      <c r="S660" s="453"/>
      <c r="T660" s="453"/>
      <c r="U660" s="453"/>
      <c r="V660" s="453"/>
      <c r="W660" s="453"/>
      <c r="X660" s="453"/>
      <c r="Y660" s="453"/>
      <c r="Z660" s="597"/>
      <c r="AA660" s="489"/>
      <c r="AB660" s="490"/>
      <c r="AC660" s="453"/>
      <c r="AD660" s="453"/>
      <c r="AE660" s="453"/>
      <c r="AF660" s="453"/>
      <c r="AG660" s="453"/>
      <c r="AH660" s="453"/>
      <c r="AI660" s="453"/>
      <c r="AJ660" s="453"/>
      <c r="AK660" s="453"/>
      <c r="AL660" s="453"/>
      <c r="AM660" s="453"/>
      <c r="AN660" s="453"/>
      <c r="AO660" s="453"/>
      <c r="AP660" s="453"/>
      <c r="AQ660" s="453"/>
      <c r="AR660" s="453"/>
      <c r="AS660" s="453"/>
      <c r="AT660" s="453"/>
      <c r="AU660" s="453"/>
      <c r="AV660" s="453"/>
      <c r="AW660" s="453"/>
      <c r="AX660" s="453"/>
      <c r="AY660" s="453"/>
      <c r="AZ660" s="453"/>
      <c r="BA660" s="532"/>
      <c r="BB660" s="502"/>
      <c r="BC660" s="503"/>
      <c r="BD660" s="453"/>
      <c r="BE660" s="453"/>
      <c r="BF660" s="470"/>
      <c r="BG660" s="453"/>
      <c r="BH660" s="453"/>
      <c r="BI660" s="453"/>
      <c r="BJ660" s="453"/>
      <c r="BK660" s="453"/>
      <c r="BL660" s="453"/>
      <c r="BM660" s="502"/>
      <c r="BN660" s="503"/>
      <c r="BO660" s="470"/>
      <c r="BP660" s="574"/>
      <c r="BQ660" s="458"/>
      <c r="BR660" s="577"/>
      <c r="BS660" s="524"/>
      <c r="BT660" s="590"/>
    </row>
    <row r="661" s="435" customFormat="1" ht="18" customHeight="1" spans="1:72">
      <c r="A661" s="451" t="s">
        <v>4032</v>
      </c>
      <c r="B661" s="543">
        <v>45594</v>
      </c>
      <c r="C661" s="589">
        <v>1000024044</v>
      </c>
      <c r="D661" s="451"/>
      <c r="E661" s="457"/>
      <c r="F661" s="453"/>
      <c r="G661" s="453"/>
      <c r="H661" s="453"/>
      <c r="I661" s="453"/>
      <c r="J661" s="453"/>
      <c r="K661" s="453"/>
      <c r="L661" s="453"/>
      <c r="M661" s="453"/>
      <c r="N661" s="453"/>
      <c r="O661" s="453"/>
      <c r="P661" s="453">
        <v>5001</v>
      </c>
      <c r="Q661" s="453"/>
      <c r="R661" s="550"/>
      <c r="S661" s="453"/>
      <c r="T661" s="453"/>
      <c r="U661" s="453"/>
      <c r="V661" s="453"/>
      <c r="W661" s="453"/>
      <c r="X661" s="453"/>
      <c r="Y661" s="453"/>
      <c r="Z661" s="597"/>
      <c r="AA661" s="489"/>
      <c r="AB661" s="490"/>
      <c r="AC661" s="453"/>
      <c r="AD661" s="453"/>
      <c r="AE661" s="453"/>
      <c r="AF661" s="453"/>
      <c r="AG661" s="453"/>
      <c r="AH661" s="453"/>
      <c r="AI661" s="453"/>
      <c r="AJ661" s="453"/>
      <c r="AK661" s="453"/>
      <c r="AL661" s="453"/>
      <c r="AM661" s="453"/>
      <c r="AN661" s="453"/>
      <c r="AO661" s="453"/>
      <c r="AP661" s="453"/>
      <c r="AQ661" s="453"/>
      <c r="AR661" s="453"/>
      <c r="AS661" s="453"/>
      <c r="AT661" s="453"/>
      <c r="AU661" s="453"/>
      <c r="AV661" s="453"/>
      <c r="AW661" s="453"/>
      <c r="AX661" s="453"/>
      <c r="AY661" s="453"/>
      <c r="AZ661" s="453"/>
      <c r="BA661" s="532"/>
      <c r="BB661" s="502"/>
      <c r="BC661" s="503"/>
      <c r="BD661" s="453"/>
      <c r="BE661" s="453"/>
      <c r="BF661" s="470"/>
      <c r="BG661" s="453"/>
      <c r="BH661" s="453"/>
      <c r="BI661" s="453"/>
      <c r="BJ661" s="453"/>
      <c r="BK661" s="453"/>
      <c r="BL661" s="453"/>
      <c r="BM661" s="502"/>
      <c r="BN661" s="503"/>
      <c r="BO661" s="470"/>
      <c r="BP661" s="574"/>
      <c r="BQ661" s="458"/>
      <c r="BR661" s="577"/>
      <c r="BS661" s="524"/>
      <c r="BT661" s="590"/>
    </row>
    <row r="662" s="435" customFormat="1" ht="18" customHeight="1" spans="1:72">
      <c r="A662" s="451" t="s">
        <v>4032</v>
      </c>
      <c r="B662" s="543">
        <v>45594</v>
      </c>
      <c r="C662" s="589">
        <v>1000024045</v>
      </c>
      <c r="D662" s="451"/>
      <c r="E662" s="457"/>
      <c r="F662" s="453"/>
      <c r="G662" s="453"/>
      <c r="H662" s="453"/>
      <c r="I662" s="453"/>
      <c r="J662" s="453"/>
      <c r="K662" s="453"/>
      <c r="L662" s="453"/>
      <c r="M662" s="453"/>
      <c r="N662" s="453"/>
      <c r="O662" s="453"/>
      <c r="P662" s="453"/>
      <c r="Q662" s="453">
        <v>5001</v>
      </c>
      <c r="R662" s="550"/>
      <c r="S662" s="453"/>
      <c r="T662" s="453"/>
      <c r="U662" s="453"/>
      <c r="V662" s="453"/>
      <c r="W662" s="453"/>
      <c r="X662" s="453"/>
      <c r="Y662" s="453"/>
      <c r="Z662" s="597"/>
      <c r="AA662" s="489"/>
      <c r="AB662" s="490"/>
      <c r="AC662" s="453"/>
      <c r="AD662" s="453"/>
      <c r="AE662" s="453"/>
      <c r="AF662" s="453"/>
      <c r="AG662" s="453"/>
      <c r="AH662" s="453"/>
      <c r="AI662" s="453"/>
      <c r="AJ662" s="453"/>
      <c r="AK662" s="453"/>
      <c r="AL662" s="453"/>
      <c r="AM662" s="453"/>
      <c r="AN662" s="453"/>
      <c r="AO662" s="453"/>
      <c r="AP662" s="453"/>
      <c r="AQ662" s="453"/>
      <c r="AR662" s="453"/>
      <c r="AS662" s="453"/>
      <c r="AT662" s="453"/>
      <c r="AU662" s="453"/>
      <c r="AV662" s="453"/>
      <c r="AW662" s="453"/>
      <c r="AX662" s="453"/>
      <c r="AY662" s="453"/>
      <c r="AZ662" s="453"/>
      <c r="BA662" s="532"/>
      <c r="BB662" s="502"/>
      <c r="BC662" s="503"/>
      <c r="BD662" s="453"/>
      <c r="BE662" s="453"/>
      <c r="BF662" s="470"/>
      <c r="BG662" s="453"/>
      <c r="BH662" s="453"/>
      <c r="BI662" s="453"/>
      <c r="BJ662" s="453"/>
      <c r="BK662" s="453"/>
      <c r="BL662" s="453"/>
      <c r="BM662" s="502"/>
      <c r="BN662" s="503"/>
      <c r="BO662" s="470"/>
      <c r="BP662" s="574"/>
      <c r="BQ662" s="458"/>
      <c r="BR662" s="577"/>
      <c r="BS662" s="524"/>
      <c r="BT662" s="590"/>
    </row>
    <row r="663" s="435" customFormat="1" ht="18" customHeight="1" spans="1:72">
      <c r="A663" s="451" t="s">
        <v>4032</v>
      </c>
      <c r="B663" s="543">
        <v>45594</v>
      </c>
      <c r="C663" s="589">
        <v>1000024046</v>
      </c>
      <c r="D663" s="451"/>
      <c r="E663" s="457"/>
      <c r="F663" s="453"/>
      <c r="G663" s="453"/>
      <c r="H663" s="453"/>
      <c r="I663" s="453"/>
      <c r="J663" s="453"/>
      <c r="K663" s="453"/>
      <c r="L663" s="453"/>
      <c r="M663" s="453"/>
      <c r="N663" s="453"/>
      <c r="O663" s="453"/>
      <c r="P663" s="453"/>
      <c r="Q663" s="453"/>
      <c r="R663" s="550"/>
      <c r="S663" s="453"/>
      <c r="T663" s="453">
        <v>50000</v>
      </c>
      <c r="U663" s="453"/>
      <c r="V663" s="453"/>
      <c r="W663" s="453"/>
      <c r="X663" s="453"/>
      <c r="Y663" s="453"/>
      <c r="Z663" s="597"/>
      <c r="AA663" s="489"/>
      <c r="AB663" s="490"/>
      <c r="AC663" s="453"/>
      <c r="AD663" s="453"/>
      <c r="AE663" s="453"/>
      <c r="AF663" s="453"/>
      <c r="AG663" s="453"/>
      <c r="AH663" s="453"/>
      <c r="AI663" s="453"/>
      <c r="AJ663" s="453"/>
      <c r="AK663" s="453"/>
      <c r="AL663" s="453"/>
      <c r="AM663" s="453"/>
      <c r="AN663" s="453"/>
      <c r="AO663" s="453"/>
      <c r="AP663" s="453"/>
      <c r="AQ663" s="453"/>
      <c r="AR663" s="453"/>
      <c r="AS663" s="453"/>
      <c r="AT663" s="453"/>
      <c r="AU663" s="453"/>
      <c r="AV663" s="453"/>
      <c r="AW663" s="453"/>
      <c r="AX663" s="453"/>
      <c r="AY663" s="453"/>
      <c r="AZ663" s="453"/>
      <c r="BA663" s="532"/>
      <c r="BB663" s="502"/>
      <c r="BC663" s="503"/>
      <c r="BD663" s="453"/>
      <c r="BE663" s="453"/>
      <c r="BF663" s="470"/>
      <c r="BG663" s="453"/>
      <c r="BH663" s="453"/>
      <c r="BI663" s="453"/>
      <c r="BJ663" s="453"/>
      <c r="BK663" s="453"/>
      <c r="BL663" s="453"/>
      <c r="BM663" s="502"/>
      <c r="BN663" s="503"/>
      <c r="BO663" s="470"/>
      <c r="BP663" s="574"/>
      <c r="BQ663" s="458"/>
      <c r="BR663" s="577"/>
      <c r="BS663" s="524"/>
      <c r="BT663" s="590"/>
    </row>
    <row r="664" s="435" customFormat="1" ht="18" customHeight="1" spans="1:72">
      <c r="A664" s="451" t="s">
        <v>4032</v>
      </c>
      <c r="B664" s="543">
        <v>45594</v>
      </c>
      <c r="C664" s="593">
        <v>1000024049</v>
      </c>
      <c r="D664" s="451"/>
      <c r="E664" s="457"/>
      <c r="F664" s="453"/>
      <c r="G664" s="453"/>
      <c r="H664" s="453"/>
      <c r="I664" s="453"/>
      <c r="J664" s="453"/>
      <c r="K664" s="453"/>
      <c r="L664" s="453"/>
      <c r="M664" s="453"/>
      <c r="N664" s="453"/>
      <c r="O664" s="453"/>
      <c r="P664" s="453"/>
      <c r="Q664" s="453"/>
      <c r="R664" s="550"/>
      <c r="S664" s="453"/>
      <c r="T664" s="453"/>
      <c r="U664" s="453"/>
      <c r="V664" s="453"/>
      <c r="W664" s="453"/>
      <c r="X664" s="453"/>
      <c r="Y664" s="453"/>
      <c r="Z664" s="597"/>
      <c r="AA664" s="489"/>
      <c r="AB664" s="490"/>
      <c r="AC664" s="453"/>
      <c r="AD664" s="453"/>
      <c r="AE664" s="453"/>
      <c r="AF664" s="453"/>
      <c r="AG664" s="453"/>
      <c r="AH664" s="453"/>
      <c r="AI664" s="453"/>
      <c r="AJ664" s="453"/>
      <c r="AK664" s="453"/>
      <c r="AL664" s="453"/>
      <c r="AM664" s="453"/>
      <c r="AN664" s="453"/>
      <c r="AO664" s="453"/>
      <c r="AP664" s="453"/>
      <c r="AQ664" s="453"/>
      <c r="AR664" s="453"/>
      <c r="AS664" s="453"/>
      <c r="AT664" s="453"/>
      <c r="AU664" s="453"/>
      <c r="AV664" s="453"/>
      <c r="AW664" s="453"/>
      <c r="AX664" s="453"/>
      <c r="AY664" s="453"/>
      <c r="AZ664" s="453"/>
      <c r="BA664" s="532"/>
      <c r="BB664" s="502"/>
      <c r="BC664" s="503"/>
      <c r="BD664" s="453"/>
      <c r="BE664" s="453"/>
      <c r="BF664" s="470"/>
      <c r="BG664" s="550"/>
      <c r="BH664" s="453"/>
      <c r="BI664" s="453">
        <v>10001</v>
      </c>
      <c r="BJ664" s="453"/>
      <c r="BK664" s="453"/>
      <c r="BL664" s="453"/>
      <c r="BM664" s="502"/>
      <c r="BN664" s="503"/>
      <c r="BO664" s="470"/>
      <c r="BP664" s="574"/>
      <c r="BQ664" s="458"/>
      <c r="BR664" s="577"/>
      <c r="BS664" s="524"/>
      <c r="BT664" s="590"/>
    </row>
    <row r="665" s="435" customFormat="1" ht="18" customHeight="1" spans="1:72">
      <c r="A665" s="451" t="s">
        <v>4032</v>
      </c>
      <c r="B665" s="543">
        <v>45594</v>
      </c>
      <c r="C665" s="593">
        <v>1000024050</v>
      </c>
      <c r="D665" s="451"/>
      <c r="E665" s="457"/>
      <c r="F665" s="453"/>
      <c r="G665" s="453"/>
      <c r="H665" s="453"/>
      <c r="I665" s="453"/>
      <c r="J665" s="453"/>
      <c r="K665" s="453"/>
      <c r="L665" s="453"/>
      <c r="M665" s="453"/>
      <c r="N665" s="453"/>
      <c r="O665" s="453"/>
      <c r="P665" s="453"/>
      <c r="Q665" s="453"/>
      <c r="R665" s="550"/>
      <c r="S665" s="453"/>
      <c r="T665" s="453"/>
      <c r="U665" s="453"/>
      <c r="V665" s="453"/>
      <c r="W665" s="453"/>
      <c r="X665" s="453"/>
      <c r="Y665" s="453"/>
      <c r="Z665" s="597"/>
      <c r="AA665" s="489"/>
      <c r="AB665" s="490"/>
      <c r="AC665" s="453"/>
      <c r="AD665" s="453"/>
      <c r="AE665" s="453"/>
      <c r="AF665" s="453"/>
      <c r="AG665" s="453"/>
      <c r="AH665" s="453"/>
      <c r="AI665" s="453"/>
      <c r="AJ665" s="453"/>
      <c r="AK665" s="453"/>
      <c r="AL665" s="453"/>
      <c r="AM665" s="453"/>
      <c r="AN665" s="453"/>
      <c r="AO665" s="453"/>
      <c r="AP665" s="453"/>
      <c r="AQ665" s="453"/>
      <c r="AR665" s="453"/>
      <c r="AS665" s="453"/>
      <c r="AT665" s="453"/>
      <c r="AU665" s="453"/>
      <c r="AV665" s="453"/>
      <c r="AW665" s="453"/>
      <c r="AX665" s="453"/>
      <c r="AY665" s="453"/>
      <c r="AZ665" s="453"/>
      <c r="BA665" s="532"/>
      <c r="BB665" s="502"/>
      <c r="BC665" s="503"/>
      <c r="BD665" s="453"/>
      <c r="BE665" s="453"/>
      <c r="BF665" s="470"/>
      <c r="BG665" s="453"/>
      <c r="BH665" s="453"/>
      <c r="BI665" s="453"/>
      <c r="BJ665" s="453">
        <v>1000</v>
      </c>
      <c r="BK665" s="453"/>
      <c r="BL665" s="453"/>
      <c r="BM665" s="502"/>
      <c r="BN665" s="503"/>
      <c r="BO665" s="470"/>
      <c r="BP665" s="574"/>
      <c r="BQ665" s="458"/>
      <c r="BR665" s="577"/>
      <c r="BS665" s="524"/>
      <c r="BT665" s="590"/>
    </row>
    <row r="666" s="435" customFormat="1" ht="18" customHeight="1" spans="1:72">
      <c r="A666" s="451" t="s">
        <v>4032</v>
      </c>
      <c r="B666" s="543">
        <v>45594</v>
      </c>
      <c r="C666" s="593">
        <v>1000024058</v>
      </c>
      <c r="D666" s="451"/>
      <c r="E666" s="457"/>
      <c r="F666" s="453"/>
      <c r="G666" s="453"/>
      <c r="H666" s="453"/>
      <c r="I666" s="453"/>
      <c r="J666" s="453"/>
      <c r="K666" s="453"/>
      <c r="L666" s="453"/>
      <c r="M666" s="453"/>
      <c r="N666" s="453"/>
      <c r="O666" s="453"/>
      <c r="P666" s="453"/>
      <c r="Q666" s="453"/>
      <c r="R666" s="550"/>
      <c r="S666" s="453"/>
      <c r="T666" s="453"/>
      <c r="U666" s="453"/>
      <c r="V666" s="453"/>
      <c r="W666" s="453"/>
      <c r="X666" s="453"/>
      <c r="Y666" s="453"/>
      <c r="Z666" s="597"/>
      <c r="AA666" s="489"/>
      <c r="AB666" s="490"/>
      <c r="AC666" s="453"/>
      <c r="AD666" s="453"/>
      <c r="AE666" s="453"/>
      <c r="AF666" s="453"/>
      <c r="AG666" s="453"/>
      <c r="AH666" s="453"/>
      <c r="AI666" s="453"/>
      <c r="AJ666" s="453"/>
      <c r="AK666" s="453"/>
      <c r="AL666" s="453"/>
      <c r="AM666" s="453"/>
      <c r="AN666" s="453"/>
      <c r="AO666" s="453"/>
      <c r="AP666" s="453"/>
      <c r="AQ666" s="453"/>
      <c r="AR666" s="453"/>
      <c r="AS666" s="453"/>
      <c r="AT666" s="453"/>
      <c r="AU666" s="453"/>
      <c r="AV666" s="453"/>
      <c r="AW666" s="453"/>
      <c r="AX666" s="453"/>
      <c r="AY666" s="453"/>
      <c r="AZ666" s="453"/>
      <c r="BA666" s="532"/>
      <c r="BB666" s="502"/>
      <c r="BC666" s="503"/>
      <c r="BD666" s="453"/>
      <c r="BE666" s="453"/>
      <c r="BF666" s="470"/>
      <c r="BG666" s="453"/>
      <c r="BH666" s="453"/>
      <c r="BI666" s="453"/>
      <c r="BJ666" s="453"/>
      <c r="BK666" s="453"/>
      <c r="BL666" s="453"/>
      <c r="BM666" s="502"/>
      <c r="BN666" s="503"/>
      <c r="BO666" s="470"/>
      <c r="BP666" s="574"/>
      <c r="BQ666" s="458">
        <v>6174</v>
      </c>
      <c r="BR666" s="577"/>
      <c r="BS666" s="524"/>
      <c r="BT666" s="590"/>
    </row>
    <row r="667" s="435" customFormat="1" ht="18" customHeight="1" spans="1:72">
      <c r="A667" s="451" t="s">
        <v>4032</v>
      </c>
      <c r="B667" s="543">
        <v>45596</v>
      </c>
      <c r="C667" s="594" t="s">
        <v>4076</v>
      </c>
      <c r="D667" s="451"/>
      <c r="E667" s="457"/>
      <c r="F667" s="453"/>
      <c r="G667" s="453"/>
      <c r="H667" s="453"/>
      <c r="I667" s="453"/>
      <c r="J667" s="453"/>
      <c r="K667" s="453"/>
      <c r="L667" s="453"/>
      <c r="M667" s="453"/>
      <c r="N667" s="453"/>
      <c r="O667" s="453"/>
      <c r="P667" s="453"/>
      <c r="Q667" s="453"/>
      <c r="R667" s="550"/>
      <c r="S667" s="453"/>
      <c r="T667" s="453"/>
      <c r="U667" s="453"/>
      <c r="V667" s="453"/>
      <c r="W667" s="453"/>
      <c r="X667" s="453"/>
      <c r="Y667" s="453"/>
      <c r="Z667" s="597"/>
      <c r="AA667" s="489"/>
      <c r="AB667" s="490"/>
      <c r="AC667" s="453"/>
      <c r="AD667" s="453"/>
      <c r="AE667" s="453"/>
      <c r="AF667" s="453"/>
      <c r="AG667" s="453"/>
      <c r="AH667" s="453"/>
      <c r="AI667" s="453"/>
      <c r="AJ667" s="453"/>
      <c r="AK667" s="453"/>
      <c r="AL667" s="453"/>
      <c r="AM667" s="453"/>
      <c r="AN667" s="453"/>
      <c r="AO667" s="453"/>
      <c r="AP667" s="453"/>
      <c r="AQ667" s="453"/>
      <c r="AR667" s="453"/>
      <c r="AS667" s="453"/>
      <c r="AT667" s="453"/>
      <c r="AU667" s="453"/>
      <c r="AV667" s="453"/>
      <c r="AW667" s="453"/>
      <c r="AX667" s="453"/>
      <c r="AY667" s="453">
        <v>10002</v>
      </c>
      <c r="AZ667" s="453"/>
      <c r="BA667" s="532"/>
      <c r="BB667" s="502"/>
      <c r="BC667" s="503"/>
      <c r="BD667" s="453"/>
      <c r="BE667" s="453"/>
      <c r="BF667" s="470"/>
      <c r="BG667" s="453"/>
      <c r="BH667" s="453"/>
      <c r="BI667" s="453"/>
      <c r="BJ667" s="453"/>
      <c r="BK667" s="453"/>
      <c r="BL667" s="453"/>
      <c r="BM667" s="502"/>
      <c r="BN667" s="503"/>
      <c r="BO667" s="470"/>
      <c r="BP667" s="574"/>
      <c r="BQ667" s="458"/>
      <c r="BR667" s="577"/>
      <c r="BS667" s="524"/>
      <c r="BT667" s="590" t="s">
        <v>4100</v>
      </c>
    </row>
    <row r="668" s="435" customFormat="1" ht="18" customHeight="1" spans="1:72">
      <c r="A668" s="451" t="s">
        <v>4032</v>
      </c>
      <c r="B668" s="543">
        <v>45603</v>
      </c>
      <c r="C668" s="589">
        <v>1000024257</v>
      </c>
      <c r="D668" s="451"/>
      <c r="E668" s="457"/>
      <c r="F668" s="453"/>
      <c r="G668" s="453"/>
      <c r="H668" s="453"/>
      <c r="I668" s="453"/>
      <c r="J668" s="453"/>
      <c r="K668" s="453"/>
      <c r="L668" s="453"/>
      <c r="M668" s="453"/>
      <c r="N668" s="453"/>
      <c r="O668" s="453"/>
      <c r="P668" s="453"/>
      <c r="Q668" s="453"/>
      <c r="R668" s="550"/>
      <c r="S668" s="453"/>
      <c r="T668" s="453"/>
      <c r="U668" s="453"/>
      <c r="V668" s="453"/>
      <c r="W668" s="453"/>
      <c r="X668" s="453"/>
      <c r="Y668" s="453"/>
      <c r="Z668" s="597"/>
      <c r="AA668" s="489"/>
      <c r="AB668" s="490"/>
      <c r="AC668" s="453"/>
      <c r="AD668" s="453"/>
      <c r="AE668" s="453"/>
      <c r="AF668" s="453"/>
      <c r="AG668" s="453"/>
      <c r="AH668" s="453"/>
      <c r="AI668" s="453"/>
      <c r="AJ668" s="453"/>
      <c r="AK668" s="453"/>
      <c r="AL668" s="453"/>
      <c r="AM668" s="453"/>
      <c r="AN668" s="453"/>
      <c r="AO668" s="453"/>
      <c r="AP668" s="453"/>
      <c r="AQ668" s="453"/>
      <c r="AR668" s="453"/>
      <c r="AS668" s="453"/>
      <c r="AT668" s="453"/>
      <c r="AU668" s="453"/>
      <c r="AV668" s="453"/>
      <c r="AW668" s="453"/>
      <c r="AX668" s="453"/>
      <c r="AY668" s="453"/>
      <c r="AZ668" s="453">
        <v>4480</v>
      </c>
      <c r="BA668" s="532"/>
      <c r="BB668" s="502"/>
      <c r="BC668" s="503"/>
      <c r="BD668" s="453"/>
      <c r="BE668" s="453"/>
      <c r="BF668" s="470"/>
      <c r="BG668" s="453"/>
      <c r="BH668" s="453"/>
      <c r="BI668" s="453"/>
      <c r="BJ668" s="453"/>
      <c r="BK668" s="453"/>
      <c r="BL668" s="453"/>
      <c r="BM668" s="502"/>
      <c r="BN668" s="503"/>
      <c r="BO668" s="470"/>
      <c r="BP668" s="574"/>
      <c r="BQ668" s="458"/>
      <c r="BR668" s="577"/>
      <c r="BS668" s="524"/>
      <c r="BT668" s="590" t="s">
        <v>4101</v>
      </c>
    </row>
    <row r="669" s="435" customFormat="1" ht="18" customHeight="1" spans="1:72">
      <c r="A669" s="451" t="s">
        <v>4032</v>
      </c>
      <c r="B669" s="543">
        <v>45603</v>
      </c>
      <c r="C669" s="589">
        <v>1000024258</v>
      </c>
      <c r="D669" s="451"/>
      <c r="E669" s="457"/>
      <c r="F669" s="453"/>
      <c r="G669" s="453"/>
      <c r="H669" s="453"/>
      <c r="I669" s="453"/>
      <c r="J669" s="453"/>
      <c r="K669" s="453"/>
      <c r="L669" s="453"/>
      <c r="M669" s="453"/>
      <c r="N669" s="453"/>
      <c r="O669" s="453"/>
      <c r="P669" s="453"/>
      <c r="Q669" s="453"/>
      <c r="R669" s="550"/>
      <c r="S669" s="453"/>
      <c r="T669" s="453"/>
      <c r="U669" s="453"/>
      <c r="V669" s="453"/>
      <c r="W669" s="453"/>
      <c r="X669" s="453"/>
      <c r="Y669" s="453"/>
      <c r="Z669" s="597"/>
      <c r="AA669" s="489"/>
      <c r="AB669" s="490"/>
      <c r="AC669" s="453"/>
      <c r="AD669" s="453"/>
      <c r="AE669" s="453"/>
      <c r="AF669" s="453"/>
      <c r="AG669" s="453"/>
      <c r="AH669" s="453"/>
      <c r="AI669" s="453"/>
      <c r="AJ669" s="453"/>
      <c r="AK669" s="453"/>
      <c r="AL669" s="453"/>
      <c r="AM669" s="453"/>
      <c r="AN669" s="453"/>
      <c r="AO669" s="453"/>
      <c r="AP669" s="453"/>
      <c r="AQ669" s="453"/>
      <c r="AR669" s="453"/>
      <c r="AS669" s="453"/>
      <c r="AT669" s="453"/>
      <c r="AU669" s="453"/>
      <c r="AV669" s="453"/>
      <c r="AW669" s="453"/>
      <c r="AX669" s="453"/>
      <c r="AY669" s="453"/>
      <c r="AZ669" s="453"/>
      <c r="BA669" s="532"/>
      <c r="BB669" s="502">
        <v>2240</v>
      </c>
      <c r="BC669" s="503"/>
      <c r="BD669" s="453"/>
      <c r="BE669" s="453"/>
      <c r="BF669" s="470"/>
      <c r="BG669" s="453"/>
      <c r="BH669" s="453"/>
      <c r="BI669" s="453"/>
      <c r="BJ669" s="453"/>
      <c r="BK669" s="453"/>
      <c r="BL669" s="453"/>
      <c r="BM669" s="502"/>
      <c r="BN669" s="503"/>
      <c r="BO669" s="470"/>
      <c r="BP669" s="574"/>
      <c r="BQ669" s="458"/>
      <c r="BR669" s="577"/>
      <c r="BS669" s="524"/>
      <c r="BT669" s="590" t="s">
        <v>4102</v>
      </c>
    </row>
    <row r="670" s="435" customFormat="1" ht="18" customHeight="1" spans="1:72">
      <c r="A670" s="451" t="s">
        <v>4032</v>
      </c>
      <c r="B670" s="543">
        <v>45603</v>
      </c>
      <c r="C670" s="589">
        <v>1000024285</v>
      </c>
      <c r="D670" s="451"/>
      <c r="E670" s="457"/>
      <c r="F670" s="453"/>
      <c r="G670" s="453"/>
      <c r="H670" s="453"/>
      <c r="I670" s="453"/>
      <c r="J670" s="453"/>
      <c r="K670" s="453"/>
      <c r="L670" s="453"/>
      <c r="M670" s="453"/>
      <c r="N670" s="453"/>
      <c r="O670" s="453"/>
      <c r="P670" s="453"/>
      <c r="Q670" s="453"/>
      <c r="R670" s="550"/>
      <c r="S670" s="453"/>
      <c r="T670" s="453"/>
      <c r="U670" s="453"/>
      <c r="V670" s="453">
        <v>3444</v>
      </c>
      <c r="W670" s="453"/>
      <c r="X670" s="453"/>
      <c r="Y670" s="453"/>
      <c r="Z670" s="597" t="s">
        <v>4103</v>
      </c>
      <c r="AA670" s="489"/>
      <c r="AB670" s="490"/>
      <c r="AC670" s="453"/>
      <c r="AD670" s="453"/>
      <c r="AE670" s="453"/>
      <c r="AF670" s="453"/>
      <c r="AG670" s="453"/>
      <c r="AH670" s="453"/>
      <c r="AI670" s="453"/>
      <c r="AJ670" s="453"/>
      <c r="AK670" s="453"/>
      <c r="AL670" s="453"/>
      <c r="AM670" s="453"/>
      <c r="AN670" s="453"/>
      <c r="AO670" s="453"/>
      <c r="AP670" s="453"/>
      <c r="AQ670" s="453"/>
      <c r="AR670" s="453"/>
      <c r="AS670" s="453"/>
      <c r="AT670" s="453"/>
      <c r="AU670" s="453"/>
      <c r="AV670" s="453"/>
      <c r="AW670" s="453"/>
      <c r="AX670" s="453"/>
      <c r="AY670" s="453"/>
      <c r="AZ670" s="453"/>
      <c r="BA670" s="532"/>
      <c r="BB670" s="502"/>
      <c r="BC670" s="503"/>
      <c r="BD670" s="453"/>
      <c r="BE670" s="453"/>
      <c r="BF670" s="470"/>
      <c r="BG670" s="453"/>
      <c r="BH670" s="453"/>
      <c r="BI670" s="453"/>
      <c r="BJ670" s="453"/>
      <c r="BK670" s="453"/>
      <c r="BL670" s="453"/>
      <c r="BM670" s="502"/>
      <c r="BN670" s="503"/>
      <c r="BO670" s="470"/>
      <c r="BP670" s="574"/>
      <c r="BQ670" s="458"/>
      <c r="BR670" s="577"/>
      <c r="BS670" s="524"/>
      <c r="BT670" s="590"/>
    </row>
    <row r="671" s="435" customFormat="1" ht="18" customHeight="1" spans="1:72">
      <c r="A671" s="451" t="s">
        <v>4032</v>
      </c>
      <c r="B671" s="543">
        <v>45603</v>
      </c>
      <c r="C671" s="589">
        <v>1000024286</v>
      </c>
      <c r="D671" s="451"/>
      <c r="E671" s="457"/>
      <c r="F671" s="453"/>
      <c r="G671" s="453"/>
      <c r="H671" s="453"/>
      <c r="I671" s="453"/>
      <c r="J671" s="453"/>
      <c r="K671" s="453"/>
      <c r="L671" s="453"/>
      <c r="M671" s="453"/>
      <c r="N671" s="453"/>
      <c r="O671" s="453"/>
      <c r="P671" s="453"/>
      <c r="Q671" s="453"/>
      <c r="R671" s="550"/>
      <c r="S671" s="453"/>
      <c r="T671" s="453"/>
      <c r="U671" s="453"/>
      <c r="V671" s="453"/>
      <c r="W671" s="453">
        <v>3396</v>
      </c>
      <c r="X671" s="453"/>
      <c r="Y671" s="453"/>
      <c r="Z671" s="597" t="s">
        <v>4103</v>
      </c>
      <c r="AA671" s="489"/>
      <c r="AB671" s="490"/>
      <c r="AC671" s="453"/>
      <c r="AD671" s="453"/>
      <c r="AE671" s="453"/>
      <c r="AF671" s="453"/>
      <c r="AG671" s="453"/>
      <c r="AH671" s="453"/>
      <c r="AI671" s="453"/>
      <c r="AJ671" s="453"/>
      <c r="AK671" s="453"/>
      <c r="AL671" s="453"/>
      <c r="AM671" s="453"/>
      <c r="AN671" s="453"/>
      <c r="AO671" s="453"/>
      <c r="AP671" s="453"/>
      <c r="AQ671" s="453"/>
      <c r="AR671" s="453"/>
      <c r="AS671" s="453"/>
      <c r="AT671" s="453"/>
      <c r="AU671" s="453"/>
      <c r="AV671" s="453"/>
      <c r="AW671" s="453"/>
      <c r="AX671" s="453"/>
      <c r="AY671" s="453"/>
      <c r="AZ671" s="453"/>
      <c r="BA671" s="532"/>
      <c r="BB671" s="502"/>
      <c r="BC671" s="503"/>
      <c r="BD671" s="453"/>
      <c r="BE671" s="453"/>
      <c r="BF671" s="470"/>
      <c r="BG671" s="453"/>
      <c r="BH671" s="453"/>
      <c r="BI671" s="453"/>
      <c r="BJ671" s="453"/>
      <c r="BK671" s="453"/>
      <c r="BL671" s="453"/>
      <c r="BM671" s="502"/>
      <c r="BN671" s="503"/>
      <c r="BO671" s="470"/>
      <c r="BP671" s="574"/>
      <c r="BQ671" s="458"/>
      <c r="BR671" s="577"/>
      <c r="BS671" s="524"/>
      <c r="BT671" s="590"/>
    </row>
    <row r="672" s="435" customFormat="1" ht="18" customHeight="1" spans="1:72">
      <c r="A672" s="451" t="s">
        <v>4032</v>
      </c>
      <c r="B672" s="543">
        <v>45603</v>
      </c>
      <c r="C672" s="589">
        <v>1000024287</v>
      </c>
      <c r="D672" s="451"/>
      <c r="E672" s="457"/>
      <c r="F672" s="453"/>
      <c r="G672" s="453"/>
      <c r="H672" s="453"/>
      <c r="I672" s="453"/>
      <c r="J672" s="453"/>
      <c r="K672" s="453"/>
      <c r="L672" s="453"/>
      <c r="M672" s="453"/>
      <c r="N672" s="453"/>
      <c r="O672" s="453"/>
      <c r="P672" s="453"/>
      <c r="Q672" s="453"/>
      <c r="R672" s="550"/>
      <c r="S672" s="453"/>
      <c r="T672" s="453"/>
      <c r="U672" s="453"/>
      <c r="V672" s="453"/>
      <c r="W672" s="453"/>
      <c r="X672" s="453"/>
      <c r="Y672" s="453">
        <v>6840</v>
      </c>
      <c r="Z672" s="597" t="s">
        <v>4103</v>
      </c>
      <c r="AA672" s="489"/>
      <c r="AB672" s="490"/>
      <c r="AC672" s="453"/>
      <c r="AD672" s="453"/>
      <c r="AE672" s="453"/>
      <c r="AF672" s="453"/>
      <c r="AG672" s="453"/>
      <c r="AH672" s="453"/>
      <c r="AI672" s="453"/>
      <c r="AJ672" s="453"/>
      <c r="AK672" s="453"/>
      <c r="AL672" s="453"/>
      <c r="AM672" s="453"/>
      <c r="AN672" s="453"/>
      <c r="AO672" s="453"/>
      <c r="AP672" s="453"/>
      <c r="AQ672" s="453"/>
      <c r="AR672" s="453"/>
      <c r="AS672" s="453"/>
      <c r="AT672" s="453"/>
      <c r="AU672" s="453"/>
      <c r="AV672" s="453"/>
      <c r="AW672" s="453"/>
      <c r="AX672" s="453"/>
      <c r="AY672" s="453"/>
      <c r="AZ672" s="453"/>
      <c r="BA672" s="532"/>
      <c r="BB672" s="502"/>
      <c r="BC672" s="503"/>
      <c r="BD672" s="453"/>
      <c r="BE672" s="453"/>
      <c r="BF672" s="470"/>
      <c r="BG672" s="453"/>
      <c r="BH672" s="453"/>
      <c r="BI672" s="453"/>
      <c r="BJ672" s="453"/>
      <c r="BK672" s="453"/>
      <c r="BL672" s="453"/>
      <c r="BM672" s="502"/>
      <c r="BN672" s="503"/>
      <c r="BO672" s="470"/>
      <c r="BP672" s="574"/>
      <c r="BQ672" s="458"/>
      <c r="BR672" s="577"/>
      <c r="BS672" s="524"/>
      <c r="BT672" s="590"/>
    </row>
    <row r="673" s="435" customFormat="1" ht="18" customHeight="1" spans="1:72">
      <c r="A673" s="451" t="s">
        <v>4032</v>
      </c>
      <c r="B673" s="543">
        <v>45609</v>
      </c>
      <c r="C673" s="589">
        <v>1000024391</v>
      </c>
      <c r="D673" s="451"/>
      <c r="E673" s="457"/>
      <c r="F673" s="453"/>
      <c r="G673" s="453"/>
      <c r="H673" s="453"/>
      <c r="I673" s="453"/>
      <c r="J673" s="453"/>
      <c r="K673" s="453"/>
      <c r="L673" s="453"/>
      <c r="M673" s="453"/>
      <c r="N673" s="453"/>
      <c r="O673" s="453">
        <v>10001</v>
      </c>
      <c r="P673" s="453"/>
      <c r="Q673" s="453"/>
      <c r="R673" s="550"/>
      <c r="S673" s="453"/>
      <c r="T673" s="453"/>
      <c r="U673" s="453"/>
      <c r="V673" s="453"/>
      <c r="W673" s="453"/>
      <c r="X673" s="453"/>
      <c r="Y673" s="453"/>
      <c r="Z673" s="597"/>
      <c r="AA673" s="489"/>
      <c r="AB673" s="490"/>
      <c r="AC673" s="453"/>
      <c r="AD673" s="453"/>
      <c r="AE673" s="453"/>
      <c r="AF673" s="453"/>
      <c r="AG673" s="453"/>
      <c r="AH673" s="453"/>
      <c r="AI673" s="453"/>
      <c r="AJ673" s="453"/>
      <c r="AK673" s="453"/>
      <c r="AL673" s="453"/>
      <c r="AM673" s="453"/>
      <c r="AN673" s="453"/>
      <c r="AO673" s="453"/>
      <c r="AP673" s="453"/>
      <c r="AQ673" s="453"/>
      <c r="AR673" s="453"/>
      <c r="AS673" s="453"/>
      <c r="AT673" s="453"/>
      <c r="AU673" s="453"/>
      <c r="AV673" s="453"/>
      <c r="AW673" s="453"/>
      <c r="AX673" s="453"/>
      <c r="AY673" s="453"/>
      <c r="AZ673" s="453"/>
      <c r="BA673" s="532"/>
      <c r="BB673" s="502"/>
      <c r="BC673" s="503"/>
      <c r="BD673" s="453"/>
      <c r="BE673" s="453"/>
      <c r="BF673" s="470"/>
      <c r="BG673" s="453"/>
      <c r="BH673" s="453"/>
      <c r="BI673" s="453"/>
      <c r="BJ673" s="453"/>
      <c r="BK673" s="453"/>
      <c r="BL673" s="453"/>
      <c r="BM673" s="502"/>
      <c r="BN673" s="503"/>
      <c r="BO673" s="470"/>
      <c r="BP673" s="574"/>
      <c r="BQ673" s="458"/>
      <c r="BR673" s="577"/>
      <c r="BS673" s="524"/>
      <c r="BT673" s="590"/>
    </row>
    <row r="674" s="435" customFormat="1" ht="18" customHeight="1" spans="1:72">
      <c r="A674" s="451" t="s">
        <v>4032</v>
      </c>
      <c r="B674" s="543">
        <v>45609</v>
      </c>
      <c r="C674" s="589">
        <v>1000024392</v>
      </c>
      <c r="D674" s="451"/>
      <c r="E674" s="457"/>
      <c r="F674" s="453"/>
      <c r="G674" s="453"/>
      <c r="H674" s="453"/>
      <c r="I674" s="453"/>
      <c r="J674" s="453"/>
      <c r="K674" s="453"/>
      <c r="L674" s="453"/>
      <c r="M674" s="453"/>
      <c r="N674" s="453"/>
      <c r="O674" s="453"/>
      <c r="P674" s="453"/>
      <c r="Q674" s="453"/>
      <c r="R674" s="550"/>
      <c r="S674" s="453"/>
      <c r="T674" s="453">
        <v>30000</v>
      </c>
      <c r="U674" s="453"/>
      <c r="V674" s="453"/>
      <c r="W674" s="453"/>
      <c r="X674" s="453"/>
      <c r="Y674" s="453"/>
      <c r="Z674" s="597"/>
      <c r="AA674" s="489"/>
      <c r="AB674" s="490"/>
      <c r="AC674" s="453"/>
      <c r="AD674" s="453"/>
      <c r="AE674" s="453"/>
      <c r="AF674" s="453"/>
      <c r="AG674" s="453"/>
      <c r="AH674" s="453"/>
      <c r="AI674" s="453"/>
      <c r="AJ674" s="453"/>
      <c r="AK674" s="453"/>
      <c r="AL674" s="453"/>
      <c r="AM674" s="453"/>
      <c r="AN674" s="453"/>
      <c r="AO674" s="453"/>
      <c r="AP674" s="453"/>
      <c r="AQ674" s="453"/>
      <c r="AR674" s="453"/>
      <c r="AS674" s="453"/>
      <c r="AT674" s="453"/>
      <c r="AU674" s="453"/>
      <c r="AV674" s="453"/>
      <c r="AW674" s="453"/>
      <c r="AX674" s="453"/>
      <c r="AY674" s="453"/>
      <c r="AZ674" s="453"/>
      <c r="BA674" s="532"/>
      <c r="BB674" s="502"/>
      <c r="BC674" s="503"/>
      <c r="BD674" s="453"/>
      <c r="BE674" s="453"/>
      <c r="BF674" s="470"/>
      <c r="BG674" s="453"/>
      <c r="BH674" s="453"/>
      <c r="BI674" s="453"/>
      <c r="BJ674" s="453"/>
      <c r="BK674" s="453"/>
      <c r="BL674" s="453"/>
      <c r="BM674" s="502"/>
      <c r="BN674" s="503"/>
      <c r="BO674" s="470"/>
      <c r="BP674" s="574"/>
      <c r="BQ674" s="458"/>
      <c r="BR674" s="577"/>
      <c r="BS674" s="524"/>
      <c r="BT674" s="590"/>
    </row>
    <row r="675" s="435" customFormat="1" ht="18" customHeight="1" spans="1:72">
      <c r="A675" s="451" t="s">
        <v>4032</v>
      </c>
      <c r="B675" s="543">
        <v>45609</v>
      </c>
      <c r="C675" s="589">
        <v>1000024393</v>
      </c>
      <c r="D675" s="451"/>
      <c r="E675" s="457"/>
      <c r="F675" s="453"/>
      <c r="G675" s="453"/>
      <c r="H675" s="453"/>
      <c r="I675" s="453"/>
      <c r="J675" s="453"/>
      <c r="K675" s="453"/>
      <c r="L675" s="453"/>
      <c r="M675" s="453"/>
      <c r="N675" s="453"/>
      <c r="O675" s="453"/>
      <c r="P675" s="453"/>
      <c r="Q675" s="453"/>
      <c r="R675" s="550"/>
      <c r="S675" s="453"/>
      <c r="T675" s="453"/>
      <c r="U675" s="453"/>
      <c r="V675" s="453"/>
      <c r="W675" s="453"/>
      <c r="X675" s="453"/>
      <c r="Y675" s="453"/>
      <c r="Z675" s="597"/>
      <c r="AA675" s="489"/>
      <c r="AB675" s="490"/>
      <c r="AC675" s="453"/>
      <c r="AD675" s="453"/>
      <c r="AE675" s="453"/>
      <c r="AF675" s="453"/>
      <c r="AG675" s="453"/>
      <c r="AH675" s="453"/>
      <c r="AI675" s="453"/>
      <c r="AJ675" s="453"/>
      <c r="AK675" s="453">
        <v>5001</v>
      </c>
      <c r="AL675" s="453"/>
      <c r="AM675" s="453"/>
      <c r="AN675" s="453"/>
      <c r="AO675" s="453"/>
      <c r="AP675" s="453"/>
      <c r="AQ675" s="453"/>
      <c r="AR675" s="453"/>
      <c r="AS675" s="453"/>
      <c r="AT675" s="453"/>
      <c r="AU675" s="453"/>
      <c r="AV675" s="453"/>
      <c r="AW675" s="453"/>
      <c r="AX675" s="453"/>
      <c r="AY675" s="453"/>
      <c r="AZ675" s="453"/>
      <c r="BA675" s="532"/>
      <c r="BB675" s="502"/>
      <c r="BC675" s="503"/>
      <c r="BD675" s="453"/>
      <c r="BE675" s="453"/>
      <c r="BF675" s="470"/>
      <c r="BG675" s="453"/>
      <c r="BH675" s="453"/>
      <c r="BI675" s="453"/>
      <c r="BJ675" s="453"/>
      <c r="BK675" s="453"/>
      <c r="BL675" s="453"/>
      <c r="BM675" s="502"/>
      <c r="BN675" s="503"/>
      <c r="BO675" s="470"/>
      <c r="BP675" s="574"/>
      <c r="BQ675" s="458"/>
      <c r="BR675" s="577"/>
      <c r="BS675" s="524"/>
      <c r="BT675" s="590"/>
    </row>
    <row r="676" s="435" customFormat="1" ht="18" customHeight="1" spans="1:72">
      <c r="A676" s="451" t="s">
        <v>4032</v>
      </c>
      <c r="B676" s="543">
        <v>45609</v>
      </c>
      <c r="C676" s="589">
        <v>1000024394</v>
      </c>
      <c r="D676" s="451"/>
      <c r="E676" s="457"/>
      <c r="F676" s="453"/>
      <c r="G676" s="453"/>
      <c r="H676" s="453"/>
      <c r="I676" s="453"/>
      <c r="J676" s="453"/>
      <c r="K676" s="453"/>
      <c r="L676" s="453"/>
      <c r="M676" s="453"/>
      <c r="N676" s="453"/>
      <c r="O676" s="453"/>
      <c r="P676" s="453"/>
      <c r="Q676" s="453"/>
      <c r="R676" s="550"/>
      <c r="S676" s="453"/>
      <c r="T676" s="453"/>
      <c r="U676" s="453"/>
      <c r="V676" s="453"/>
      <c r="W676" s="453"/>
      <c r="X676" s="453"/>
      <c r="Y676" s="453"/>
      <c r="Z676" s="597"/>
      <c r="AA676" s="489"/>
      <c r="AB676" s="490"/>
      <c r="AC676" s="453"/>
      <c r="AD676" s="453"/>
      <c r="AE676" s="453"/>
      <c r="AF676" s="453"/>
      <c r="AG676" s="453"/>
      <c r="AH676" s="453"/>
      <c r="AI676" s="453"/>
      <c r="AJ676" s="453"/>
      <c r="AK676" s="453"/>
      <c r="AL676" s="453"/>
      <c r="AM676" s="453"/>
      <c r="AN676" s="453"/>
      <c r="AO676" s="453"/>
      <c r="AP676" s="453"/>
      <c r="AQ676" s="453"/>
      <c r="AR676" s="453"/>
      <c r="AS676" s="453"/>
      <c r="AT676" s="453"/>
      <c r="AU676" s="453">
        <v>30000</v>
      </c>
      <c r="AV676" s="453"/>
      <c r="AW676" s="453"/>
      <c r="AX676" s="453"/>
      <c r="AY676" s="453"/>
      <c r="AZ676" s="453"/>
      <c r="BA676" s="532"/>
      <c r="BB676" s="502"/>
      <c r="BC676" s="503"/>
      <c r="BD676" s="453"/>
      <c r="BE676" s="453"/>
      <c r="BF676" s="470"/>
      <c r="BG676" s="453"/>
      <c r="BH676" s="453"/>
      <c r="BI676" s="453"/>
      <c r="BJ676" s="453"/>
      <c r="BK676" s="453"/>
      <c r="BL676" s="453"/>
      <c r="BM676" s="502"/>
      <c r="BN676" s="503"/>
      <c r="BO676" s="470"/>
      <c r="BP676" s="574"/>
      <c r="BQ676" s="458"/>
      <c r="BR676" s="577"/>
      <c r="BS676" s="524"/>
      <c r="BT676" s="590"/>
    </row>
    <row r="677" s="435" customFormat="1" ht="18" customHeight="1" spans="1:72">
      <c r="A677" s="451" t="s">
        <v>4032</v>
      </c>
      <c r="B677" s="543">
        <v>45615</v>
      </c>
      <c r="C677" s="589">
        <v>1000024615</v>
      </c>
      <c r="D677" s="451"/>
      <c r="E677" s="457"/>
      <c r="F677" s="453"/>
      <c r="G677" s="453"/>
      <c r="H677" s="453"/>
      <c r="I677" s="453"/>
      <c r="J677" s="453"/>
      <c r="K677" s="453"/>
      <c r="L677" s="453"/>
      <c r="M677" s="453"/>
      <c r="N677" s="453"/>
      <c r="O677" s="453"/>
      <c r="P677" s="453"/>
      <c r="Q677" s="453"/>
      <c r="R677" s="550"/>
      <c r="S677" s="453"/>
      <c r="T677" s="453"/>
      <c r="U677" s="453"/>
      <c r="V677" s="453"/>
      <c r="W677" s="453"/>
      <c r="X677" s="453"/>
      <c r="Y677" s="453"/>
      <c r="Z677" s="597"/>
      <c r="AA677" s="489"/>
      <c r="AB677" s="490"/>
      <c r="AC677" s="453"/>
      <c r="AD677" s="453"/>
      <c r="AE677" s="453"/>
      <c r="AF677" s="453"/>
      <c r="AG677" s="453"/>
      <c r="AH677" s="453"/>
      <c r="AI677" s="453"/>
      <c r="AJ677" s="453"/>
      <c r="AK677" s="453"/>
      <c r="AL677" s="453"/>
      <c r="AM677" s="453"/>
      <c r="AN677" s="453"/>
      <c r="AO677" s="453"/>
      <c r="AP677" s="453"/>
      <c r="AQ677" s="453"/>
      <c r="AR677" s="453"/>
      <c r="AS677" s="453"/>
      <c r="AT677" s="453"/>
      <c r="AU677" s="453"/>
      <c r="AV677" s="453"/>
      <c r="AW677" s="453"/>
      <c r="AX677" s="453"/>
      <c r="AY677" s="453"/>
      <c r="AZ677" s="453">
        <v>640</v>
      </c>
      <c r="BA677" s="532"/>
      <c r="BB677" s="502"/>
      <c r="BC677" s="503"/>
      <c r="BD677" s="453"/>
      <c r="BE677" s="453"/>
      <c r="BF677" s="470"/>
      <c r="BG677" s="453"/>
      <c r="BH677" s="453"/>
      <c r="BI677" s="453"/>
      <c r="BJ677" s="453"/>
      <c r="BK677" s="453"/>
      <c r="BL677" s="453"/>
      <c r="BM677" s="502"/>
      <c r="BN677" s="503"/>
      <c r="BO677" s="470"/>
      <c r="BP677" s="574"/>
      <c r="BQ677" s="458"/>
      <c r="BR677" s="577"/>
      <c r="BS677" s="524"/>
      <c r="BT677" s="590" t="s">
        <v>4104</v>
      </c>
    </row>
    <row r="678" s="435" customFormat="1" ht="18" customHeight="1" spans="1:72">
      <c r="A678" s="451" t="s">
        <v>4032</v>
      </c>
      <c r="B678" s="543">
        <v>45615</v>
      </c>
      <c r="C678" s="589">
        <v>1000024616</v>
      </c>
      <c r="D678" s="451"/>
      <c r="E678" s="457"/>
      <c r="F678" s="453"/>
      <c r="G678" s="453"/>
      <c r="H678" s="453"/>
      <c r="I678" s="453"/>
      <c r="J678" s="453"/>
      <c r="K678" s="453"/>
      <c r="L678" s="453"/>
      <c r="M678" s="453"/>
      <c r="N678" s="453"/>
      <c r="O678" s="453"/>
      <c r="P678" s="453"/>
      <c r="Q678" s="453"/>
      <c r="R678" s="550"/>
      <c r="S678" s="453"/>
      <c r="T678" s="453"/>
      <c r="U678" s="453"/>
      <c r="V678" s="453"/>
      <c r="W678" s="453"/>
      <c r="X678" s="453"/>
      <c r="Y678" s="453"/>
      <c r="Z678" s="597"/>
      <c r="AA678" s="489"/>
      <c r="AB678" s="490"/>
      <c r="AC678" s="453"/>
      <c r="AD678" s="453"/>
      <c r="AE678" s="453"/>
      <c r="AF678" s="453"/>
      <c r="AG678" s="453"/>
      <c r="AH678" s="453"/>
      <c r="AI678" s="453"/>
      <c r="AJ678" s="453"/>
      <c r="AK678" s="453"/>
      <c r="AL678" s="453"/>
      <c r="AM678" s="453"/>
      <c r="AN678" s="453"/>
      <c r="AO678" s="453"/>
      <c r="AP678" s="453"/>
      <c r="AQ678" s="453"/>
      <c r="AR678" s="453"/>
      <c r="AS678" s="453"/>
      <c r="AT678" s="453"/>
      <c r="AU678" s="453"/>
      <c r="AV678" s="453"/>
      <c r="AW678" s="453"/>
      <c r="AX678" s="453"/>
      <c r="AY678" s="453"/>
      <c r="AZ678" s="453"/>
      <c r="BA678" s="532"/>
      <c r="BB678" s="502">
        <v>4160</v>
      </c>
      <c r="BC678" s="503"/>
      <c r="BD678" s="453"/>
      <c r="BE678" s="453"/>
      <c r="BF678" s="470"/>
      <c r="BG678" s="453"/>
      <c r="BH678" s="453"/>
      <c r="BI678" s="453"/>
      <c r="BJ678" s="453"/>
      <c r="BK678" s="453"/>
      <c r="BL678" s="453"/>
      <c r="BM678" s="502"/>
      <c r="BN678" s="503"/>
      <c r="BO678" s="470"/>
      <c r="BP678" s="574"/>
      <c r="BQ678" s="458"/>
      <c r="BR678" s="577"/>
      <c r="BS678" s="524"/>
      <c r="BT678" s="590" t="s">
        <v>4105</v>
      </c>
    </row>
    <row r="679" s="435" customFormat="1" ht="18" customHeight="1" spans="1:72">
      <c r="A679" s="451" t="s">
        <v>4032</v>
      </c>
      <c r="B679" s="543">
        <v>45622</v>
      </c>
      <c r="C679" s="581">
        <v>1000024733</v>
      </c>
      <c r="D679" s="451"/>
      <c r="E679" s="457"/>
      <c r="F679" s="453"/>
      <c r="G679" s="453"/>
      <c r="H679" s="453"/>
      <c r="I679" s="453"/>
      <c r="J679" s="453"/>
      <c r="K679" s="453"/>
      <c r="L679" s="453"/>
      <c r="M679" s="453"/>
      <c r="N679" s="453"/>
      <c r="O679" s="453">
        <v>10001</v>
      </c>
      <c r="P679" s="453"/>
      <c r="Q679" s="453"/>
      <c r="R679" s="550"/>
      <c r="S679" s="453"/>
      <c r="T679" s="453"/>
      <c r="U679" s="453"/>
      <c r="V679" s="453"/>
      <c r="W679" s="453"/>
      <c r="X679" s="453"/>
      <c r="Y679" s="453"/>
      <c r="Z679" s="597"/>
      <c r="AA679" s="489"/>
      <c r="AB679" s="490"/>
      <c r="AC679" s="453"/>
      <c r="AD679" s="453"/>
      <c r="AE679" s="453"/>
      <c r="AF679" s="453"/>
      <c r="AG679" s="453"/>
      <c r="AH679" s="453"/>
      <c r="AI679" s="453"/>
      <c r="AJ679" s="453"/>
      <c r="AK679" s="453"/>
      <c r="AL679" s="453"/>
      <c r="AM679" s="453"/>
      <c r="AN679" s="453"/>
      <c r="AO679" s="453"/>
      <c r="AP679" s="453"/>
      <c r="AQ679" s="453"/>
      <c r="AR679" s="453"/>
      <c r="AS679" s="453"/>
      <c r="AT679" s="453"/>
      <c r="AU679" s="453"/>
      <c r="AV679" s="453"/>
      <c r="AW679" s="453"/>
      <c r="AX679" s="453"/>
      <c r="AY679" s="453"/>
      <c r="AZ679" s="453"/>
      <c r="BA679" s="532"/>
      <c r="BB679" s="502"/>
      <c r="BC679" s="503"/>
      <c r="BD679" s="453"/>
      <c r="BE679" s="453"/>
      <c r="BF679" s="470"/>
      <c r="BG679" s="453"/>
      <c r="BH679" s="453"/>
      <c r="BI679" s="453"/>
      <c r="BJ679" s="453"/>
      <c r="BK679" s="453"/>
      <c r="BL679" s="453"/>
      <c r="BM679" s="502"/>
      <c r="BN679" s="503"/>
      <c r="BO679" s="470"/>
      <c r="BP679" s="574"/>
      <c r="BQ679" s="458"/>
      <c r="BR679" s="577"/>
      <c r="BS679" s="524"/>
      <c r="BT679" s="590"/>
    </row>
    <row r="680" s="435" customFormat="1" ht="18" customHeight="1" spans="1:72">
      <c r="A680" s="451" t="s">
        <v>4032</v>
      </c>
      <c r="B680" s="543">
        <v>45622</v>
      </c>
      <c r="C680" s="581">
        <v>1000024734</v>
      </c>
      <c r="D680" s="451"/>
      <c r="E680" s="457"/>
      <c r="F680" s="453"/>
      <c r="G680" s="453"/>
      <c r="H680" s="453"/>
      <c r="I680" s="453"/>
      <c r="J680" s="453"/>
      <c r="K680" s="453"/>
      <c r="L680" s="453"/>
      <c r="M680" s="453"/>
      <c r="N680" s="453"/>
      <c r="O680" s="453"/>
      <c r="P680" s="550">
        <v>10001</v>
      </c>
      <c r="Q680" s="453"/>
      <c r="R680" s="550"/>
      <c r="S680" s="453"/>
      <c r="T680" s="453"/>
      <c r="U680" s="453"/>
      <c r="V680" s="453"/>
      <c r="W680" s="453"/>
      <c r="X680" s="453"/>
      <c r="Y680" s="453"/>
      <c r="Z680" s="597"/>
      <c r="AA680" s="489"/>
      <c r="AB680" s="490"/>
      <c r="AC680" s="453"/>
      <c r="AD680" s="453"/>
      <c r="AE680" s="453"/>
      <c r="AF680" s="453"/>
      <c r="AG680" s="453"/>
      <c r="AH680" s="453"/>
      <c r="AI680" s="453"/>
      <c r="AJ680" s="453"/>
      <c r="AK680" s="453"/>
      <c r="AL680" s="453"/>
      <c r="AM680" s="453"/>
      <c r="AN680" s="453"/>
      <c r="AO680" s="453"/>
      <c r="AP680" s="453"/>
      <c r="AQ680" s="453"/>
      <c r="AR680" s="453"/>
      <c r="AS680" s="453"/>
      <c r="AT680" s="453"/>
      <c r="AU680" s="453"/>
      <c r="AV680" s="453"/>
      <c r="AW680" s="453"/>
      <c r="AX680" s="453"/>
      <c r="AY680" s="453"/>
      <c r="AZ680" s="453"/>
      <c r="BA680" s="532"/>
      <c r="BB680" s="502"/>
      <c r="BC680" s="503"/>
      <c r="BD680" s="453"/>
      <c r="BE680" s="453"/>
      <c r="BF680" s="470"/>
      <c r="BG680" s="453"/>
      <c r="BH680" s="453"/>
      <c r="BI680" s="453"/>
      <c r="BJ680" s="453"/>
      <c r="BK680" s="453"/>
      <c r="BL680" s="453"/>
      <c r="BM680" s="502"/>
      <c r="BN680" s="503"/>
      <c r="BO680" s="470"/>
      <c r="BP680" s="574"/>
      <c r="BQ680" s="458"/>
      <c r="BR680" s="577"/>
      <c r="BS680" s="524"/>
      <c r="BT680" s="590"/>
    </row>
    <row r="681" s="435" customFormat="1" ht="18" customHeight="1" spans="1:72">
      <c r="A681" s="451" t="s">
        <v>4032</v>
      </c>
      <c r="B681" s="543">
        <v>45622</v>
      </c>
      <c r="C681" s="581">
        <v>1000024735</v>
      </c>
      <c r="D681" s="451"/>
      <c r="E681" s="457"/>
      <c r="F681" s="453"/>
      <c r="G681" s="453"/>
      <c r="H681" s="453"/>
      <c r="I681" s="453"/>
      <c r="J681" s="453"/>
      <c r="K681" s="453"/>
      <c r="L681" s="453"/>
      <c r="M681" s="453"/>
      <c r="N681" s="453"/>
      <c r="O681" s="453"/>
      <c r="P681" s="453"/>
      <c r="Q681" s="550">
        <v>10001</v>
      </c>
      <c r="R681" s="550"/>
      <c r="S681" s="453"/>
      <c r="T681" s="453"/>
      <c r="U681" s="453"/>
      <c r="V681" s="453"/>
      <c r="W681" s="453"/>
      <c r="X681" s="453"/>
      <c r="Y681" s="453"/>
      <c r="Z681" s="597"/>
      <c r="AA681" s="489"/>
      <c r="AB681" s="490"/>
      <c r="AC681" s="453"/>
      <c r="AD681" s="453"/>
      <c r="AE681" s="453"/>
      <c r="AF681" s="453"/>
      <c r="AG681" s="453"/>
      <c r="AH681" s="453"/>
      <c r="AI681" s="453"/>
      <c r="AJ681" s="453"/>
      <c r="AK681" s="453"/>
      <c r="AL681" s="453"/>
      <c r="AM681" s="453"/>
      <c r="AN681" s="453"/>
      <c r="AO681" s="453"/>
      <c r="AP681" s="453"/>
      <c r="AQ681" s="453"/>
      <c r="AR681" s="453"/>
      <c r="AS681" s="453"/>
      <c r="AT681" s="453"/>
      <c r="AU681" s="453"/>
      <c r="AV681" s="453"/>
      <c r="AW681" s="453"/>
      <c r="AX681" s="453"/>
      <c r="AY681" s="453"/>
      <c r="AZ681" s="453"/>
      <c r="BA681" s="532"/>
      <c r="BB681" s="502"/>
      <c r="BC681" s="503"/>
      <c r="BD681" s="453"/>
      <c r="BE681" s="453"/>
      <c r="BF681" s="470"/>
      <c r="BG681" s="453"/>
      <c r="BH681" s="453"/>
      <c r="BI681" s="453"/>
      <c r="BJ681" s="453"/>
      <c r="BK681" s="453"/>
      <c r="BL681" s="453"/>
      <c r="BM681" s="502"/>
      <c r="BN681" s="503"/>
      <c r="BO681" s="470"/>
      <c r="BP681" s="574"/>
      <c r="BQ681" s="458"/>
      <c r="BR681" s="577"/>
      <c r="BS681" s="524"/>
      <c r="BT681" s="590"/>
    </row>
    <row r="682" s="435" customFormat="1" ht="18" customHeight="1" spans="1:72">
      <c r="A682" s="451" t="s">
        <v>4032</v>
      </c>
      <c r="B682" s="543">
        <v>45622</v>
      </c>
      <c r="C682" s="581">
        <v>1000024736</v>
      </c>
      <c r="D682" s="451"/>
      <c r="E682" s="457"/>
      <c r="F682" s="453"/>
      <c r="G682" s="453"/>
      <c r="H682" s="453"/>
      <c r="I682" s="453"/>
      <c r="J682" s="453"/>
      <c r="K682" s="453"/>
      <c r="L682" s="453"/>
      <c r="M682" s="453"/>
      <c r="N682" s="453"/>
      <c r="O682" s="453"/>
      <c r="P682" s="453"/>
      <c r="Q682" s="453"/>
      <c r="R682" s="550"/>
      <c r="S682" s="453"/>
      <c r="T682" s="550">
        <v>40000</v>
      </c>
      <c r="U682" s="453"/>
      <c r="V682" s="453"/>
      <c r="W682" s="453"/>
      <c r="X682" s="453"/>
      <c r="Y682" s="453"/>
      <c r="Z682" s="597"/>
      <c r="AA682" s="489"/>
      <c r="AB682" s="490"/>
      <c r="AC682" s="453"/>
      <c r="AD682" s="453"/>
      <c r="AE682" s="453"/>
      <c r="AF682" s="453"/>
      <c r="AG682" s="453"/>
      <c r="AH682" s="453"/>
      <c r="AI682" s="453"/>
      <c r="AJ682" s="453"/>
      <c r="AK682" s="453"/>
      <c r="AL682" s="453"/>
      <c r="AM682" s="453"/>
      <c r="AN682" s="453"/>
      <c r="AO682" s="453"/>
      <c r="AP682" s="453"/>
      <c r="AQ682" s="453"/>
      <c r="AR682" s="453"/>
      <c r="AS682" s="453"/>
      <c r="AT682" s="453"/>
      <c r="AU682" s="453"/>
      <c r="AV682" s="453"/>
      <c r="AW682" s="453"/>
      <c r="AX682" s="453"/>
      <c r="AY682" s="453"/>
      <c r="AZ682" s="453"/>
      <c r="BA682" s="532"/>
      <c r="BB682" s="502"/>
      <c r="BC682" s="503"/>
      <c r="BD682" s="453"/>
      <c r="BE682" s="453"/>
      <c r="BF682" s="470"/>
      <c r="BG682" s="453"/>
      <c r="BH682" s="453"/>
      <c r="BI682" s="453"/>
      <c r="BJ682" s="453"/>
      <c r="BK682" s="453"/>
      <c r="BL682" s="453"/>
      <c r="BM682" s="502"/>
      <c r="BN682" s="503"/>
      <c r="BO682" s="470"/>
      <c r="BP682" s="574"/>
      <c r="BQ682" s="458"/>
      <c r="BR682" s="577"/>
      <c r="BS682" s="524"/>
      <c r="BT682" s="590"/>
    </row>
    <row r="683" s="435" customFormat="1" ht="18" customHeight="1" spans="1:72">
      <c r="A683" s="451" t="s">
        <v>4032</v>
      </c>
      <c r="B683" s="543">
        <v>45622</v>
      </c>
      <c r="C683" s="589">
        <v>1000024737</v>
      </c>
      <c r="D683" s="451"/>
      <c r="E683" s="457"/>
      <c r="F683" s="453"/>
      <c r="G683" s="453"/>
      <c r="H683" s="453"/>
      <c r="I683" s="453"/>
      <c r="J683" s="453"/>
      <c r="K683" s="453"/>
      <c r="L683" s="453"/>
      <c r="M683" s="453"/>
      <c r="N683" s="453"/>
      <c r="O683" s="453"/>
      <c r="P683" s="453"/>
      <c r="Q683" s="453"/>
      <c r="R683" s="550"/>
      <c r="S683" s="453"/>
      <c r="T683" s="453"/>
      <c r="U683" s="453"/>
      <c r="V683" s="453"/>
      <c r="W683" s="453"/>
      <c r="X683" s="453"/>
      <c r="Y683" s="453"/>
      <c r="Z683" s="597"/>
      <c r="AA683" s="489"/>
      <c r="AB683" s="490"/>
      <c r="AC683" s="453"/>
      <c r="AD683" s="453"/>
      <c r="AE683" s="453"/>
      <c r="AF683" s="453">
        <v>10001</v>
      </c>
      <c r="AG683" s="453"/>
      <c r="AH683" s="453"/>
      <c r="AI683" s="453"/>
      <c r="AJ683" s="453"/>
      <c r="AK683" s="453"/>
      <c r="AL683" s="453"/>
      <c r="AM683" s="453"/>
      <c r="AN683" s="453"/>
      <c r="AO683" s="453"/>
      <c r="AP683" s="453"/>
      <c r="AQ683" s="453"/>
      <c r="AR683" s="453"/>
      <c r="AS683" s="453"/>
      <c r="AT683" s="453"/>
      <c r="AU683" s="453"/>
      <c r="AV683" s="453"/>
      <c r="AW683" s="453"/>
      <c r="AX683" s="453"/>
      <c r="AY683" s="453"/>
      <c r="AZ683" s="453"/>
      <c r="BA683" s="532"/>
      <c r="BB683" s="502"/>
      <c r="BC683" s="503"/>
      <c r="BD683" s="453"/>
      <c r="BE683" s="453"/>
      <c r="BF683" s="470"/>
      <c r="BG683" s="453"/>
      <c r="BH683" s="453"/>
      <c r="BI683" s="453"/>
      <c r="BJ683" s="453"/>
      <c r="BK683" s="453"/>
      <c r="BL683" s="453"/>
      <c r="BM683" s="502"/>
      <c r="BN683" s="503"/>
      <c r="BO683" s="470"/>
      <c r="BP683" s="574"/>
      <c r="BQ683" s="458"/>
      <c r="BR683" s="577"/>
      <c r="BS683" s="524"/>
      <c r="BT683" s="590"/>
    </row>
    <row r="684" s="435" customFormat="1" ht="18" customHeight="1" spans="1:72">
      <c r="A684" s="451" t="s">
        <v>4032</v>
      </c>
      <c r="B684" s="543">
        <v>45622</v>
      </c>
      <c r="C684" s="589">
        <v>1000024738</v>
      </c>
      <c r="D684" s="451"/>
      <c r="E684" s="457"/>
      <c r="F684" s="453"/>
      <c r="G684" s="453"/>
      <c r="H684" s="453"/>
      <c r="I684" s="453"/>
      <c r="J684" s="453"/>
      <c r="K684" s="453"/>
      <c r="L684" s="453"/>
      <c r="M684" s="453"/>
      <c r="N684" s="453"/>
      <c r="O684" s="453"/>
      <c r="P684" s="453"/>
      <c r="Q684" s="453"/>
      <c r="R684" s="550"/>
      <c r="S684" s="453"/>
      <c r="T684" s="453"/>
      <c r="U684" s="453"/>
      <c r="V684" s="453"/>
      <c r="W684" s="453"/>
      <c r="X684" s="453"/>
      <c r="Y684" s="453"/>
      <c r="Z684" s="597"/>
      <c r="AA684" s="489"/>
      <c r="AB684" s="490"/>
      <c r="AC684" s="453"/>
      <c r="AD684" s="453"/>
      <c r="AE684" s="453"/>
      <c r="AF684" s="453"/>
      <c r="AG684" s="453"/>
      <c r="AH684" s="453"/>
      <c r="AI684" s="453"/>
      <c r="AJ684" s="453"/>
      <c r="AK684" s="453"/>
      <c r="AL684" s="453"/>
      <c r="AM684" s="453"/>
      <c r="AN684" s="453"/>
      <c r="AO684" s="453"/>
      <c r="AP684" s="453"/>
      <c r="AQ684" s="453"/>
      <c r="AR684" s="453"/>
      <c r="AS684" s="453"/>
      <c r="AT684" s="453"/>
      <c r="AU684" s="453">
        <v>10001</v>
      </c>
      <c r="AV684" s="453"/>
      <c r="AW684" s="453"/>
      <c r="AX684" s="453"/>
      <c r="AY684" s="453"/>
      <c r="AZ684" s="453"/>
      <c r="BA684" s="532"/>
      <c r="BB684" s="502"/>
      <c r="BC684" s="503"/>
      <c r="BD684" s="453"/>
      <c r="BE684" s="453"/>
      <c r="BF684" s="470"/>
      <c r="BG684" s="453"/>
      <c r="BH684" s="453"/>
      <c r="BI684" s="453"/>
      <c r="BJ684" s="453"/>
      <c r="BK684" s="453"/>
      <c r="BL684" s="453"/>
      <c r="BM684" s="502"/>
      <c r="BN684" s="503"/>
      <c r="BO684" s="470"/>
      <c r="BP684" s="574"/>
      <c r="BQ684" s="458"/>
      <c r="BR684" s="577"/>
      <c r="BS684" s="524"/>
      <c r="BT684" s="590"/>
    </row>
    <row r="685" s="435" customFormat="1" ht="18" customHeight="1" spans="1:72">
      <c r="A685" s="451" t="s">
        <v>4032</v>
      </c>
      <c r="B685" s="543">
        <v>45623</v>
      </c>
      <c r="C685" s="589" t="s">
        <v>4106</v>
      </c>
      <c r="D685" s="451"/>
      <c r="E685" s="457"/>
      <c r="F685" s="453"/>
      <c r="G685" s="453"/>
      <c r="H685" s="453"/>
      <c r="I685" s="453"/>
      <c r="J685" s="453"/>
      <c r="K685" s="453"/>
      <c r="L685" s="453"/>
      <c r="M685" s="453"/>
      <c r="N685" s="453"/>
      <c r="O685" s="453"/>
      <c r="P685" s="453"/>
      <c r="Q685" s="453"/>
      <c r="R685" s="550"/>
      <c r="S685" s="453"/>
      <c r="T685" s="453"/>
      <c r="U685" s="453"/>
      <c r="V685" s="453"/>
      <c r="W685" s="453"/>
      <c r="X685" s="453"/>
      <c r="Y685" s="453"/>
      <c r="Z685" s="597"/>
      <c r="AA685" s="489"/>
      <c r="AB685" s="490"/>
      <c r="AC685" s="453"/>
      <c r="AD685" s="453"/>
      <c r="AE685" s="453"/>
      <c r="AF685" s="453"/>
      <c r="AG685" s="453"/>
      <c r="AH685" s="453"/>
      <c r="AI685" s="453"/>
      <c r="AJ685" s="453"/>
      <c r="AK685" s="453"/>
      <c r="AL685" s="453"/>
      <c r="AM685" s="453"/>
      <c r="AN685" s="453"/>
      <c r="AO685" s="453"/>
      <c r="AP685" s="453"/>
      <c r="AQ685" s="453"/>
      <c r="AR685" s="453"/>
      <c r="AS685" s="453"/>
      <c r="AT685" s="453"/>
      <c r="AU685" s="453"/>
      <c r="AV685" s="453"/>
      <c r="AW685" s="453"/>
      <c r="AX685" s="453"/>
      <c r="AY685" s="453">
        <v>10032</v>
      </c>
      <c r="AZ685" s="453"/>
      <c r="BA685" s="532"/>
      <c r="BB685" s="502"/>
      <c r="BC685" s="503"/>
      <c r="BD685" s="453"/>
      <c r="BE685" s="453"/>
      <c r="BF685" s="470"/>
      <c r="BG685" s="453"/>
      <c r="BH685" s="453"/>
      <c r="BI685" s="453"/>
      <c r="BJ685" s="453"/>
      <c r="BK685" s="453"/>
      <c r="BL685" s="453"/>
      <c r="BM685" s="502"/>
      <c r="BN685" s="503"/>
      <c r="BO685" s="470"/>
      <c r="BP685" s="574"/>
      <c r="BQ685" s="458"/>
      <c r="BR685" s="577"/>
      <c r="BS685" s="524"/>
      <c r="BT685" s="590" t="s">
        <v>4107</v>
      </c>
    </row>
    <row r="686" s="435" customFormat="1" ht="18" customHeight="1" spans="1:72">
      <c r="A686" s="451" t="s">
        <v>4032</v>
      </c>
      <c r="B686" s="543">
        <v>45624</v>
      </c>
      <c r="C686" s="589">
        <v>1000024796</v>
      </c>
      <c r="D686" s="451"/>
      <c r="E686" s="457"/>
      <c r="F686" s="453"/>
      <c r="G686" s="453"/>
      <c r="H686" s="453"/>
      <c r="I686" s="453"/>
      <c r="J686" s="453"/>
      <c r="K686" s="453"/>
      <c r="L686" s="453"/>
      <c r="M686" s="453"/>
      <c r="N686" s="453"/>
      <c r="O686" s="453"/>
      <c r="P686" s="453"/>
      <c r="Q686" s="453"/>
      <c r="R686" s="550"/>
      <c r="S686" s="453"/>
      <c r="T686" s="453"/>
      <c r="U686" s="453"/>
      <c r="V686" s="453">
        <v>28758</v>
      </c>
      <c r="W686" s="453"/>
      <c r="X686" s="453"/>
      <c r="Y686" s="453"/>
      <c r="Z686" s="590" t="s">
        <v>4108</v>
      </c>
      <c r="AA686" s="489"/>
      <c r="AB686" s="490"/>
      <c r="AC686" s="453"/>
      <c r="AD686" s="453"/>
      <c r="AE686" s="453"/>
      <c r="AF686" s="453"/>
      <c r="AG686" s="453"/>
      <c r="AH686" s="453"/>
      <c r="AI686" s="453"/>
      <c r="AJ686" s="453"/>
      <c r="AK686" s="453"/>
      <c r="AL686" s="453"/>
      <c r="AM686" s="453"/>
      <c r="AN686" s="453"/>
      <c r="AO686" s="453"/>
      <c r="AP686" s="453"/>
      <c r="AQ686" s="453"/>
      <c r="AR686" s="453"/>
      <c r="AS686" s="453"/>
      <c r="AT686" s="453"/>
      <c r="AU686" s="453"/>
      <c r="AV686" s="453"/>
      <c r="AW686" s="453"/>
      <c r="AX686" s="453"/>
      <c r="AY686" s="453"/>
      <c r="AZ686" s="453"/>
      <c r="BA686" s="532"/>
      <c r="BB686" s="502"/>
      <c r="BC686" s="503"/>
      <c r="BD686" s="453"/>
      <c r="BE686" s="453"/>
      <c r="BF686" s="470"/>
      <c r="BG686" s="453"/>
      <c r="BH686" s="453"/>
      <c r="BI686" s="453"/>
      <c r="BJ686" s="453"/>
      <c r="BK686" s="453"/>
      <c r="BL686" s="453"/>
      <c r="BM686" s="502"/>
      <c r="BN686" s="503"/>
      <c r="BO686" s="470"/>
      <c r="BP686" s="574"/>
      <c r="BQ686" s="458"/>
      <c r="BR686" s="577"/>
      <c r="BS686" s="524"/>
      <c r="BT686" s="590"/>
    </row>
    <row r="687" s="435" customFormat="1" ht="18" customHeight="1" spans="1:72">
      <c r="A687" s="451" t="s">
        <v>4032</v>
      </c>
      <c r="B687" s="543">
        <v>45630</v>
      </c>
      <c r="C687" s="581">
        <v>1000024892</v>
      </c>
      <c r="D687" s="451"/>
      <c r="E687" s="457"/>
      <c r="F687" s="453"/>
      <c r="G687" s="453"/>
      <c r="H687" s="453"/>
      <c r="I687" s="453"/>
      <c r="J687" s="453"/>
      <c r="K687" s="453"/>
      <c r="L687" s="453"/>
      <c r="M687" s="453"/>
      <c r="N687" s="453"/>
      <c r="O687" s="453"/>
      <c r="P687" s="453"/>
      <c r="Q687" s="453"/>
      <c r="R687" s="550"/>
      <c r="S687" s="453"/>
      <c r="T687" s="453"/>
      <c r="U687" s="453"/>
      <c r="V687" s="453"/>
      <c r="W687" s="453"/>
      <c r="X687" s="453"/>
      <c r="Y687" s="453"/>
      <c r="Z687" s="597"/>
      <c r="AA687" s="489"/>
      <c r="AB687" s="490"/>
      <c r="AC687" s="453"/>
      <c r="AD687" s="453"/>
      <c r="AE687" s="453"/>
      <c r="AF687" s="453"/>
      <c r="AG687" s="453"/>
      <c r="AH687" s="453"/>
      <c r="AI687" s="453"/>
      <c r="AJ687" s="453"/>
      <c r="AK687" s="453"/>
      <c r="AL687" s="453"/>
      <c r="AM687" s="453"/>
      <c r="AN687" s="453"/>
      <c r="AO687" s="453"/>
      <c r="AP687" s="453"/>
      <c r="AQ687" s="453"/>
      <c r="AR687" s="453"/>
      <c r="AS687" s="453"/>
      <c r="AT687" s="453"/>
      <c r="AU687" s="453"/>
      <c r="AV687" s="453"/>
      <c r="AW687" s="453"/>
      <c r="AX687" s="453"/>
      <c r="AY687" s="453"/>
      <c r="AZ687" s="453"/>
      <c r="BA687" s="532"/>
      <c r="BB687" s="502"/>
      <c r="BC687" s="503"/>
      <c r="BD687" s="453"/>
      <c r="BE687" s="453"/>
      <c r="BF687" s="470"/>
      <c r="BG687" s="453"/>
      <c r="BH687" s="453"/>
      <c r="BI687" s="453"/>
      <c r="BJ687" s="453"/>
      <c r="BK687" s="453"/>
      <c r="BL687" s="453"/>
      <c r="BM687" s="502"/>
      <c r="BN687" s="503"/>
      <c r="BO687" s="470"/>
      <c r="BP687" s="574"/>
      <c r="BQ687" s="550">
        <v>1224</v>
      </c>
      <c r="BR687" s="577"/>
      <c r="BS687" s="524"/>
      <c r="BT687" s="590"/>
    </row>
    <row r="688" s="435" customFormat="1" ht="18" customHeight="1" spans="1:72">
      <c r="A688" s="451" t="s">
        <v>4032</v>
      </c>
      <c r="B688" s="543">
        <v>45635</v>
      </c>
      <c r="C688" s="581">
        <v>1000024994</v>
      </c>
      <c r="D688" s="451"/>
      <c r="E688" s="457"/>
      <c r="F688" s="453"/>
      <c r="G688" s="453"/>
      <c r="H688" s="453"/>
      <c r="I688" s="453"/>
      <c r="J688" s="453"/>
      <c r="K688" s="453"/>
      <c r="L688" s="453"/>
      <c r="M688" s="453"/>
      <c r="N688" s="453"/>
      <c r="O688" s="453"/>
      <c r="P688" s="453"/>
      <c r="Q688" s="453"/>
      <c r="R688" s="550"/>
      <c r="S688" s="453"/>
      <c r="T688" s="453"/>
      <c r="U688" s="453"/>
      <c r="V688" s="453"/>
      <c r="W688" s="453"/>
      <c r="X688" s="453"/>
      <c r="Y688" s="453"/>
      <c r="Z688" s="597"/>
      <c r="AA688" s="489"/>
      <c r="AB688" s="490"/>
      <c r="AC688" s="453"/>
      <c r="AD688" s="453"/>
      <c r="AE688" s="453"/>
      <c r="AF688" s="453"/>
      <c r="AG688" s="453"/>
      <c r="AH688" s="453"/>
      <c r="AI688" s="453"/>
      <c r="AJ688" s="453"/>
      <c r="AK688" s="453"/>
      <c r="AL688" s="453"/>
      <c r="AM688" s="453"/>
      <c r="AN688" s="453"/>
      <c r="AO688" s="453"/>
      <c r="AP688" s="453"/>
      <c r="AQ688" s="453"/>
      <c r="AR688" s="453"/>
      <c r="AS688" s="453"/>
      <c r="AT688" s="453"/>
      <c r="AU688" s="453"/>
      <c r="AV688" s="453"/>
      <c r="AW688" s="453"/>
      <c r="AX688" s="453"/>
      <c r="AY688" s="453"/>
      <c r="AZ688" s="453">
        <v>8320</v>
      </c>
      <c r="BA688" s="532"/>
      <c r="BB688" s="502"/>
      <c r="BC688" s="503"/>
      <c r="BD688" s="453"/>
      <c r="BE688" s="453"/>
      <c r="BF688" s="470"/>
      <c r="BG688" s="453"/>
      <c r="BH688" s="453"/>
      <c r="BI688" s="453"/>
      <c r="BJ688" s="453"/>
      <c r="BK688" s="453"/>
      <c r="BL688" s="453"/>
      <c r="BM688" s="502"/>
      <c r="BN688" s="503"/>
      <c r="BO688" s="470"/>
      <c r="BP688" s="574"/>
      <c r="BQ688" s="550"/>
      <c r="BR688" s="577"/>
      <c r="BS688" s="524"/>
      <c r="BT688" s="590" t="s">
        <v>4109</v>
      </c>
    </row>
    <row r="689" s="435" customFormat="1" ht="18" customHeight="1" spans="1:72">
      <c r="A689" s="451" t="s">
        <v>4032</v>
      </c>
      <c r="B689" s="543">
        <v>45635</v>
      </c>
      <c r="C689" s="581">
        <v>1000024995</v>
      </c>
      <c r="D689" s="451"/>
      <c r="E689" s="457"/>
      <c r="F689" s="453"/>
      <c r="G689" s="453"/>
      <c r="H689" s="453"/>
      <c r="I689" s="453"/>
      <c r="J689" s="453"/>
      <c r="K689" s="453"/>
      <c r="L689" s="453"/>
      <c r="M689" s="453"/>
      <c r="N689" s="453"/>
      <c r="O689" s="453"/>
      <c r="P689" s="453"/>
      <c r="Q689" s="453"/>
      <c r="R689" s="550"/>
      <c r="S689" s="453"/>
      <c r="T689" s="453"/>
      <c r="U689" s="453"/>
      <c r="V689" s="453"/>
      <c r="W689" s="453"/>
      <c r="X689" s="453"/>
      <c r="Y689" s="453"/>
      <c r="Z689" s="597"/>
      <c r="AA689" s="489"/>
      <c r="AB689" s="490"/>
      <c r="AC689" s="453"/>
      <c r="AD689" s="453"/>
      <c r="AE689" s="453"/>
      <c r="AF689" s="453"/>
      <c r="AG689" s="453"/>
      <c r="AH689" s="453"/>
      <c r="AI689" s="453"/>
      <c r="AJ689" s="453"/>
      <c r="AK689" s="453"/>
      <c r="AL689" s="453"/>
      <c r="AM689" s="453"/>
      <c r="AN689" s="453"/>
      <c r="AO689" s="453"/>
      <c r="AP689" s="453"/>
      <c r="AQ689" s="453"/>
      <c r="AR689" s="453"/>
      <c r="AS689" s="453"/>
      <c r="AT689" s="453"/>
      <c r="AU689" s="453"/>
      <c r="AV689" s="453"/>
      <c r="AW689" s="453"/>
      <c r="AX689" s="453"/>
      <c r="AY689" s="453"/>
      <c r="AZ689" s="453"/>
      <c r="BA689" s="532"/>
      <c r="BB689" s="502">
        <v>1920</v>
      </c>
      <c r="BC689" s="503"/>
      <c r="BD689" s="453"/>
      <c r="BE689" s="453"/>
      <c r="BF689" s="470"/>
      <c r="BG689" s="453"/>
      <c r="BH689" s="453"/>
      <c r="BI689" s="453"/>
      <c r="BJ689" s="453"/>
      <c r="BK689" s="453"/>
      <c r="BL689" s="453"/>
      <c r="BM689" s="502"/>
      <c r="BN689" s="503"/>
      <c r="BO689" s="470"/>
      <c r="BP689" s="574"/>
      <c r="BQ689" s="550"/>
      <c r="BR689" s="577"/>
      <c r="BS689" s="524"/>
      <c r="BT689" s="590" t="s">
        <v>4110</v>
      </c>
    </row>
    <row r="690" s="435" customFormat="1" ht="18" customHeight="1" spans="1:72">
      <c r="A690" s="458" t="s">
        <v>4032</v>
      </c>
      <c r="B690" s="543">
        <v>45644</v>
      </c>
      <c r="C690" s="451">
        <v>1000025238</v>
      </c>
      <c r="D690" s="451"/>
      <c r="E690" s="457"/>
      <c r="F690" s="453"/>
      <c r="G690" s="453"/>
      <c r="H690" s="453"/>
      <c r="I690" s="453"/>
      <c r="J690" s="453"/>
      <c r="K690" s="453"/>
      <c r="L690" s="453"/>
      <c r="M690" s="453"/>
      <c r="N690" s="453"/>
      <c r="O690" s="453">
        <v>10001</v>
      </c>
      <c r="P690" s="453"/>
      <c r="Q690" s="453"/>
      <c r="R690" s="550"/>
      <c r="S690" s="453"/>
      <c r="T690" s="453"/>
      <c r="U690" s="453"/>
      <c r="V690" s="453"/>
      <c r="W690" s="453"/>
      <c r="X690" s="453"/>
      <c r="Y690" s="453"/>
      <c r="Z690" s="597"/>
      <c r="AA690" s="489"/>
      <c r="AB690" s="490"/>
      <c r="AC690" s="453"/>
      <c r="AD690" s="453"/>
      <c r="AE690" s="453"/>
      <c r="AF690" s="453"/>
      <c r="AG690" s="453"/>
      <c r="AH690" s="453"/>
      <c r="AI690" s="453"/>
      <c r="AJ690" s="453"/>
      <c r="AK690" s="453"/>
      <c r="AL690" s="453"/>
      <c r="AM690" s="453"/>
      <c r="AN690" s="453"/>
      <c r="AO690" s="453"/>
      <c r="AP690" s="453"/>
      <c r="AQ690" s="453"/>
      <c r="AR690" s="453"/>
      <c r="AS690" s="453"/>
      <c r="AT690" s="453"/>
      <c r="AU690" s="453"/>
      <c r="AV690" s="453"/>
      <c r="AW690" s="453"/>
      <c r="AX690" s="453"/>
      <c r="AY690" s="453"/>
      <c r="AZ690" s="453"/>
      <c r="BA690" s="532"/>
      <c r="BB690" s="502"/>
      <c r="BC690" s="503"/>
      <c r="BD690" s="453"/>
      <c r="BE690" s="453"/>
      <c r="BF690" s="470"/>
      <c r="BG690" s="453"/>
      <c r="BH690" s="453"/>
      <c r="BI690" s="453"/>
      <c r="BJ690" s="453"/>
      <c r="BK690" s="453"/>
      <c r="BL690" s="453"/>
      <c r="BM690" s="502"/>
      <c r="BN690" s="503"/>
      <c r="BO690" s="470"/>
      <c r="BP690" s="574"/>
      <c r="BQ690" s="550"/>
      <c r="BR690" s="577"/>
      <c r="BS690" s="524"/>
      <c r="BT690" s="590"/>
    </row>
    <row r="691" s="435" customFormat="1" ht="18" customHeight="1" spans="1:72">
      <c r="A691" s="458" t="s">
        <v>4032</v>
      </c>
      <c r="B691" s="543">
        <v>45644</v>
      </c>
      <c r="C691" s="451">
        <v>1000025239</v>
      </c>
      <c r="D691" s="451"/>
      <c r="E691" s="457"/>
      <c r="F691" s="453"/>
      <c r="G691" s="453"/>
      <c r="H691" s="453"/>
      <c r="I691" s="453"/>
      <c r="J691" s="453"/>
      <c r="K691" s="453"/>
      <c r="L691" s="453"/>
      <c r="M691" s="453"/>
      <c r="N691" s="453"/>
      <c r="O691" s="453"/>
      <c r="P691" s="453"/>
      <c r="Q691" s="453"/>
      <c r="R691" s="550"/>
      <c r="S691" s="453"/>
      <c r="T691" s="453">
        <v>20001</v>
      </c>
      <c r="U691" s="453"/>
      <c r="V691" s="453"/>
      <c r="W691" s="453"/>
      <c r="X691" s="453"/>
      <c r="Y691" s="453"/>
      <c r="Z691" s="597"/>
      <c r="AA691" s="489"/>
      <c r="AB691" s="490"/>
      <c r="AC691" s="453"/>
      <c r="AD691" s="453"/>
      <c r="AE691" s="453"/>
      <c r="AF691" s="453"/>
      <c r="AG691" s="453"/>
      <c r="AH691" s="453"/>
      <c r="AI691" s="453"/>
      <c r="AJ691" s="453"/>
      <c r="AK691" s="453"/>
      <c r="AL691" s="453"/>
      <c r="AM691" s="453"/>
      <c r="AN691" s="453"/>
      <c r="AO691" s="453"/>
      <c r="AP691" s="453"/>
      <c r="AQ691" s="453"/>
      <c r="AR691" s="453"/>
      <c r="AS691" s="453"/>
      <c r="AT691" s="453"/>
      <c r="AU691" s="453"/>
      <c r="AV691" s="453"/>
      <c r="AW691" s="453"/>
      <c r="AX691" s="453"/>
      <c r="AY691" s="453"/>
      <c r="AZ691" s="453"/>
      <c r="BA691" s="532"/>
      <c r="BB691" s="502"/>
      <c r="BC691" s="503"/>
      <c r="BD691" s="453"/>
      <c r="BE691" s="453"/>
      <c r="BF691" s="470"/>
      <c r="BG691" s="453"/>
      <c r="BH691" s="453"/>
      <c r="BI691" s="453"/>
      <c r="BJ691" s="453"/>
      <c r="BK691" s="453"/>
      <c r="BL691" s="453"/>
      <c r="BM691" s="502"/>
      <c r="BN691" s="503"/>
      <c r="BO691" s="470"/>
      <c r="BP691" s="574"/>
      <c r="BQ691" s="550"/>
      <c r="BR691" s="577"/>
      <c r="BS691" s="524"/>
      <c r="BT691" s="590"/>
    </row>
    <row r="692" s="435" customFormat="1" ht="18" customHeight="1" spans="1:72">
      <c r="A692" s="458" t="s">
        <v>4032</v>
      </c>
      <c r="B692" s="543">
        <v>45644</v>
      </c>
      <c r="C692" s="451">
        <v>1000025240</v>
      </c>
      <c r="D692" s="451"/>
      <c r="E692" s="457"/>
      <c r="F692" s="453"/>
      <c r="G692" s="453"/>
      <c r="H692" s="453"/>
      <c r="I692" s="453"/>
      <c r="J692" s="453"/>
      <c r="K692" s="453"/>
      <c r="L692" s="453"/>
      <c r="M692" s="453"/>
      <c r="N692" s="453"/>
      <c r="O692" s="453"/>
      <c r="P692" s="453"/>
      <c r="Q692" s="453"/>
      <c r="R692" s="550"/>
      <c r="S692" s="453"/>
      <c r="T692" s="453"/>
      <c r="U692" s="453"/>
      <c r="V692" s="453"/>
      <c r="W692" s="453"/>
      <c r="X692" s="453"/>
      <c r="Y692" s="453"/>
      <c r="Z692" s="597"/>
      <c r="AA692" s="489"/>
      <c r="AB692" s="490"/>
      <c r="AC692" s="453"/>
      <c r="AD692" s="453"/>
      <c r="AE692" s="453"/>
      <c r="AF692" s="453">
        <v>10001</v>
      </c>
      <c r="AG692" s="453"/>
      <c r="AH692" s="453"/>
      <c r="AI692" s="453"/>
      <c r="AJ692" s="453"/>
      <c r="AK692" s="453"/>
      <c r="AL692" s="453"/>
      <c r="AM692" s="453"/>
      <c r="AN692" s="453"/>
      <c r="AO692" s="453"/>
      <c r="AP692" s="453"/>
      <c r="AQ692" s="453"/>
      <c r="AR692" s="453"/>
      <c r="AS692" s="453"/>
      <c r="AT692" s="453"/>
      <c r="AU692" s="453"/>
      <c r="AV692" s="453"/>
      <c r="AW692" s="453"/>
      <c r="AX692" s="453"/>
      <c r="AY692" s="453"/>
      <c r="AZ692" s="453"/>
      <c r="BA692" s="532"/>
      <c r="BB692" s="502"/>
      <c r="BC692" s="503"/>
      <c r="BD692" s="453"/>
      <c r="BE692" s="453"/>
      <c r="BF692" s="470"/>
      <c r="BG692" s="453"/>
      <c r="BH692" s="453"/>
      <c r="BI692" s="453"/>
      <c r="BJ692" s="453"/>
      <c r="BK692" s="453"/>
      <c r="BL692" s="453"/>
      <c r="BM692" s="502"/>
      <c r="BN692" s="503"/>
      <c r="BO692" s="470"/>
      <c r="BP692" s="574"/>
      <c r="BQ692" s="550"/>
      <c r="BR692" s="577"/>
      <c r="BS692" s="524"/>
      <c r="BT692" s="590"/>
    </row>
    <row r="693" s="435" customFormat="1" ht="18" customHeight="1" spans="1:72">
      <c r="A693" s="458" t="s">
        <v>4032</v>
      </c>
      <c r="B693" s="543">
        <v>45644</v>
      </c>
      <c r="C693" s="451">
        <v>1000025241</v>
      </c>
      <c r="D693" s="451"/>
      <c r="E693" s="457"/>
      <c r="F693" s="453"/>
      <c r="G693" s="453"/>
      <c r="H693" s="453"/>
      <c r="I693" s="453"/>
      <c r="J693" s="453"/>
      <c r="K693" s="453"/>
      <c r="L693" s="453"/>
      <c r="M693" s="453"/>
      <c r="N693" s="453"/>
      <c r="O693" s="453"/>
      <c r="P693" s="453"/>
      <c r="Q693" s="453"/>
      <c r="R693" s="550"/>
      <c r="S693" s="453"/>
      <c r="T693" s="453"/>
      <c r="U693" s="453"/>
      <c r="V693" s="453"/>
      <c r="W693" s="453"/>
      <c r="X693" s="453"/>
      <c r="Y693" s="453"/>
      <c r="Z693" s="597"/>
      <c r="AA693" s="489"/>
      <c r="AB693" s="490"/>
      <c r="AC693" s="453"/>
      <c r="AD693" s="453"/>
      <c r="AE693" s="453"/>
      <c r="AF693" s="453"/>
      <c r="AG693" s="453"/>
      <c r="AH693" s="453"/>
      <c r="AI693" s="453"/>
      <c r="AJ693" s="453"/>
      <c r="AK693" s="453"/>
      <c r="AL693" s="453"/>
      <c r="AM693" s="453"/>
      <c r="AN693" s="453"/>
      <c r="AO693" s="453"/>
      <c r="AP693" s="453"/>
      <c r="AQ693" s="453"/>
      <c r="AR693" s="453"/>
      <c r="AS693" s="453"/>
      <c r="AT693" s="453"/>
      <c r="AU693" s="453">
        <v>40000</v>
      </c>
      <c r="AV693" s="453"/>
      <c r="AW693" s="453"/>
      <c r="AX693" s="453"/>
      <c r="AY693" s="453"/>
      <c r="AZ693" s="453"/>
      <c r="BA693" s="532"/>
      <c r="BB693" s="502"/>
      <c r="BC693" s="503"/>
      <c r="BD693" s="453"/>
      <c r="BE693" s="453"/>
      <c r="BF693" s="470"/>
      <c r="BG693" s="453"/>
      <c r="BH693" s="453"/>
      <c r="BI693" s="453"/>
      <c r="BJ693" s="453"/>
      <c r="BK693" s="453"/>
      <c r="BL693" s="453"/>
      <c r="BM693" s="502"/>
      <c r="BN693" s="503"/>
      <c r="BO693" s="470"/>
      <c r="BP693" s="574"/>
      <c r="BQ693" s="550"/>
      <c r="BR693" s="577"/>
      <c r="BS693" s="524"/>
      <c r="BT693" s="590"/>
    </row>
    <row r="694" s="435" customFormat="1" ht="18" customHeight="1" spans="1:72">
      <c r="A694" s="458" t="s">
        <v>4032</v>
      </c>
      <c r="B694" s="543">
        <v>45674</v>
      </c>
      <c r="C694" s="451">
        <v>1000025598</v>
      </c>
      <c r="D694" s="451"/>
      <c r="E694" s="457"/>
      <c r="F694" s="453"/>
      <c r="G694" s="453"/>
      <c r="H694" s="453"/>
      <c r="I694" s="453"/>
      <c r="J694" s="453"/>
      <c r="K694" s="453"/>
      <c r="L694" s="453"/>
      <c r="M694" s="453"/>
      <c r="N694" s="453"/>
      <c r="O694" s="453"/>
      <c r="P694" s="453"/>
      <c r="Q694" s="453"/>
      <c r="R694" s="550"/>
      <c r="S694" s="453"/>
      <c r="T694" s="453"/>
      <c r="U694" s="453"/>
      <c r="V694" s="453">
        <v>12142</v>
      </c>
      <c r="W694" s="453"/>
      <c r="X694" s="453"/>
      <c r="Y694" s="453"/>
      <c r="Z694" s="597" t="s">
        <v>4111</v>
      </c>
      <c r="AA694" s="489"/>
      <c r="AB694" s="490"/>
      <c r="AC694" s="453"/>
      <c r="AD694" s="453"/>
      <c r="AE694" s="453"/>
      <c r="AF694" s="453"/>
      <c r="AG694" s="453"/>
      <c r="AH694" s="453"/>
      <c r="AI694" s="453"/>
      <c r="AJ694" s="453"/>
      <c r="AK694" s="453"/>
      <c r="AL694" s="453"/>
      <c r="AM694" s="453"/>
      <c r="AN694" s="453"/>
      <c r="AO694" s="453"/>
      <c r="AP694" s="453"/>
      <c r="AQ694" s="453"/>
      <c r="AR694" s="453"/>
      <c r="AS694" s="453"/>
      <c r="AT694" s="453"/>
      <c r="AU694" s="453"/>
      <c r="AV694" s="453"/>
      <c r="AW694" s="453"/>
      <c r="AX694" s="453"/>
      <c r="AY694" s="453"/>
      <c r="AZ694" s="453"/>
      <c r="BA694" s="532"/>
      <c r="BB694" s="502"/>
      <c r="BC694" s="503"/>
      <c r="BD694" s="453"/>
      <c r="BE694" s="453"/>
      <c r="BF694" s="470"/>
      <c r="BG694" s="453"/>
      <c r="BH694" s="453"/>
      <c r="BI694" s="453"/>
      <c r="BJ694" s="453"/>
      <c r="BK694" s="453"/>
      <c r="BL694" s="453"/>
      <c r="BM694" s="502"/>
      <c r="BN694" s="503"/>
      <c r="BO694" s="470"/>
      <c r="BP694" s="574"/>
      <c r="BQ694" s="550"/>
      <c r="BR694" s="577"/>
      <c r="BS694" s="524"/>
      <c r="BT694" s="590"/>
    </row>
    <row r="695" s="435" customFormat="1" ht="18" customHeight="1" spans="1:72">
      <c r="A695" s="458" t="s">
        <v>4032</v>
      </c>
      <c r="B695" s="543">
        <v>45677</v>
      </c>
      <c r="C695" s="451" t="s">
        <v>4106</v>
      </c>
      <c r="D695" s="451"/>
      <c r="E695" s="457"/>
      <c r="F695" s="453"/>
      <c r="G695" s="453"/>
      <c r="H695" s="453"/>
      <c r="I695" s="453"/>
      <c r="J695" s="453"/>
      <c r="K695" s="453"/>
      <c r="L695" s="453"/>
      <c r="M695" s="453"/>
      <c r="N695" s="453"/>
      <c r="O695" s="453"/>
      <c r="P695" s="453"/>
      <c r="Q695" s="453"/>
      <c r="R695" s="550"/>
      <c r="S695" s="453"/>
      <c r="T695" s="453"/>
      <c r="U695" s="453"/>
      <c r="V695" s="453"/>
      <c r="W695" s="453"/>
      <c r="X695" s="453"/>
      <c r="Y695" s="453"/>
      <c r="Z695" s="597"/>
      <c r="AA695" s="489"/>
      <c r="AB695" s="490"/>
      <c r="AC695" s="453"/>
      <c r="AD695" s="453"/>
      <c r="AE695" s="453"/>
      <c r="AF695" s="453"/>
      <c r="AG695" s="453"/>
      <c r="AH695" s="453"/>
      <c r="AI695" s="453"/>
      <c r="AJ695" s="453"/>
      <c r="AK695" s="453"/>
      <c r="AL695" s="453"/>
      <c r="AM695" s="453"/>
      <c r="AN695" s="453"/>
      <c r="AO695" s="453"/>
      <c r="AP695" s="453"/>
      <c r="AQ695" s="453"/>
      <c r="AR695" s="453"/>
      <c r="AS695" s="453"/>
      <c r="AT695" s="453"/>
      <c r="AU695" s="453"/>
      <c r="AV695" s="453"/>
      <c r="AW695" s="453"/>
      <c r="AX695" s="453"/>
      <c r="AY695" s="453">
        <v>5028</v>
      </c>
      <c r="AZ695" s="453"/>
      <c r="BA695" s="532"/>
      <c r="BB695" s="502"/>
      <c r="BC695" s="503"/>
      <c r="BD695" s="453"/>
      <c r="BE695" s="453"/>
      <c r="BF695" s="470"/>
      <c r="BG695" s="453"/>
      <c r="BH695" s="453"/>
      <c r="BI695" s="453"/>
      <c r="BJ695" s="453"/>
      <c r="BK695" s="453"/>
      <c r="BL695" s="453"/>
      <c r="BM695" s="502"/>
      <c r="BN695" s="503"/>
      <c r="BO695" s="470"/>
      <c r="BP695" s="574"/>
      <c r="BQ695" s="550"/>
      <c r="BR695" s="577"/>
      <c r="BS695" s="524"/>
      <c r="BT695" s="590" t="s">
        <v>4112</v>
      </c>
    </row>
    <row r="696" s="435" customFormat="1" ht="18" customHeight="1" spans="1:72">
      <c r="A696" s="458"/>
      <c r="B696" s="543"/>
      <c r="C696" s="451"/>
      <c r="D696" s="451"/>
      <c r="E696" s="457"/>
      <c r="F696" s="453"/>
      <c r="G696" s="453"/>
      <c r="H696" s="453"/>
      <c r="I696" s="453"/>
      <c r="J696" s="453"/>
      <c r="K696" s="453"/>
      <c r="L696" s="453"/>
      <c r="M696" s="453"/>
      <c r="N696" s="453"/>
      <c r="O696" s="453"/>
      <c r="P696" s="453"/>
      <c r="Q696" s="453"/>
      <c r="R696" s="550"/>
      <c r="S696" s="453"/>
      <c r="T696" s="453"/>
      <c r="U696" s="453"/>
      <c r="V696" s="453"/>
      <c r="W696" s="453"/>
      <c r="X696" s="453"/>
      <c r="Y696" s="453"/>
      <c r="Z696" s="597"/>
      <c r="AA696" s="489"/>
      <c r="AB696" s="490"/>
      <c r="AC696" s="453"/>
      <c r="AD696" s="453"/>
      <c r="AE696" s="453"/>
      <c r="AF696" s="453"/>
      <c r="AG696" s="453"/>
      <c r="AH696" s="453"/>
      <c r="AI696" s="453"/>
      <c r="AJ696" s="453"/>
      <c r="AK696" s="453"/>
      <c r="AL696" s="453"/>
      <c r="AM696" s="453"/>
      <c r="AN696" s="453"/>
      <c r="AO696" s="453"/>
      <c r="AP696" s="453"/>
      <c r="AQ696" s="453"/>
      <c r="AR696" s="453"/>
      <c r="AS696" s="453"/>
      <c r="AT696" s="453"/>
      <c r="AU696" s="453"/>
      <c r="AV696" s="453"/>
      <c r="AW696" s="453"/>
      <c r="AX696" s="453"/>
      <c r="AY696" s="453"/>
      <c r="AZ696" s="453"/>
      <c r="BA696" s="532"/>
      <c r="BB696" s="502"/>
      <c r="BC696" s="503"/>
      <c r="BD696" s="453"/>
      <c r="BE696" s="453"/>
      <c r="BF696" s="470"/>
      <c r="BG696" s="453"/>
      <c r="BH696" s="453"/>
      <c r="BI696" s="453"/>
      <c r="BJ696" s="453"/>
      <c r="BK696" s="453"/>
      <c r="BL696" s="453"/>
      <c r="BM696" s="502"/>
      <c r="BN696" s="503"/>
      <c r="BO696" s="470"/>
      <c r="BP696" s="574"/>
      <c r="BQ696" s="550"/>
      <c r="BR696" s="577"/>
      <c r="BS696" s="524"/>
      <c r="BT696" s="590"/>
    </row>
    <row r="697" s="435" customFormat="1" ht="18" customHeight="1" spans="1:72">
      <c r="A697" s="458"/>
      <c r="B697" s="543"/>
      <c r="C697" s="451"/>
      <c r="D697" s="451"/>
      <c r="E697" s="457"/>
      <c r="F697" s="453"/>
      <c r="G697" s="453"/>
      <c r="H697" s="453"/>
      <c r="I697" s="453"/>
      <c r="J697" s="453"/>
      <c r="K697" s="453"/>
      <c r="L697" s="453"/>
      <c r="M697" s="453"/>
      <c r="N697" s="453"/>
      <c r="O697" s="453"/>
      <c r="P697" s="453"/>
      <c r="Q697" s="453"/>
      <c r="R697" s="550"/>
      <c r="S697" s="453"/>
      <c r="T697" s="453"/>
      <c r="U697" s="453"/>
      <c r="V697" s="453"/>
      <c r="W697" s="453"/>
      <c r="X697" s="453"/>
      <c r="Y697" s="453"/>
      <c r="Z697" s="597"/>
      <c r="AA697" s="489"/>
      <c r="AB697" s="490"/>
      <c r="AC697" s="453"/>
      <c r="AD697" s="453"/>
      <c r="AE697" s="453"/>
      <c r="AF697" s="453"/>
      <c r="AG697" s="453"/>
      <c r="AH697" s="453"/>
      <c r="AI697" s="453"/>
      <c r="AJ697" s="453"/>
      <c r="AK697" s="453"/>
      <c r="AL697" s="453"/>
      <c r="AM697" s="453"/>
      <c r="AN697" s="453"/>
      <c r="AO697" s="453"/>
      <c r="AP697" s="453"/>
      <c r="AQ697" s="453"/>
      <c r="AR697" s="453"/>
      <c r="AS697" s="453"/>
      <c r="AT697" s="453"/>
      <c r="AU697" s="453"/>
      <c r="AV697" s="453"/>
      <c r="AW697" s="453"/>
      <c r="AX697" s="453"/>
      <c r="AY697" s="453"/>
      <c r="AZ697" s="453"/>
      <c r="BA697" s="532"/>
      <c r="BB697" s="502"/>
      <c r="BC697" s="503"/>
      <c r="BD697" s="453"/>
      <c r="BE697" s="453"/>
      <c r="BF697" s="470"/>
      <c r="BG697" s="453"/>
      <c r="BH697" s="453"/>
      <c r="BI697" s="453"/>
      <c r="BJ697" s="453"/>
      <c r="BK697" s="453"/>
      <c r="BL697" s="453"/>
      <c r="BM697" s="502"/>
      <c r="BN697" s="503"/>
      <c r="BO697" s="470"/>
      <c r="BP697" s="574"/>
      <c r="BQ697" s="550"/>
      <c r="BR697" s="577"/>
      <c r="BS697" s="524"/>
      <c r="BT697" s="590"/>
    </row>
    <row r="698" s="435" customFormat="1" ht="18" customHeight="1" spans="1:72">
      <c r="A698" s="458" t="s">
        <v>4032</v>
      </c>
      <c r="B698" s="543">
        <v>45678</v>
      </c>
      <c r="C698" s="451">
        <v>1000025621</v>
      </c>
      <c r="D698" s="451"/>
      <c r="E698" s="457"/>
      <c r="F698" s="453"/>
      <c r="G698" s="453"/>
      <c r="H698" s="453"/>
      <c r="I698" s="453"/>
      <c r="J698" s="453"/>
      <c r="K698" s="453"/>
      <c r="L698" s="453"/>
      <c r="M698" s="453"/>
      <c r="N698" s="453"/>
      <c r="O698" s="453"/>
      <c r="P698" s="453"/>
      <c r="Q698" s="453"/>
      <c r="R698" s="550"/>
      <c r="S698" s="453"/>
      <c r="T698" s="453"/>
      <c r="U698" s="453"/>
      <c r="V698" s="453"/>
      <c r="W698" s="453"/>
      <c r="X698" s="453"/>
      <c r="Y698" s="453"/>
      <c r="Z698" s="597"/>
      <c r="AA698" s="489"/>
      <c r="AB698" s="490"/>
      <c r="AC698" s="453"/>
      <c r="AD698" s="453"/>
      <c r="AE698" s="453"/>
      <c r="AF698" s="453"/>
      <c r="AG698" s="453"/>
      <c r="AH698" s="453"/>
      <c r="AI698" s="453"/>
      <c r="AJ698" s="453"/>
      <c r="AK698" s="453"/>
      <c r="AL698" s="453"/>
      <c r="AM698" s="453"/>
      <c r="AN698" s="453"/>
      <c r="AO698" s="453"/>
      <c r="AP698" s="453"/>
      <c r="AQ698" s="453"/>
      <c r="AR698" s="453"/>
      <c r="AS698" s="453"/>
      <c r="AT698" s="453"/>
      <c r="AU698" s="453"/>
      <c r="AV698" s="453"/>
      <c r="AW698" s="453"/>
      <c r="AX698" s="453"/>
      <c r="AY698" s="453"/>
      <c r="AZ698" s="453"/>
      <c r="BA698" s="532"/>
      <c r="BB698" s="502"/>
      <c r="BC698" s="503"/>
      <c r="BD698" s="453"/>
      <c r="BE698" s="453"/>
      <c r="BF698" s="470"/>
      <c r="BG698" s="453"/>
      <c r="BH698" s="453"/>
      <c r="BI698" s="453"/>
      <c r="BJ698" s="453"/>
      <c r="BK698" s="453"/>
      <c r="BL698" s="453"/>
      <c r="BM698" s="502"/>
      <c r="BN698" s="503"/>
      <c r="BO698" s="470"/>
      <c r="BP698" s="574"/>
      <c r="BQ698" s="458">
        <v>1134</v>
      </c>
      <c r="BR698" s="577"/>
      <c r="BS698" s="524"/>
      <c r="BT698" s="590"/>
    </row>
    <row r="699" s="435" customFormat="1" ht="18" customHeight="1" spans="1:72">
      <c r="A699" s="458" t="s">
        <v>4032</v>
      </c>
      <c r="B699" s="543">
        <v>45705</v>
      </c>
      <c r="C699" s="581">
        <v>1000025810</v>
      </c>
      <c r="D699" s="451"/>
      <c r="E699" s="457"/>
      <c r="F699" s="453"/>
      <c r="G699" s="453"/>
      <c r="H699" s="453"/>
      <c r="I699" s="453"/>
      <c r="J699" s="453"/>
      <c r="K699" s="453"/>
      <c r="L699" s="453"/>
      <c r="M699" s="453"/>
      <c r="N699" s="453"/>
      <c r="O699" s="453"/>
      <c r="P699" s="453"/>
      <c r="Q699" s="453">
        <v>5001</v>
      </c>
      <c r="R699" s="550"/>
      <c r="S699" s="453"/>
      <c r="T699" s="453"/>
      <c r="U699" s="453"/>
      <c r="V699" s="453"/>
      <c r="W699" s="453"/>
      <c r="X699" s="453"/>
      <c r="Y699" s="453"/>
      <c r="Z699" s="597"/>
      <c r="AA699" s="489"/>
      <c r="AB699" s="490"/>
      <c r="AC699" s="453"/>
      <c r="AD699" s="453"/>
      <c r="AE699" s="453"/>
      <c r="AF699" s="453"/>
      <c r="AG699" s="453"/>
      <c r="AH699" s="453"/>
      <c r="AI699" s="453"/>
      <c r="AJ699" s="453"/>
      <c r="AK699" s="453"/>
      <c r="AL699" s="453"/>
      <c r="AM699" s="453"/>
      <c r="AN699" s="453"/>
      <c r="AO699" s="453"/>
      <c r="AP699" s="453"/>
      <c r="AQ699" s="453"/>
      <c r="AR699" s="453"/>
      <c r="AS699" s="453"/>
      <c r="AT699" s="453"/>
      <c r="AU699" s="453"/>
      <c r="AV699" s="453"/>
      <c r="AW699" s="453"/>
      <c r="AX699" s="453"/>
      <c r="AY699" s="453"/>
      <c r="AZ699" s="453"/>
      <c r="BA699" s="532"/>
      <c r="BB699" s="502"/>
      <c r="BC699" s="503"/>
      <c r="BD699" s="453"/>
      <c r="BE699" s="453"/>
      <c r="BF699" s="470"/>
      <c r="BG699" s="453"/>
      <c r="BH699" s="453"/>
      <c r="BI699" s="453"/>
      <c r="BJ699" s="453"/>
      <c r="BK699" s="453"/>
      <c r="BL699" s="453"/>
      <c r="BM699" s="502"/>
      <c r="BN699" s="503"/>
      <c r="BO699" s="470"/>
      <c r="BP699" s="574"/>
      <c r="BQ699" s="458"/>
      <c r="BR699" s="577"/>
      <c r="BS699" s="524"/>
      <c r="BT699" s="590"/>
    </row>
    <row r="700" s="435" customFormat="1" ht="18" customHeight="1" spans="1:72">
      <c r="A700" s="458" t="s">
        <v>4032</v>
      </c>
      <c r="B700" s="543">
        <v>45705</v>
      </c>
      <c r="C700" s="581">
        <v>1000025811</v>
      </c>
      <c r="D700" s="451"/>
      <c r="E700" s="457"/>
      <c r="F700" s="453"/>
      <c r="G700" s="453"/>
      <c r="H700" s="453"/>
      <c r="I700" s="453"/>
      <c r="J700" s="453"/>
      <c r="K700" s="453"/>
      <c r="L700" s="453"/>
      <c r="M700" s="453"/>
      <c r="N700" s="453"/>
      <c r="O700" s="453"/>
      <c r="P700" s="453"/>
      <c r="Q700" s="453"/>
      <c r="R700" s="550"/>
      <c r="S700" s="453"/>
      <c r="T700" s="453">
        <v>20001</v>
      </c>
      <c r="U700" s="453"/>
      <c r="V700" s="453"/>
      <c r="W700" s="453"/>
      <c r="X700" s="453"/>
      <c r="Y700" s="453"/>
      <c r="Z700" s="597"/>
      <c r="AA700" s="489"/>
      <c r="AB700" s="490"/>
      <c r="AC700" s="453"/>
      <c r="AD700" s="453"/>
      <c r="AE700" s="453"/>
      <c r="AF700" s="453"/>
      <c r="AG700" s="453"/>
      <c r="AH700" s="453"/>
      <c r="AI700" s="453"/>
      <c r="AJ700" s="453"/>
      <c r="AK700" s="453"/>
      <c r="AL700" s="453"/>
      <c r="AM700" s="453"/>
      <c r="AN700" s="453"/>
      <c r="AO700" s="453"/>
      <c r="AP700" s="453"/>
      <c r="AQ700" s="453"/>
      <c r="AR700" s="453"/>
      <c r="AS700" s="453"/>
      <c r="AT700" s="453"/>
      <c r="AU700" s="453"/>
      <c r="AV700" s="453"/>
      <c r="AW700" s="453"/>
      <c r="AX700" s="453"/>
      <c r="AY700" s="453"/>
      <c r="AZ700" s="453"/>
      <c r="BA700" s="532"/>
      <c r="BB700" s="502"/>
      <c r="BC700" s="503"/>
      <c r="BD700" s="453"/>
      <c r="BE700" s="453"/>
      <c r="BF700" s="470"/>
      <c r="BG700" s="453"/>
      <c r="BH700" s="453"/>
      <c r="BI700" s="453"/>
      <c r="BJ700" s="453"/>
      <c r="BK700" s="453"/>
      <c r="BL700" s="453"/>
      <c r="BM700" s="502"/>
      <c r="BN700" s="503"/>
      <c r="BO700" s="470"/>
      <c r="BP700" s="574"/>
      <c r="BQ700" s="458"/>
      <c r="BR700" s="577"/>
      <c r="BS700" s="524"/>
      <c r="BT700" s="590"/>
    </row>
    <row r="701" s="435" customFormat="1" ht="18" customHeight="1" spans="1:72">
      <c r="A701" s="458" t="s">
        <v>4032</v>
      </c>
      <c r="B701" s="543">
        <v>45714</v>
      </c>
      <c r="C701" s="581">
        <v>1000025998</v>
      </c>
      <c r="D701" s="451"/>
      <c r="E701" s="457"/>
      <c r="F701" s="453"/>
      <c r="G701" s="453"/>
      <c r="H701" s="453"/>
      <c r="I701" s="453"/>
      <c r="J701" s="453"/>
      <c r="K701" s="453"/>
      <c r="L701" s="453"/>
      <c r="M701" s="453"/>
      <c r="N701" s="453"/>
      <c r="O701" s="453"/>
      <c r="P701" s="453"/>
      <c r="Q701" s="453"/>
      <c r="R701" s="550"/>
      <c r="S701" s="453"/>
      <c r="T701" s="453"/>
      <c r="U701" s="453"/>
      <c r="V701" s="453"/>
      <c r="W701" s="453"/>
      <c r="X701" s="453"/>
      <c r="Y701" s="453"/>
      <c r="Z701" s="597"/>
      <c r="AA701" s="489"/>
      <c r="AB701" s="490"/>
      <c r="AC701" s="453"/>
      <c r="AD701" s="453"/>
      <c r="AE701" s="453"/>
      <c r="AF701" s="453">
        <v>11000</v>
      </c>
      <c r="AG701" s="453"/>
      <c r="AH701" s="453"/>
      <c r="AI701" s="453"/>
      <c r="AJ701" s="453"/>
      <c r="AK701" s="453"/>
      <c r="AL701" s="453"/>
      <c r="AM701" s="453"/>
      <c r="AN701" s="453"/>
      <c r="AO701" s="453"/>
      <c r="AP701" s="453"/>
      <c r="AQ701" s="453"/>
      <c r="AR701" s="453"/>
      <c r="AS701" s="453"/>
      <c r="AT701" s="453"/>
      <c r="AU701" s="453"/>
      <c r="AV701" s="453"/>
      <c r="AW701" s="453"/>
      <c r="AX701" s="453"/>
      <c r="AY701" s="453"/>
      <c r="AZ701" s="453"/>
      <c r="BA701" s="532"/>
      <c r="BB701" s="502"/>
      <c r="BC701" s="503"/>
      <c r="BD701" s="453"/>
      <c r="BE701" s="453"/>
      <c r="BF701" s="470"/>
      <c r="BG701" s="453"/>
      <c r="BH701" s="453"/>
      <c r="BI701" s="453"/>
      <c r="BJ701" s="453"/>
      <c r="BK701" s="453"/>
      <c r="BL701" s="453"/>
      <c r="BM701" s="502"/>
      <c r="BN701" s="503"/>
      <c r="BO701" s="470"/>
      <c r="BP701" s="574"/>
      <c r="BQ701" s="458"/>
      <c r="BR701" s="577"/>
      <c r="BS701" s="524"/>
      <c r="BT701" s="590"/>
    </row>
    <row r="702" s="435" customFormat="1" ht="18" customHeight="1" spans="1:72">
      <c r="A702" s="458" t="s">
        <v>4032</v>
      </c>
      <c r="B702" s="543">
        <v>45714</v>
      </c>
      <c r="C702" s="581">
        <v>1000025999</v>
      </c>
      <c r="D702" s="451"/>
      <c r="E702" s="457"/>
      <c r="F702" s="453"/>
      <c r="G702" s="453"/>
      <c r="H702" s="453"/>
      <c r="I702" s="453"/>
      <c r="J702" s="453"/>
      <c r="K702" s="453"/>
      <c r="L702" s="453"/>
      <c r="M702" s="453"/>
      <c r="N702" s="453"/>
      <c r="O702" s="453"/>
      <c r="P702" s="453"/>
      <c r="Q702" s="453"/>
      <c r="R702" s="550"/>
      <c r="S702" s="453"/>
      <c r="T702" s="453"/>
      <c r="U702" s="453"/>
      <c r="V702" s="453"/>
      <c r="W702" s="453"/>
      <c r="X702" s="453"/>
      <c r="Y702" s="453"/>
      <c r="Z702" s="597"/>
      <c r="AA702" s="489"/>
      <c r="AB702" s="490"/>
      <c r="AC702" s="453"/>
      <c r="AD702" s="453"/>
      <c r="AE702" s="453"/>
      <c r="AF702" s="453"/>
      <c r="AG702" s="453"/>
      <c r="AH702" s="453"/>
      <c r="AI702" s="453"/>
      <c r="AJ702" s="453"/>
      <c r="AK702" s="453"/>
      <c r="AL702" s="453"/>
      <c r="AM702" s="453"/>
      <c r="AN702" s="453"/>
      <c r="AO702" s="453"/>
      <c r="AP702" s="453"/>
      <c r="AQ702" s="453"/>
      <c r="AR702" s="453"/>
      <c r="AS702" s="453"/>
      <c r="AT702" s="453"/>
      <c r="AU702" s="453">
        <v>10001</v>
      </c>
      <c r="AV702" s="453"/>
      <c r="AW702" s="453"/>
      <c r="AX702" s="453"/>
      <c r="AY702" s="453"/>
      <c r="AZ702" s="453"/>
      <c r="BA702" s="532"/>
      <c r="BB702" s="502"/>
      <c r="BC702" s="503"/>
      <c r="BD702" s="453"/>
      <c r="BE702" s="453"/>
      <c r="BF702" s="470"/>
      <c r="BG702" s="453"/>
      <c r="BH702" s="453"/>
      <c r="BI702" s="453"/>
      <c r="BJ702" s="453"/>
      <c r="BK702" s="453"/>
      <c r="BL702" s="453"/>
      <c r="BM702" s="502"/>
      <c r="BN702" s="503"/>
      <c r="BO702" s="470"/>
      <c r="BP702" s="574"/>
      <c r="BQ702" s="458"/>
      <c r="BR702" s="577"/>
      <c r="BS702" s="524"/>
      <c r="BT702" s="590"/>
    </row>
    <row r="703" s="435" customFormat="1" ht="18" customHeight="1" spans="1:72">
      <c r="A703" s="458" t="s">
        <v>4032</v>
      </c>
      <c r="B703" s="543">
        <v>45721</v>
      </c>
      <c r="C703" s="595">
        <v>1000026191</v>
      </c>
      <c r="D703" s="451"/>
      <c r="E703" s="457"/>
      <c r="F703" s="453"/>
      <c r="G703" s="453"/>
      <c r="H703" s="453"/>
      <c r="I703" s="453"/>
      <c r="J703" s="453"/>
      <c r="K703" s="453"/>
      <c r="L703" s="453"/>
      <c r="M703" s="453"/>
      <c r="N703" s="453"/>
      <c r="O703" s="453"/>
      <c r="P703" s="453"/>
      <c r="Q703" s="453"/>
      <c r="R703" s="550"/>
      <c r="S703" s="453"/>
      <c r="T703" s="453"/>
      <c r="U703" s="453"/>
      <c r="V703" s="453"/>
      <c r="W703" s="453"/>
      <c r="X703" s="453"/>
      <c r="Y703" s="453"/>
      <c r="Z703" s="597"/>
      <c r="AA703" s="489"/>
      <c r="AB703" s="490"/>
      <c r="AC703" s="453"/>
      <c r="AD703" s="453"/>
      <c r="AE703" s="453"/>
      <c r="AF703" s="453">
        <v>10001</v>
      </c>
      <c r="AG703" s="453"/>
      <c r="AH703" s="453"/>
      <c r="AI703" s="453"/>
      <c r="AJ703" s="453"/>
      <c r="AK703" s="453"/>
      <c r="AL703" s="453"/>
      <c r="AM703" s="453"/>
      <c r="AN703" s="453"/>
      <c r="AO703" s="453"/>
      <c r="AP703" s="453"/>
      <c r="AQ703" s="453"/>
      <c r="AR703" s="453"/>
      <c r="AS703" s="453"/>
      <c r="AT703" s="453"/>
      <c r="AU703" s="453"/>
      <c r="AV703" s="453"/>
      <c r="AW703" s="453"/>
      <c r="AX703" s="453"/>
      <c r="AY703" s="453"/>
      <c r="AZ703" s="453"/>
      <c r="BA703" s="532"/>
      <c r="BB703" s="502"/>
      <c r="BC703" s="503"/>
      <c r="BD703" s="453"/>
      <c r="BE703" s="453"/>
      <c r="BF703" s="470"/>
      <c r="BG703" s="453"/>
      <c r="BH703" s="453"/>
      <c r="BI703" s="453"/>
      <c r="BJ703" s="453"/>
      <c r="BK703" s="453"/>
      <c r="BL703" s="453"/>
      <c r="BM703" s="502"/>
      <c r="BN703" s="503"/>
      <c r="BO703" s="470"/>
      <c r="BP703" s="574"/>
      <c r="BQ703" s="458"/>
      <c r="BR703" s="577"/>
      <c r="BS703" s="524"/>
      <c r="BT703" s="590"/>
    </row>
    <row r="704" s="435" customFormat="1" ht="18" customHeight="1" spans="1:72">
      <c r="A704" s="458" t="s">
        <v>4032</v>
      </c>
      <c r="B704" s="543">
        <v>45721</v>
      </c>
      <c r="C704" s="595">
        <v>1000026192</v>
      </c>
      <c r="D704" s="451"/>
      <c r="E704" s="457"/>
      <c r="F704" s="453"/>
      <c r="G704" s="453"/>
      <c r="H704" s="453"/>
      <c r="I704" s="453"/>
      <c r="J704" s="453"/>
      <c r="K704" s="453"/>
      <c r="L704" s="453"/>
      <c r="M704" s="453"/>
      <c r="N704" s="453"/>
      <c r="O704" s="453"/>
      <c r="P704" s="453"/>
      <c r="Q704" s="453"/>
      <c r="R704" s="550"/>
      <c r="S704" s="453"/>
      <c r="T704" s="453"/>
      <c r="U704" s="453"/>
      <c r="V704" s="453"/>
      <c r="W704" s="453"/>
      <c r="X704" s="453"/>
      <c r="Y704" s="453"/>
      <c r="Z704" s="597"/>
      <c r="AA704" s="489"/>
      <c r="AB704" s="490"/>
      <c r="AC704" s="453"/>
      <c r="AD704" s="453"/>
      <c r="AE704" s="453"/>
      <c r="AF704" s="453"/>
      <c r="AG704" s="453"/>
      <c r="AH704" s="453"/>
      <c r="AI704" s="453"/>
      <c r="AJ704" s="453"/>
      <c r="AK704" s="453">
        <v>3001</v>
      </c>
      <c r="AL704" s="453"/>
      <c r="AM704" s="453"/>
      <c r="AN704" s="453"/>
      <c r="AO704" s="453"/>
      <c r="AP704" s="453"/>
      <c r="AQ704" s="453"/>
      <c r="AR704" s="453"/>
      <c r="AS704" s="453"/>
      <c r="AT704" s="453"/>
      <c r="AU704" s="453"/>
      <c r="AV704" s="453"/>
      <c r="AW704" s="453"/>
      <c r="AX704" s="453"/>
      <c r="AY704" s="453"/>
      <c r="AZ704" s="453"/>
      <c r="BA704" s="532"/>
      <c r="BB704" s="502"/>
      <c r="BC704" s="503"/>
      <c r="BD704" s="453"/>
      <c r="BE704" s="453"/>
      <c r="BF704" s="470"/>
      <c r="BG704" s="453"/>
      <c r="BH704" s="453"/>
      <c r="BI704" s="453"/>
      <c r="BJ704" s="453"/>
      <c r="BK704" s="453"/>
      <c r="BL704" s="453"/>
      <c r="BM704" s="502"/>
      <c r="BN704" s="503"/>
      <c r="BO704" s="470"/>
      <c r="BP704" s="574"/>
      <c r="BQ704" s="458"/>
      <c r="BR704" s="577"/>
      <c r="BS704" s="524"/>
      <c r="BT704" s="590"/>
    </row>
    <row r="705" s="435" customFormat="1" ht="18" customHeight="1" spans="1:72">
      <c r="A705" s="458" t="s">
        <v>4032</v>
      </c>
      <c r="B705" s="543">
        <v>45721</v>
      </c>
      <c r="C705" s="595">
        <v>1000026193</v>
      </c>
      <c r="D705" s="451"/>
      <c r="E705" s="457"/>
      <c r="F705" s="453"/>
      <c r="G705" s="453"/>
      <c r="H705" s="453"/>
      <c r="I705" s="453"/>
      <c r="J705" s="453"/>
      <c r="K705" s="453"/>
      <c r="L705" s="453"/>
      <c r="M705" s="453"/>
      <c r="N705" s="453"/>
      <c r="O705" s="453"/>
      <c r="P705" s="453"/>
      <c r="Q705" s="453"/>
      <c r="R705" s="550"/>
      <c r="S705" s="453"/>
      <c r="T705" s="453"/>
      <c r="U705" s="453"/>
      <c r="V705" s="453"/>
      <c r="W705" s="453"/>
      <c r="X705" s="453"/>
      <c r="Y705" s="453"/>
      <c r="Z705" s="489"/>
      <c r="AA705" s="489"/>
      <c r="AB705" s="490"/>
      <c r="AC705" s="453"/>
      <c r="AD705" s="453"/>
      <c r="AE705" s="453"/>
      <c r="AF705" s="453"/>
      <c r="AG705" s="453"/>
      <c r="AH705" s="453"/>
      <c r="AI705" s="453"/>
      <c r="AJ705" s="453"/>
      <c r="AK705" s="453"/>
      <c r="AL705" s="453"/>
      <c r="AM705" s="453"/>
      <c r="AN705" s="453"/>
      <c r="AO705" s="453"/>
      <c r="AP705" s="453"/>
      <c r="AQ705" s="453"/>
      <c r="AR705" s="453"/>
      <c r="AS705" s="453"/>
      <c r="AT705" s="453"/>
      <c r="AU705" s="453">
        <v>13000</v>
      </c>
      <c r="AV705" s="453"/>
      <c r="AW705" s="453"/>
      <c r="AX705" s="453"/>
      <c r="AY705" s="453"/>
      <c r="AZ705" s="453"/>
      <c r="BA705" s="532"/>
      <c r="BB705" s="502"/>
      <c r="BC705" s="503"/>
      <c r="BD705" s="453"/>
      <c r="BE705" s="453"/>
      <c r="BF705" s="470"/>
      <c r="BG705" s="453"/>
      <c r="BH705" s="453"/>
      <c r="BI705" s="453"/>
      <c r="BJ705" s="453"/>
      <c r="BK705" s="453"/>
      <c r="BL705" s="453"/>
      <c r="BM705" s="502"/>
      <c r="BN705" s="503"/>
      <c r="BO705" s="470"/>
      <c r="BP705" s="574"/>
      <c r="BQ705" s="458"/>
      <c r="BR705" s="577"/>
      <c r="BS705" s="524"/>
      <c r="BT705" s="586"/>
    </row>
    <row r="706" s="437" customFormat="1" ht="18" customHeight="1" spans="1:72">
      <c r="A706" s="598" t="s">
        <v>4032</v>
      </c>
      <c r="B706" s="599">
        <v>45735</v>
      </c>
      <c r="C706" s="600">
        <v>1000026392</v>
      </c>
      <c r="D706" s="601"/>
      <c r="E706" s="602"/>
      <c r="F706" s="603"/>
      <c r="G706" s="603"/>
      <c r="H706" s="603"/>
      <c r="I706" s="603"/>
      <c r="J706" s="603"/>
      <c r="K706" s="603"/>
      <c r="L706" s="603"/>
      <c r="M706" s="603"/>
      <c r="N706" s="603"/>
      <c r="O706" s="603">
        <v>5001</v>
      </c>
      <c r="P706" s="603"/>
      <c r="Q706" s="603"/>
      <c r="R706" s="605"/>
      <c r="S706" s="603"/>
      <c r="T706" s="603"/>
      <c r="U706" s="603"/>
      <c r="V706" s="603"/>
      <c r="W706" s="603"/>
      <c r="X706" s="603"/>
      <c r="Y706" s="603"/>
      <c r="Z706" s="607"/>
      <c r="AA706" s="607"/>
      <c r="AB706" s="608"/>
      <c r="AC706" s="603"/>
      <c r="AD706" s="603"/>
      <c r="AE706" s="603"/>
      <c r="AF706" s="603"/>
      <c r="AG706" s="603"/>
      <c r="AH706" s="603"/>
      <c r="AI706" s="603"/>
      <c r="AJ706" s="603"/>
      <c r="AK706" s="603"/>
      <c r="AL706" s="603"/>
      <c r="AM706" s="603"/>
      <c r="AN706" s="603"/>
      <c r="AO706" s="603"/>
      <c r="AP706" s="603"/>
      <c r="AQ706" s="603"/>
      <c r="AR706" s="603"/>
      <c r="AS706" s="603"/>
      <c r="AT706" s="603"/>
      <c r="AU706" s="603"/>
      <c r="AV706" s="603"/>
      <c r="AW706" s="603"/>
      <c r="AX706" s="603"/>
      <c r="AY706" s="603"/>
      <c r="AZ706" s="603"/>
      <c r="BA706" s="609"/>
      <c r="BB706" s="610"/>
      <c r="BC706" s="473"/>
      <c r="BD706" s="603"/>
      <c r="BE706" s="603"/>
      <c r="BF706" s="461"/>
      <c r="BG706" s="603"/>
      <c r="BH706" s="603"/>
      <c r="BI706" s="603"/>
      <c r="BJ706" s="603"/>
      <c r="BK706" s="603"/>
      <c r="BL706" s="603"/>
      <c r="BM706" s="610"/>
      <c r="BN706" s="473"/>
      <c r="BO706" s="461"/>
      <c r="BP706" s="611"/>
      <c r="BQ706" s="598"/>
      <c r="BR706" s="612"/>
      <c r="BS706" s="613"/>
      <c r="BT706" s="614"/>
    </row>
    <row r="707" s="437" customFormat="1" ht="18" customHeight="1" spans="1:72">
      <c r="A707" s="598" t="s">
        <v>4032</v>
      </c>
      <c r="B707" s="599">
        <v>45735</v>
      </c>
      <c r="C707" s="600">
        <v>1000026393</v>
      </c>
      <c r="D707" s="601"/>
      <c r="E707" s="602"/>
      <c r="F707" s="603"/>
      <c r="G707" s="603"/>
      <c r="H707" s="603"/>
      <c r="I707" s="603"/>
      <c r="J707" s="603"/>
      <c r="K707" s="603"/>
      <c r="L707" s="603"/>
      <c r="M707" s="603"/>
      <c r="N707" s="603"/>
      <c r="O707" s="603"/>
      <c r="P707" s="603"/>
      <c r="Q707" s="603"/>
      <c r="R707" s="605"/>
      <c r="S707" s="603"/>
      <c r="T707" s="603">
        <v>5001</v>
      </c>
      <c r="U707" s="603"/>
      <c r="V707" s="603"/>
      <c r="W707" s="603"/>
      <c r="X707" s="603"/>
      <c r="Y707" s="603"/>
      <c r="Z707" s="607"/>
      <c r="AA707" s="607"/>
      <c r="AB707" s="608"/>
      <c r="AC707" s="603"/>
      <c r="AD707" s="603"/>
      <c r="AE707" s="603"/>
      <c r="AF707" s="603"/>
      <c r="AG707" s="603"/>
      <c r="AH707" s="603"/>
      <c r="AI707" s="603"/>
      <c r="AJ707" s="603"/>
      <c r="AK707" s="603"/>
      <c r="AL707" s="603"/>
      <c r="AM707" s="603"/>
      <c r="AN707" s="603"/>
      <c r="AO707" s="603"/>
      <c r="AP707" s="603"/>
      <c r="AQ707" s="603"/>
      <c r="AR707" s="603"/>
      <c r="AS707" s="603"/>
      <c r="AT707" s="603"/>
      <c r="AU707" s="603"/>
      <c r="AV707" s="603"/>
      <c r="AW707" s="603"/>
      <c r="AX707" s="603"/>
      <c r="AY707" s="603"/>
      <c r="AZ707" s="603"/>
      <c r="BA707" s="609"/>
      <c r="BB707" s="610"/>
      <c r="BC707" s="473"/>
      <c r="BD707" s="603"/>
      <c r="BE707" s="603"/>
      <c r="BF707" s="461"/>
      <c r="BG707" s="603"/>
      <c r="BH707" s="603"/>
      <c r="BI707" s="603"/>
      <c r="BJ707" s="603"/>
      <c r="BK707" s="603"/>
      <c r="BL707" s="603"/>
      <c r="BM707" s="610"/>
      <c r="BN707" s="473"/>
      <c r="BO707" s="461"/>
      <c r="BP707" s="611"/>
      <c r="BQ707" s="598"/>
      <c r="BR707" s="612"/>
      <c r="BS707" s="613"/>
      <c r="BT707" s="614"/>
    </row>
    <row r="708" s="437" customFormat="1" ht="18" customHeight="1" spans="1:72">
      <c r="A708" s="598" t="s">
        <v>4032</v>
      </c>
      <c r="B708" s="599">
        <v>45735</v>
      </c>
      <c r="C708" s="600">
        <v>1000026397</v>
      </c>
      <c r="D708" s="601"/>
      <c r="E708" s="602"/>
      <c r="F708" s="603"/>
      <c r="G708" s="603"/>
      <c r="H708" s="603"/>
      <c r="I708" s="603"/>
      <c r="J708" s="603"/>
      <c r="K708" s="603"/>
      <c r="L708" s="603"/>
      <c r="M708" s="603"/>
      <c r="N708" s="603"/>
      <c r="O708" s="603"/>
      <c r="P708" s="603"/>
      <c r="Q708" s="603"/>
      <c r="R708" s="605"/>
      <c r="S708" s="603"/>
      <c r="T708" s="603"/>
      <c r="U708" s="603"/>
      <c r="V708" s="603"/>
      <c r="W708" s="603"/>
      <c r="X708" s="603"/>
      <c r="Y708" s="603"/>
      <c r="Z708" s="607"/>
      <c r="AA708" s="607"/>
      <c r="AB708" s="608"/>
      <c r="AC708" s="603"/>
      <c r="AD708" s="603"/>
      <c r="AE708" s="603"/>
      <c r="AF708" s="603"/>
      <c r="AG708" s="603"/>
      <c r="AH708" s="603"/>
      <c r="AI708" s="603"/>
      <c r="AJ708" s="603"/>
      <c r="AK708" s="603"/>
      <c r="AL708" s="603"/>
      <c r="AM708" s="603"/>
      <c r="AN708" s="603"/>
      <c r="AO708" s="603"/>
      <c r="AP708" s="603"/>
      <c r="AQ708" s="603"/>
      <c r="AR708" s="603"/>
      <c r="AS708" s="603"/>
      <c r="AT708" s="603"/>
      <c r="AU708" s="603"/>
      <c r="AV708" s="603"/>
      <c r="AW708" s="603"/>
      <c r="AX708" s="603"/>
      <c r="AY708" s="603"/>
      <c r="AZ708" s="603"/>
      <c r="BA708" s="609"/>
      <c r="BB708" s="610"/>
      <c r="BC708" s="473"/>
      <c r="BD708" s="603"/>
      <c r="BE708" s="603"/>
      <c r="BF708" s="461"/>
      <c r="BG708" s="603">
        <v>5001</v>
      </c>
      <c r="BH708" s="603"/>
      <c r="BI708" s="603"/>
      <c r="BJ708" s="603"/>
      <c r="BK708" s="603"/>
      <c r="BL708" s="603"/>
      <c r="BM708" s="610"/>
      <c r="BN708" s="473"/>
      <c r="BO708" s="461"/>
      <c r="BP708" s="611"/>
      <c r="BQ708" s="598"/>
      <c r="BR708" s="612"/>
      <c r="BS708" s="613"/>
      <c r="BT708" s="614"/>
    </row>
    <row r="709" s="437" customFormat="1" ht="18" customHeight="1" spans="1:72">
      <c r="A709" s="598" t="s">
        <v>4032</v>
      </c>
      <c r="B709" s="599">
        <v>45735</v>
      </c>
      <c r="C709" s="600">
        <v>1000026399</v>
      </c>
      <c r="D709" s="601"/>
      <c r="E709" s="602"/>
      <c r="F709" s="603"/>
      <c r="G709" s="603"/>
      <c r="H709" s="603"/>
      <c r="I709" s="603"/>
      <c r="J709" s="603"/>
      <c r="K709" s="603"/>
      <c r="L709" s="603"/>
      <c r="M709" s="603"/>
      <c r="N709" s="603"/>
      <c r="O709" s="603"/>
      <c r="P709" s="603"/>
      <c r="Q709" s="603"/>
      <c r="R709" s="605"/>
      <c r="S709" s="603"/>
      <c r="T709" s="603"/>
      <c r="U709" s="603"/>
      <c r="V709" s="603"/>
      <c r="W709" s="603"/>
      <c r="X709" s="603"/>
      <c r="Y709" s="603"/>
      <c r="Z709" s="607"/>
      <c r="AA709" s="607"/>
      <c r="AB709" s="608"/>
      <c r="AC709" s="603"/>
      <c r="AD709" s="603"/>
      <c r="AE709" s="603"/>
      <c r="AF709" s="603"/>
      <c r="AG709" s="603"/>
      <c r="AH709" s="603"/>
      <c r="AI709" s="603"/>
      <c r="AJ709" s="603"/>
      <c r="AK709" s="603"/>
      <c r="AL709" s="603"/>
      <c r="AM709" s="603"/>
      <c r="AN709" s="603"/>
      <c r="AO709" s="603"/>
      <c r="AP709" s="603"/>
      <c r="AQ709" s="603"/>
      <c r="AR709" s="603"/>
      <c r="AS709" s="603"/>
      <c r="AT709" s="603"/>
      <c r="AU709" s="603"/>
      <c r="AV709" s="603"/>
      <c r="AW709" s="603"/>
      <c r="AX709" s="603"/>
      <c r="AY709" s="603"/>
      <c r="AZ709" s="603"/>
      <c r="BA709" s="609"/>
      <c r="BB709" s="610"/>
      <c r="BC709" s="473"/>
      <c r="BD709" s="603"/>
      <c r="BE709" s="603"/>
      <c r="BF709" s="461"/>
      <c r="BG709" s="603"/>
      <c r="BH709" s="603"/>
      <c r="BI709" s="603">
        <v>3001</v>
      </c>
      <c r="BJ709" s="603"/>
      <c r="BK709" s="603"/>
      <c r="BL709" s="603"/>
      <c r="BM709" s="610"/>
      <c r="BN709" s="473"/>
      <c r="BO709" s="461"/>
      <c r="BP709" s="611"/>
      <c r="BQ709" s="598"/>
      <c r="BR709" s="612"/>
      <c r="BS709" s="613"/>
      <c r="BT709" s="614"/>
    </row>
    <row r="710" s="435" customFormat="1" ht="18" customHeight="1" spans="1:72">
      <c r="A710" s="458" t="s">
        <v>4032</v>
      </c>
      <c r="B710" s="543">
        <v>45735</v>
      </c>
      <c r="C710" s="581">
        <v>1000026398</v>
      </c>
      <c r="D710" s="451"/>
      <c r="E710" s="457"/>
      <c r="F710" s="453"/>
      <c r="G710" s="453"/>
      <c r="H710" s="453"/>
      <c r="I710" s="453"/>
      <c r="J710" s="453"/>
      <c r="K710" s="453"/>
      <c r="L710" s="453"/>
      <c r="M710" s="453"/>
      <c r="N710" s="453"/>
      <c r="O710" s="453"/>
      <c r="P710" s="453"/>
      <c r="Q710" s="453"/>
      <c r="R710" s="550"/>
      <c r="S710" s="453"/>
      <c r="T710" s="453"/>
      <c r="U710" s="453"/>
      <c r="V710" s="453"/>
      <c r="W710" s="453"/>
      <c r="X710" s="453"/>
      <c r="Y710" s="453"/>
      <c r="Z710" s="489"/>
      <c r="AA710" s="489"/>
      <c r="AB710" s="490"/>
      <c r="AC710" s="453"/>
      <c r="AD710" s="453"/>
      <c r="AE710" s="453"/>
      <c r="AF710" s="453"/>
      <c r="AG710" s="453"/>
      <c r="AH710" s="453"/>
      <c r="AI710" s="453"/>
      <c r="AJ710" s="453"/>
      <c r="AK710" s="453"/>
      <c r="AL710" s="453"/>
      <c r="AM710" s="453"/>
      <c r="AN710" s="453"/>
      <c r="AO710" s="453"/>
      <c r="AP710" s="453"/>
      <c r="AQ710" s="453"/>
      <c r="AR710" s="453"/>
      <c r="AS710" s="453"/>
      <c r="AT710" s="453"/>
      <c r="AU710" s="453"/>
      <c r="AV710" s="453"/>
      <c r="AW710" s="453"/>
      <c r="AX710" s="453"/>
      <c r="AY710" s="453"/>
      <c r="AZ710" s="453"/>
      <c r="BA710" s="532"/>
      <c r="BB710" s="502"/>
      <c r="BC710" s="503"/>
      <c r="BD710" s="453"/>
      <c r="BE710" s="453"/>
      <c r="BF710" s="470"/>
      <c r="BG710" s="453"/>
      <c r="BH710" s="453"/>
      <c r="BI710" s="453"/>
      <c r="BJ710" s="453">
        <v>1000</v>
      </c>
      <c r="BK710" s="453"/>
      <c r="BL710" s="453"/>
      <c r="BM710" s="502"/>
      <c r="BN710" s="503"/>
      <c r="BO710" s="470"/>
      <c r="BP710" s="574"/>
      <c r="BQ710" s="458"/>
      <c r="BR710" s="577"/>
      <c r="BS710" s="615"/>
      <c r="BT710" s="586"/>
    </row>
    <row r="711" s="435" customFormat="1" ht="18" customHeight="1" spans="1:72">
      <c r="A711" s="458" t="s">
        <v>4032</v>
      </c>
      <c r="B711" s="543">
        <v>45735</v>
      </c>
      <c r="C711" s="581">
        <v>1000026394</v>
      </c>
      <c r="D711" s="451"/>
      <c r="E711" s="457"/>
      <c r="F711" s="453"/>
      <c r="G711" s="453"/>
      <c r="H711" s="453"/>
      <c r="I711" s="453"/>
      <c r="J711" s="453"/>
      <c r="K711" s="453"/>
      <c r="L711" s="453"/>
      <c r="M711" s="453"/>
      <c r="N711" s="453"/>
      <c r="O711" s="453"/>
      <c r="P711" s="453"/>
      <c r="Q711" s="453"/>
      <c r="R711" s="550"/>
      <c r="S711" s="453"/>
      <c r="T711" s="453"/>
      <c r="U711" s="453"/>
      <c r="V711" s="453"/>
      <c r="W711" s="453"/>
      <c r="X711" s="453"/>
      <c r="Y711" s="453"/>
      <c r="Z711" s="489"/>
      <c r="AA711" s="489"/>
      <c r="AB711" s="490"/>
      <c r="AC711" s="453"/>
      <c r="AD711" s="453"/>
      <c r="AE711" s="453"/>
      <c r="AF711" s="453">
        <v>10001</v>
      </c>
      <c r="AG711" s="453"/>
      <c r="AH711" s="453"/>
      <c r="AI711" s="453"/>
      <c r="AJ711" s="453"/>
      <c r="AK711" s="453"/>
      <c r="AL711" s="453"/>
      <c r="AM711" s="453"/>
      <c r="AN711" s="453"/>
      <c r="AO711" s="453"/>
      <c r="AP711" s="453"/>
      <c r="AQ711" s="453"/>
      <c r="AR711" s="453"/>
      <c r="AS711" s="453"/>
      <c r="AT711" s="453"/>
      <c r="AU711" s="453"/>
      <c r="AV711" s="453"/>
      <c r="AW711" s="453"/>
      <c r="AX711" s="453"/>
      <c r="AY711" s="453"/>
      <c r="AZ711" s="453"/>
      <c r="BA711" s="532"/>
      <c r="BB711" s="502"/>
      <c r="BC711" s="503"/>
      <c r="BD711" s="453"/>
      <c r="BE711" s="453"/>
      <c r="BF711" s="470"/>
      <c r="BG711" s="453"/>
      <c r="BH711" s="453"/>
      <c r="BI711" s="453"/>
      <c r="BJ711" s="453"/>
      <c r="BK711" s="453"/>
      <c r="BL711" s="453"/>
      <c r="BM711" s="502"/>
      <c r="BN711" s="503"/>
      <c r="BO711" s="470"/>
      <c r="BP711" s="574"/>
      <c r="BQ711" s="458"/>
      <c r="BR711" s="577"/>
      <c r="BS711" s="615"/>
      <c r="BT711" s="586"/>
    </row>
    <row r="712" s="435" customFormat="1" ht="18" customHeight="1" spans="1:72">
      <c r="A712" s="458" t="s">
        <v>4032</v>
      </c>
      <c r="B712" s="543">
        <v>45735</v>
      </c>
      <c r="C712" s="581">
        <v>1000026395</v>
      </c>
      <c r="D712" s="451"/>
      <c r="E712" s="457"/>
      <c r="F712" s="453"/>
      <c r="G712" s="453"/>
      <c r="H712" s="453"/>
      <c r="I712" s="453"/>
      <c r="J712" s="453"/>
      <c r="K712" s="453"/>
      <c r="L712" s="453"/>
      <c r="M712" s="453"/>
      <c r="N712" s="453"/>
      <c r="O712" s="453"/>
      <c r="P712" s="453"/>
      <c r="Q712" s="453"/>
      <c r="R712" s="550"/>
      <c r="S712" s="453"/>
      <c r="T712" s="453"/>
      <c r="U712" s="453"/>
      <c r="V712" s="453"/>
      <c r="W712" s="453"/>
      <c r="X712" s="453"/>
      <c r="Y712" s="453"/>
      <c r="Z712" s="489"/>
      <c r="AA712" s="489"/>
      <c r="AB712" s="490"/>
      <c r="AC712" s="453"/>
      <c r="AD712" s="453"/>
      <c r="AE712" s="453"/>
      <c r="AF712" s="453"/>
      <c r="AG712" s="453"/>
      <c r="AH712" s="453"/>
      <c r="AI712" s="453"/>
      <c r="AJ712" s="453"/>
      <c r="AK712" s="453">
        <v>5001</v>
      </c>
      <c r="AL712" s="453"/>
      <c r="AM712" s="453"/>
      <c r="AN712" s="453"/>
      <c r="AO712" s="453"/>
      <c r="AP712" s="453"/>
      <c r="AQ712" s="453"/>
      <c r="AR712" s="453"/>
      <c r="AS712" s="453"/>
      <c r="AT712" s="453"/>
      <c r="AU712" s="453"/>
      <c r="AV712" s="453"/>
      <c r="AW712" s="453"/>
      <c r="AX712" s="453"/>
      <c r="AY712" s="453"/>
      <c r="AZ712" s="453"/>
      <c r="BA712" s="532"/>
      <c r="BB712" s="502"/>
      <c r="BC712" s="503"/>
      <c r="BD712" s="453"/>
      <c r="BE712" s="453"/>
      <c r="BF712" s="470"/>
      <c r="BG712" s="453"/>
      <c r="BH712" s="453"/>
      <c r="BI712" s="453"/>
      <c r="BJ712" s="453"/>
      <c r="BK712" s="453"/>
      <c r="BL712" s="453"/>
      <c r="BM712" s="502"/>
      <c r="BN712" s="503"/>
      <c r="BO712" s="470"/>
      <c r="BP712" s="574"/>
      <c r="BQ712" s="458"/>
      <c r="BR712" s="577"/>
      <c r="BS712" s="615"/>
      <c r="BT712" s="586"/>
    </row>
    <row r="713" s="435" customFormat="1" ht="18" customHeight="1" spans="1:72">
      <c r="A713" s="458" t="s">
        <v>4032</v>
      </c>
      <c r="B713" s="543">
        <v>45735</v>
      </c>
      <c r="C713" s="581">
        <v>1000026396</v>
      </c>
      <c r="D713" s="451"/>
      <c r="E713" s="457"/>
      <c r="F713" s="453"/>
      <c r="G713" s="453"/>
      <c r="H713" s="453"/>
      <c r="I713" s="453"/>
      <c r="J713" s="453"/>
      <c r="K713" s="453"/>
      <c r="L713" s="453"/>
      <c r="M713" s="453"/>
      <c r="N713" s="453"/>
      <c r="O713" s="453"/>
      <c r="P713" s="453"/>
      <c r="Q713" s="453"/>
      <c r="R713" s="550"/>
      <c r="S713" s="453"/>
      <c r="T713" s="453"/>
      <c r="U713" s="453"/>
      <c r="V713" s="453"/>
      <c r="W713" s="453"/>
      <c r="X713" s="453"/>
      <c r="Y713" s="453"/>
      <c r="Z713" s="489"/>
      <c r="AA713" s="489"/>
      <c r="AB713" s="490"/>
      <c r="AC713" s="453"/>
      <c r="AD713" s="453"/>
      <c r="AE713" s="453"/>
      <c r="AF713" s="453"/>
      <c r="AG713" s="453"/>
      <c r="AH713" s="453"/>
      <c r="AI713" s="453"/>
      <c r="AJ713" s="453"/>
      <c r="AK713" s="453"/>
      <c r="AL713" s="453"/>
      <c r="AM713" s="453"/>
      <c r="AN713" s="453"/>
      <c r="AO713" s="453"/>
      <c r="AP713" s="453"/>
      <c r="AQ713" s="453"/>
      <c r="AR713" s="453"/>
      <c r="AS713" s="453"/>
      <c r="AT713" s="453"/>
      <c r="AU713" s="453">
        <v>15000</v>
      </c>
      <c r="AV713" s="453"/>
      <c r="AW713" s="453"/>
      <c r="AX713" s="453"/>
      <c r="AY713" s="453"/>
      <c r="AZ713" s="453"/>
      <c r="BA713" s="532"/>
      <c r="BB713" s="502"/>
      <c r="BC713" s="503"/>
      <c r="BD713" s="453"/>
      <c r="BE713" s="453"/>
      <c r="BF713" s="470"/>
      <c r="BG713" s="453"/>
      <c r="BH713" s="453"/>
      <c r="BI713" s="453"/>
      <c r="BJ713" s="453"/>
      <c r="BK713" s="453"/>
      <c r="BL713" s="453"/>
      <c r="BM713" s="502"/>
      <c r="BN713" s="503"/>
      <c r="BO713" s="470"/>
      <c r="BP713" s="574"/>
      <c r="BQ713" s="458"/>
      <c r="BR713" s="577"/>
      <c r="BS713" s="615"/>
      <c r="BT713" s="586"/>
    </row>
    <row r="714" s="435" customFormat="1" ht="18" customHeight="1" spans="1:72">
      <c r="A714" s="458" t="s">
        <v>4032</v>
      </c>
      <c r="B714" s="543">
        <v>45749</v>
      </c>
      <c r="C714" s="581">
        <v>1000026864</v>
      </c>
      <c r="D714" s="451"/>
      <c r="E714" s="457"/>
      <c r="F714" s="453"/>
      <c r="G714" s="453"/>
      <c r="H714" s="453"/>
      <c r="I714" s="453"/>
      <c r="J714" s="453"/>
      <c r="K714" s="453"/>
      <c r="L714" s="453"/>
      <c r="M714" s="453"/>
      <c r="N714" s="453"/>
      <c r="O714" s="453"/>
      <c r="P714" s="453"/>
      <c r="Q714" s="453"/>
      <c r="R714" s="550"/>
      <c r="S714" s="453"/>
      <c r="T714" s="453"/>
      <c r="U714" s="453"/>
      <c r="V714" s="453"/>
      <c r="W714" s="453"/>
      <c r="X714" s="453"/>
      <c r="Y714" s="453"/>
      <c r="Z714" s="489"/>
      <c r="AA714" s="489"/>
      <c r="AB714" s="490"/>
      <c r="AC714" s="453"/>
      <c r="AD714" s="453"/>
      <c r="AE714" s="453"/>
      <c r="AF714" s="453">
        <v>20001</v>
      </c>
      <c r="AG714" s="453"/>
      <c r="AH714" s="453"/>
      <c r="AI714" s="453"/>
      <c r="AJ714" s="453"/>
      <c r="AK714" s="453"/>
      <c r="AL714" s="453"/>
      <c r="AM714" s="453"/>
      <c r="AN714" s="453"/>
      <c r="AO714" s="453"/>
      <c r="AP714" s="453"/>
      <c r="AQ714" s="453"/>
      <c r="AR714" s="453"/>
      <c r="AS714" s="453"/>
      <c r="AT714" s="453"/>
      <c r="AU714" s="453"/>
      <c r="AV714" s="453"/>
      <c r="AW714" s="453"/>
      <c r="AX714" s="453"/>
      <c r="AY714" s="453"/>
      <c r="AZ714" s="453"/>
      <c r="BA714" s="532"/>
      <c r="BB714" s="502"/>
      <c r="BC714" s="503"/>
      <c r="BD714" s="453"/>
      <c r="BE714" s="453"/>
      <c r="BF714" s="470"/>
      <c r="BG714" s="453"/>
      <c r="BH714" s="453"/>
      <c r="BI714" s="453"/>
      <c r="BJ714" s="453"/>
      <c r="BK714" s="453"/>
      <c r="BL714" s="453"/>
      <c r="BM714" s="502"/>
      <c r="BN714" s="503"/>
      <c r="BO714" s="470"/>
      <c r="BP714" s="574"/>
      <c r="BQ714" s="458"/>
      <c r="BR714" s="577"/>
      <c r="BS714" s="615"/>
      <c r="BT714" s="586"/>
    </row>
    <row r="715" s="435" customFormat="1" ht="18" customHeight="1" spans="1:72">
      <c r="A715" s="458" t="s">
        <v>4032</v>
      </c>
      <c r="B715" s="543">
        <v>45749</v>
      </c>
      <c r="C715" s="581">
        <v>1000026865</v>
      </c>
      <c r="D715" s="451"/>
      <c r="E715" s="457"/>
      <c r="F715" s="453"/>
      <c r="G715" s="453"/>
      <c r="H715" s="453"/>
      <c r="I715" s="453"/>
      <c r="J715" s="453"/>
      <c r="K715" s="453"/>
      <c r="L715" s="453"/>
      <c r="M715" s="453"/>
      <c r="N715" s="453"/>
      <c r="O715" s="453"/>
      <c r="P715" s="453"/>
      <c r="Q715" s="453"/>
      <c r="R715" s="550"/>
      <c r="S715" s="453"/>
      <c r="T715" s="453"/>
      <c r="U715" s="453"/>
      <c r="V715" s="453"/>
      <c r="W715" s="453"/>
      <c r="X715" s="453"/>
      <c r="Y715" s="453"/>
      <c r="Z715" s="489"/>
      <c r="AA715" s="489"/>
      <c r="AB715" s="490"/>
      <c r="AC715" s="453"/>
      <c r="AD715" s="453"/>
      <c r="AE715" s="453"/>
      <c r="AF715" s="453"/>
      <c r="AG715" s="453"/>
      <c r="AH715" s="453"/>
      <c r="AI715" s="453"/>
      <c r="AJ715" s="453"/>
      <c r="AK715" s="453">
        <v>5001</v>
      </c>
      <c r="AL715" s="453"/>
      <c r="AM715" s="453"/>
      <c r="AN715" s="453"/>
      <c r="AO715" s="453"/>
      <c r="AP715" s="453"/>
      <c r="AQ715" s="453"/>
      <c r="AR715" s="453"/>
      <c r="AS715" s="453"/>
      <c r="AT715" s="453"/>
      <c r="AU715" s="453"/>
      <c r="AV715" s="453"/>
      <c r="AW715" s="453"/>
      <c r="AX715" s="453"/>
      <c r="AY715" s="453"/>
      <c r="AZ715" s="453"/>
      <c r="BA715" s="532"/>
      <c r="BB715" s="502"/>
      <c r="BC715" s="503"/>
      <c r="BD715" s="453"/>
      <c r="BE715" s="453"/>
      <c r="BF715" s="470"/>
      <c r="BG715" s="453"/>
      <c r="BH715" s="453"/>
      <c r="BI715" s="453"/>
      <c r="BJ715" s="453"/>
      <c r="BK715" s="453"/>
      <c r="BL715" s="453"/>
      <c r="BM715" s="502"/>
      <c r="BN715" s="503"/>
      <c r="BO715" s="470"/>
      <c r="BP715" s="574"/>
      <c r="BQ715" s="458"/>
      <c r="BR715" s="577"/>
      <c r="BS715" s="615"/>
      <c r="BT715" s="586"/>
    </row>
    <row r="716" s="435" customFormat="1" ht="18" customHeight="1" spans="1:72">
      <c r="A716" s="458" t="s">
        <v>4032</v>
      </c>
      <c r="B716" s="543">
        <v>45749</v>
      </c>
      <c r="C716" s="581">
        <v>1000026866</v>
      </c>
      <c r="D716" s="451"/>
      <c r="E716" s="457"/>
      <c r="F716" s="453"/>
      <c r="G716" s="453"/>
      <c r="H716" s="453"/>
      <c r="I716" s="453"/>
      <c r="J716" s="453"/>
      <c r="K716" s="453"/>
      <c r="L716" s="453"/>
      <c r="M716" s="453"/>
      <c r="N716" s="453"/>
      <c r="O716" s="453"/>
      <c r="P716" s="453"/>
      <c r="Q716" s="453"/>
      <c r="R716" s="550"/>
      <c r="S716" s="453"/>
      <c r="T716" s="453"/>
      <c r="U716" s="453"/>
      <c r="V716" s="453"/>
      <c r="W716" s="453"/>
      <c r="X716" s="453"/>
      <c r="Y716" s="453"/>
      <c r="Z716" s="489"/>
      <c r="AA716" s="489"/>
      <c r="AB716" s="490"/>
      <c r="AC716" s="453"/>
      <c r="AD716" s="453"/>
      <c r="AE716" s="453"/>
      <c r="AF716" s="453"/>
      <c r="AG716" s="453"/>
      <c r="AH716" s="453"/>
      <c r="AI716" s="453"/>
      <c r="AJ716" s="453"/>
      <c r="AK716" s="453"/>
      <c r="AL716" s="453"/>
      <c r="AM716" s="453"/>
      <c r="AN716" s="453"/>
      <c r="AO716" s="453"/>
      <c r="AP716" s="453"/>
      <c r="AQ716" s="453"/>
      <c r="AR716" s="453"/>
      <c r="AS716" s="453"/>
      <c r="AT716" s="453"/>
      <c r="AU716" s="453">
        <v>25000</v>
      </c>
      <c r="AV716" s="453"/>
      <c r="AW716" s="453"/>
      <c r="AX716" s="453"/>
      <c r="AY716" s="453"/>
      <c r="AZ716" s="453"/>
      <c r="BA716" s="532"/>
      <c r="BB716" s="502"/>
      <c r="BC716" s="503"/>
      <c r="BD716" s="453"/>
      <c r="BE716" s="453"/>
      <c r="BF716" s="470"/>
      <c r="BG716" s="453"/>
      <c r="BH716" s="453"/>
      <c r="BI716" s="453"/>
      <c r="BJ716" s="453"/>
      <c r="BK716" s="453"/>
      <c r="BL716" s="453"/>
      <c r="BM716" s="502"/>
      <c r="BN716" s="503"/>
      <c r="BO716" s="470"/>
      <c r="BP716" s="574"/>
      <c r="BQ716" s="458"/>
      <c r="BR716" s="577"/>
      <c r="BS716" s="615"/>
      <c r="BT716" s="586"/>
    </row>
    <row r="717" s="435" customFormat="1" ht="18" customHeight="1" spans="1:72">
      <c r="A717" s="458" t="s">
        <v>4032</v>
      </c>
      <c r="B717" s="543">
        <v>45749</v>
      </c>
      <c r="C717" s="581">
        <v>1000026867</v>
      </c>
      <c r="D717" s="451"/>
      <c r="E717" s="457"/>
      <c r="F717" s="453"/>
      <c r="G717" s="453"/>
      <c r="H717" s="453"/>
      <c r="I717" s="453"/>
      <c r="J717" s="453"/>
      <c r="K717" s="453"/>
      <c r="L717" s="453"/>
      <c r="M717" s="453"/>
      <c r="N717" s="453"/>
      <c r="O717" s="453"/>
      <c r="P717" s="453"/>
      <c r="Q717" s="453"/>
      <c r="R717" s="550"/>
      <c r="S717" s="453"/>
      <c r="T717" s="453"/>
      <c r="U717" s="453"/>
      <c r="V717" s="453"/>
      <c r="W717" s="453"/>
      <c r="X717" s="453"/>
      <c r="Y717" s="453"/>
      <c r="Z717" s="489"/>
      <c r="AA717" s="489"/>
      <c r="AB717" s="490"/>
      <c r="AC717" s="453"/>
      <c r="AD717" s="453"/>
      <c r="AE717" s="453"/>
      <c r="AF717" s="453"/>
      <c r="AG717" s="453"/>
      <c r="AH717" s="453"/>
      <c r="AI717" s="453"/>
      <c r="AJ717" s="453"/>
      <c r="AK717" s="453"/>
      <c r="AL717" s="453"/>
      <c r="AM717" s="453"/>
      <c r="AN717" s="453"/>
      <c r="AO717" s="453"/>
      <c r="AP717" s="453"/>
      <c r="AQ717" s="453"/>
      <c r="AR717" s="453"/>
      <c r="AS717" s="453"/>
      <c r="AT717" s="453"/>
      <c r="AU717" s="453"/>
      <c r="AV717" s="453"/>
      <c r="AW717" s="453"/>
      <c r="AX717" s="453"/>
      <c r="AY717" s="453"/>
      <c r="AZ717" s="453"/>
      <c r="BA717" s="532"/>
      <c r="BB717" s="502"/>
      <c r="BC717" s="503"/>
      <c r="BD717" s="453"/>
      <c r="BE717" s="453"/>
      <c r="BF717" s="470"/>
      <c r="BG717" s="453"/>
      <c r="BH717" s="453">
        <v>3001</v>
      </c>
      <c r="BI717" s="453"/>
      <c r="BJ717" s="453"/>
      <c r="BK717" s="453"/>
      <c r="BL717" s="453"/>
      <c r="BM717" s="502"/>
      <c r="BN717" s="503"/>
      <c r="BO717" s="470"/>
      <c r="BP717" s="574"/>
      <c r="BQ717" s="458"/>
      <c r="BR717" s="577"/>
      <c r="BS717" s="615"/>
      <c r="BT717" s="586"/>
    </row>
    <row r="718" s="435" customFormat="1" ht="18" customHeight="1" spans="1:72">
      <c r="A718" s="458" t="s">
        <v>4032</v>
      </c>
      <c r="B718" s="543">
        <v>45749</v>
      </c>
      <c r="C718" s="581">
        <v>1000026868</v>
      </c>
      <c r="D718" s="451"/>
      <c r="E718" s="457"/>
      <c r="F718" s="453"/>
      <c r="G718" s="453"/>
      <c r="H718" s="453"/>
      <c r="I718" s="453"/>
      <c r="J718" s="453"/>
      <c r="K718" s="453"/>
      <c r="L718" s="453"/>
      <c r="M718" s="453"/>
      <c r="N718" s="453"/>
      <c r="O718" s="453"/>
      <c r="P718" s="453"/>
      <c r="Q718" s="453"/>
      <c r="R718" s="550"/>
      <c r="S718" s="453"/>
      <c r="T718" s="453"/>
      <c r="U718" s="453"/>
      <c r="V718" s="453"/>
      <c r="W718" s="453"/>
      <c r="X718" s="453"/>
      <c r="Y718" s="453"/>
      <c r="Z718" s="489"/>
      <c r="AA718" s="489"/>
      <c r="AB718" s="490"/>
      <c r="AC718" s="453"/>
      <c r="AD718" s="453"/>
      <c r="AE718" s="453"/>
      <c r="AF718" s="453"/>
      <c r="AG718" s="453"/>
      <c r="AH718" s="453"/>
      <c r="AI718" s="453"/>
      <c r="AJ718" s="453"/>
      <c r="AK718" s="453"/>
      <c r="AL718" s="453"/>
      <c r="AM718" s="453"/>
      <c r="AN718" s="453"/>
      <c r="AO718" s="453"/>
      <c r="AP718" s="453"/>
      <c r="AQ718" s="453"/>
      <c r="AR718" s="453"/>
      <c r="AS718" s="453"/>
      <c r="AT718" s="453"/>
      <c r="AU718" s="453"/>
      <c r="AV718" s="453"/>
      <c r="AW718" s="453"/>
      <c r="AX718" s="453"/>
      <c r="AY718" s="453"/>
      <c r="AZ718" s="453"/>
      <c r="BA718" s="532"/>
      <c r="BB718" s="502"/>
      <c r="BC718" s="503"/>
      <c r="BD718" s="453"/>
      <c r="BE718" s="453"/>
      <c r="BF718" s="470"/>
      <c r="BG718" s="453"/>
      <c r="BH718" s="453"/>
      <c r="BI718" s="453">
        <v>3001</v>
      </c>
      <c r="BJ718" s="453"/>
      <c r="BK718" s="453"/>
      <c r="BL718" s="453"/>
      <c r="BM718" s="502"/>
      <c r="BN718" s="503"/>
      <c r="BO718" s="470"/>
      <c r="BP718" s="574"/>
      <c r="BQ718" s="458"/>
      <c r="BR718" s="577"/>
      <c r="BS718" s="615"/>
      <c r="BT718" s="586"/>
    </row>
    <row r="719" s="435" customFormat="1" ht="22" customHeight="1" spans="1:72">
      <c r="A719" s="458" t="s">
        <v>4032</v>
      </c>
      <c r="B719" s="543">
        <v>45768</v>
      </c>
      <c r="C719" s="595">
        <v>1000027198</v>
      </c>
      <c r="D719" s="451"/>
      <c r="E719" s="457"/>
      <c r="F719" s="453"/>
      <c r="G719" s="453"/>
      <c r="H719" s="453"/>
      <c r="I719" s="453"/>
      <c r="J719" s="453"/>
      <c r="K719" s="453"/>
      <c r="L719" s="453"/>
      <c r="M719" s="453"/>
      <c r="N719" s="453"/>
      <c r="O719" s="453"/>
      <c r="P719" s="453"/>
      <c r="Q719" s="453"/>
      <c r="R719" s="550"/>
      <c r="S719" s="453"/>
      <c r="T719" s="453"/>
      <c r="U719" s="453"/>
      <c r="V719" s="453">
        <v>1002</v>
      </c>
      <c r="W719" s="453"/>
      <c r="X719" s="453"/>
      <c r="Y719" s="453"/>
      <c r="Z719" s="489">
        <v>1000027198</v>
      </c>
      <c r="AA719" s="489"/>
      <c r="AB719" s="490"/>
      <c r="AC719" s="453"/>
      <c r="AD719" s="453"/>
      <c r="AE719" s="453"/>
      <c r="AF719" s="453"/>
      <c r="AG719" s="453"/>
      <c r="AH719" s="453"/>
      <c r="AI719" s="453"/>
      <c r="AJ719" s="453"/>
      <c r="AK719" s="453"/>
      <c r="AL719" s="453"/>
      <c r="AM719" s="453"/>
      <c r="AN719" s="453"/>
      <c r="AO719" s="453"/>
      <c r="AP719" s="453"/>
      <c r="AQ719" s="453"/>
      <c r="AR719" s="453"/>
      <c r="AS719" s="453"/>
      <c r="AT719" s="453"/>
      <c r="AU719" s="453"/>
      <c r="AV719" s="453"/>
      <c r="AW719" s="453"/>
      <c r="AX719" s="453"/>
      <c r="AY719" s="453"/>
      <c r="AZ719" s="453"/>
      <c r="BA719" s="532"/>
      <c r="BB719" s="502"/>
      <c r="BC719" s="503"/>
      <c r="BD719" s="453"/>
      <c r="BE719" s="453"/>
      <c r="BF719" s="470"/>
      <c r="BG719" s="453"/>
      <c r="BH719" s="453"/>
      <c r="BI719" s="453"/>
      <c r="BJ719" s="453"/>
      <c r="BK719" s="453"/>
      <c r="BL719" s="453"/>
      <c r="BM719" s="502"/>
      <c r="BN719" s="503"/>
      <c r="BO719" s="470"/>
      <c r="BP719" s="574"/>
      <c r="BQ719" s="458"/>
      <c r="BR719" s="577"/>
      <c r="BS719" s="615"/>
      <c r="BT719" s="586"/>
    </row>
    <row r="720" s="435" customFormat="1" ht="22" customHeight="1" spans="1:72">
      <c r="A720" s="458"/>
      <c r="B720" s="543">
        <v>45768</v>
      </c>
      <c r="C720" s="595"/>
      <c r="D720" s="451"/>
      <c r="E720" s="457"/>
      <c r="F720" s="453"/>
      <c r="G720" s="453"/>
      <c r="H720" s="453"/>
      <c r="I720" s="453"/>
      <c r="J720" s="453"/>
      <c r="K720" s="453"/>
      <c r="L720" s="453"/>
      <c r="M720" s="453"/>
      <c r="N720" s="453"/>
      <c r="O720" s="453"/>
      <c r="P720" s="453"/>
      <c r="Q720" s="453"/>
      <c r="R720" s="550"/>
      <c r="S720" s="453"/>
      <c r="T720" s="453"/>
      <c r="U720" s="453"/>
      <c r="V720" s="453"/>
      <c r="W720" s="453">
        <v>2568</v>
      </c>
      <c r="X720" s="453"/>
      <c r="Y720" s="453"/>
      <c r="Z720" s="489" t="s">
        <v>4113</v>
      </c>
      <c r="AA720" s="489"/>
      <c r="AB720" s="490"/>
      <c r="AC720" s="453"/>
      <c r="AD720" s="453"/>
      <c r="AE720" s="453"/>
      <c r="AF720" s="453"/>
      <c r="AG720" s="453"/>
      <c r="AH720" s="453"/>
      <c r="AI720" s="453"/>
      <c r="AJ720" s="453"/>
      <c r="AK720" s="453"/>
      <c r="AL720" s="453"/>
      <c r="AM720" s="453"/>
      <c r="AN720" s="453"/>
      <c r="AO720" s="453"/>
      <c r="AP720" s="453"/>
      <c r="AQ720" s="453"/>
      <c r="AR720" s="453"/>
      <c r="AS720" s="453"/>
      <c r="AT720" s="453"/>
      <c r="AU720" s="453"/>
      <c r="AV720" s="453"/>
      <c r="AW720" s="453"/>
      <c r="AX720" s="453"/>
      <c r="AY720" s="453"/>
      <c r="AZ720" s="453"/>
      <c r="BA720" s="532"/>
      <c r="BB720" s="502"/>
      <c r="BC720" s="503"/>
      <c r="BD720" s="453"/>
      <c r="BE720" s="453"/>
      <c r="BF720" s="470"/>
      <c r="BG720" s="453"/>
      <c r="BH720" s="453"/>
      <c r="BI720" s="453"/>
      <c r="BJ720" s="453"/>
      <c r="BK720" s="453"/>
      <c r="BL720" s="453"/>
      <c r="BM720" s="502"/>
      <c r="BN720" s="503"/>
      <c r="BO720" s="470"/>
      <c r="BP720" s="574"/>
      <c r="BQ720" s="458"/>
      <c r="BR720" s="577"/>
      <c r="BS720" s="615"/>
      <c r="BT720" s="586"/>
    </row>
    <row r="721" s="435" customFormat="1" ht="22" customHeight="1" spans="1:72">
      <c r="A721" s="458"/>
      <c r="B721" s="543">
        <v>45768</v>
      </c>
      <c r="C721" s="595"/>
      <c r="D721" s="451"/>
      <c r="E721" s="457"/>
      <c r="F721" s="453"/>
      <c r="G721" s="453"/>
      <c r="H721" s="453"/>
      <c r="I721" s="453"/>
      <c r="J721" s="453"/>
      <c r="K721" s="453"/>
      <c r="L721" s="453"/>
      <c r="M721" s="453"/>
      <c r="N721" s="453"/>
      <c r="O721" s="453"/>
      <c r="P721" s="453"/>
      <c r="Q721" s="453"/>
      <c r="R721" s="550"/>
      <c r="S721" s="453"/>
      <c r="T721" s="453"/>
      <c r="U721" s="453"/>
      <c r="V721" s="453"/>
      <c r="W721" s="453"/>
      <c r="X721" s="453">
        <v>2568</v>
      </c>
      <c r="Y721" s="453"/>
      <c r="Z721" s="489" t="s">
        <v>4113</v>
      </c>
      <c r="AA721" s="489"/>
      <c r="AB721" s="490"/>
      <c r="AC721" s="453"/>
      <c r="AD721" s="453"/>
      <c r="AE721" s="453"/>
      <c r="AF721" s="453"/>
      <c r="AG721" s="453"/>
      <c r="AH721" s="453"/>
      <c r="AI721" s="453"/>
      <c r="AJ721" s="453"/>
      <c r="AK721" s="453"/>
      <c r="AL721" s="453"/>
      <c r="AM721" s="453"/>
      <c r="AN721" s="453"/>
      <c r="AO721" s="453"/>
      <c r="AP721" s="453"/>
      <c r="AQ721" s="453"/>
      <c r="AR721" s="453"/>
      <c r="AS721" s="453"/>
      <c r="AT721" s="453"/>
      <c r="AU721" s="453"/>
      <c r="AV721" s="453"/>
      <c r="AW721" s="453"/>
      <c r="AX721" s="453"/>
      <c r="AY721" s="453"/>
      <c r="AZ721" s="453"/>
      <c r="BA721" s="532"/>
      <c r="BB721" s="502"/>
      <c r="BC721" s="503"/>
      <c r="BD721" s="453"/>
      <c r="BE721" s="453"/>
      <c r="BF721" s="470"/>
      <c r="BG721" s="453"/>
      <c r="BH721" s="453"/>
      <c r="BI721" s="453"/>
      <c r="BJ721" s="453"/>
      <c r="BK721" s="453"/>
      <c r="BL721" s="453"/>
      <c r="BM721" s="502"/>
      <c r="BN721" s="503"/>
      <c r="BO721" s="470"/>
      <c r="BP721" s="574"/>
      <c r="BQ721" s="458"/>
      <c r="BR721" s="577"/>
      <c r="BS721" s="615"/>
      <c r="BT721" s="586"/>
    </row>
    <row r="722" s="435" customFormat="1" ht="22" customHeight="1" spans="1:72">
      <c r="A722" s="458" t="s">
        <v>4032</v>
      </c>
      <c r="B722" s="543">
        <v>45783</v>
      </c>
      <c r="C722" s="595">
        <v>1000027642</v>
      </c>
      <c r="D722" s="451"/>
      <c r="E722" s="457"/>
      <c r="F722" s="453"/>
      <c r="G722" s="453"/>
      <c r="H722" s="453"/>
      <c r="I722" s="453"/>
      <c r="J722" s="453"/>
      <c r="K722" s="453"/>
      <c r="L722" s="453"/>
      <c r="M722" s="453"/>
      <c r="N722" s="453"/>
      <c r="O722" s="453">
        <v>5001</v>
      </c>
      <c r="P722" s="453"/>
      <c r="Q722" s="453"/>
      <c r="R722" s="550"/>
      <c r="S722" s="453"/>
      <c r="T722" s="453"/>
      <c r="U722" s="453"/>
      <c r="V722" s="453"/>
      <c r="W722" s="453"/>
      <c r="X722" s="453"/>
      <c r="Y722" s="453"/>
      <c r="Z722" s="489"/>
      <c r="AA722" s="489"/>
      <c r="AB722" s="490"/>
      <c r="AC722" s="453"/>
      <c r="AD722" s="453"/>
      <c r="AE722" s="453"/>
      <c r="AF722" s="453"/>
      <c r="AG722" s="453"/>
      <c r="AH722" s="453"/>
      <c r="AI722" s="453"/>
      <c r="AJ722" s="453"/>
      <c r="AK722" s="453"/>
      <c r="AL722" s="453"/>
      <c r="AM722" s="453"/>
      <c r="AN722" s="453"/>
      <c r="AO722" s="453"/>
      <c r="AP722" s="453"/>
      <c r="AQ722" s="453"/>
      <c r="AR722" s="453"/>
      <c r="AS722" s="453"/>
      <c r="AT722" s="453"/>
      <c r="AU722" s="453"/>
      <c r="AV722" s="453"/>
      <c r="AW722" s="453"/>
      <c r="AX722" s="453"/>
      <c r="AY722" s="453"/>
      <c r="AZ722" s="453"/>
      <c r="BA722" s="532"/>
      <c r="BB722" s="502"/>
      <c r="BC722" s="503"/>
      <c r="BD722" s="453"/>
      <c r="BE722" s="453"/>
      <c r="BF722" s="470"/>
      <c r="BG722" s="453"/>
      <c r="BH722" s="453"/>
      <c r="BI722" s="453"/>
      <c r="BJ722" s="453"/>
      <c r="BK722" s="453"/>
      <c r="BL722" s="453"/>
      <c r="BM722" s="502"/>
      <c r="BN722" s="503"/>
      <c r="BO722" s="470"/>
      <c r="BP722" s="574"/>
      <c r="BQ722" s="458"/>
      <c r="BR722" s="577"/>
      <c r="BS722" s="615"/>
      <c r="BT722" s="586"/>
    </row>
    <row r="723" s="435" customFormat="1" ht="22" customHeight="1" spans="1:72">
      <c r="A723" s="458" t="s">
        <v>4032</v>
      </c>
      <c r="B723" s="543">
        <v>45792</v>
      </c>
      <c r="C723" s="595">
        <v>1000027932</v>
      </c>
      <c r="D723" s="451"/>
      <c r="E723" s="457"/>
      <c r="F723" s="453"/>
      <c r="G723" s="453"/>
      <c r="H723" s="453"/>
      <c r="I723" s="453"/>
      <c r="J723" s="453"/>
      <c r="K723" s="453"/>
      <c r="L723" s="453"/>
      <c r="M723" s="453"/>
      <c r="N723" s="453"/>
      <c r="O723" s="453"/>
      <c r="P723" s="453"/>
      <c r="Q723" s="453"/>
      <c r="R723" s="550"/>
      <c r="S723" s="453"/>
      <c r="T723" s="453"/>
      <c r="U723" s="453"/>
      <c r="V723" s="453"/>
      <c r="W723" s="453"/>
      <c r="X723" s="458">
        <v>3000</v>
      </c>
      <c r="Y723" s="453"/>
      <c r="Z723" s="590" t="s">
        <v>4114</v>
      </c>
      <c r="AA723" s="489"/>
      <c r="AB723" s="490"/>
      <c r="AC723" s="453"/>
      <c r="AD723" s="453"/>
      <c r="AE723" s="453"/>
      <c r="AF723" s="453"/>
      <c r="AG723" s="453"/>
      <c r="AH723" s="453"/>
      <c r="AI723" s="453"/>
      <c r="AJ723" s="453"/>
      <c r="AK723" s="453"/>
      <c r="AL723" s="453"/>
      <c r="AM723" s="453"/>
      <c r="AN723" s="453"/>
      <c r="AO723" s="453"/>
      <c r="AP723" s="453"/>
      <c r="AQ723" s="453"/>
      <c r="AR723" s="453"/>
      <c r="AS723" s="453"/>
      <c r="AT723" s="453"/>
      <c r="AU723" s="453"/>
      <c r="AV723" s="453"/>
      <c r="AW723" s="453"/>
      <c r="AX723" s="453"/>
      <c r="AY723" s="453"/>
      <c r="AZ723" s="453"/>
      <c r="BA723" s="532"/>
      <c r="BB723" s="502"/>
      <c r="BC723" s="503"/>
      <c r="BD723" s="453"/>
      <c r="BE723" s="453"/>
      <c r="BF723" s="470"/>
      <c r="BG723" s="453"/>
      <c r="BH723" s="453"/>
      <c r="BI723" s="453"/>
      <c r="BJ723" s="453"/>
      <c r="BK723" s="453"/>
      <c r="BL723" s="453"/>
      <c r="BM723" s="502"/>
      <c r="BN723" s="503"/>
      <c r="BO723" s="470"/>
      <c r="BP723" s="574"/>
      <c r="BQ723" s="458"/>
      <c r="BR723" s="577"/>
      <c r="BS723" s="615"/>
      <c r="BT723" s="586"/>
    </row>
    <row r="724" s="435" customFormat="1" ht="22" customHeight="1" spans="1:72">
      <c r="A724" s="458" t="s">
        <v>4032</v>
      </c>
      <c r="B724" s="543">
        <v>45792</v>
      </c>
      <c r="C724" s="595">
        <v>1000027880</v>
      </c>
      <c r="D724" s="451"/>
      <c r="E724" s="457"/>
      <c r="F724" s="453"/>
      <c r="G724" s="453"/>
      <c r="H724" s="453"/>
      <c r="I724" s="453"/>
      <c r="J724" s="453"/>
      <c r="K724" s="453"/>
      <c r="L724" s="453"/>
      <c r="M724" s="453"/>
      <c r="N724" s="453"/>
      <c r="O724" s="453"/>
      <c r="P724" s="453"/>
      <c r="Q724" s="453"/>
      <c r="R724" s="550"/>
      <c r="S724" s="453"/>
      <c r="T724" s="453"/>
      <c r="U724" s="453"/>
      <c r="V724" s="453">
        <v>4212</v>
      </c>
      <c r="W724" s="453"/>
      <c r="X724" s="453"/>
      <c r="Y724" s="453"/>
      <c r="Z724" s="590" t="s">
        <v>4115</v>
      </c>
      <c r="AA724" s="489"/>
      <c r="AB724" s="490"/>
      <c r="AC724" s="453"/>
      <c r="AD724" s="453"/>
      <c r="AE724" s="453"/>
      <c r="AF724" s="453"/>
      <c r="AG724" s="453"/>
      <c r="AH724" s="453"/>
      <c r="AI724" s="453"/>
      <c r="AJ724" s="453"/>
      <c r="AK724" s="453"/>
      <c r="AL724" s="453"/>
      <c r="AM724" s="453"/>
      <c r="AN724" s="453"/>
      <c r="AO724" s="453"/>
      <c r="AP724" s="453"/>
      <c r="AQ724" s="453"/>
      <c r="AR724" s="453"/>
      <c r="AS724" s="453"/>
      <c r="AT724" s="453"/>
      <c r="AU724" s="453"/>
      <c r="AV724" s="453"/>
      <c r="AW724" s="453"/>
      <c r="AX724" s="453"/>
      <c r="AY724" s="453"/>
      <c r="AZ724" s="453"/>
      <c r="BA724" s="532"/>
      <c r="BB724" s="502"/>
      <c r="BC724" s="503"/>
      <c r="BD724" s="453"/>
      <c r="BE724" s="453"/>
      <c r="BF724" s="470"/>
      <c r="BG724" s="453"/>
      <c r="BH724" s="453"/>
      <c r="BI724" s="453"/>
      <c r="BJ724" s="453"/>
      <c r="BK724" s="453"/>
      <c r="BL724" s="453"/>
      <c r="BM724" s="502"/>
      <c r="BN724" s="503"/>
      <c r="BO724" s="470"/>
      <c r="BP724" s="574"/>
      <c r="BQ724" s="458"/>
      <c r="BR724" s="577"/>
      <c r="BS724" s="615"/>
      <c r="BT724" s="586"/>
    </row>
    <row r="725" s="435" customFormat="1" ht="22" customHeight="1" spans="1:72">
      <c r="A725" s="458" t="s">
        <v>4032</v>
      </c>
      <c r="B725" s="543">
        <v>45792</v>
      </c>
      <c r="C725" s="595">
        <v>1000027881</v>
      </c>
      <c r="D725" s="451"/>
      <c r="E725" s="457"/>
      <c r="F725" s="453"/>
      <c r="G725" s="453"/>
      <c r="H725" s="453"/>
      <c r="I725" s="453"/>
      <c r="J725" s="453"/>
      <c r="K725" s="453"/>
      <c r="L725" s="453"/>
      <c r="M725" s="453"/>
      <c r="N725" s="453"/>
      <c r="O725" s="453"/>
      <c r="P725" s="453"/>
      <c r="Q725" s="453"/>
      <c r="R725" s="550"/>
      <c r="S725" s="453"/>
      <c r="T725" s="453"/>
      <c r="U725" s="453"/>
      <c r="V725" s="453"/>
      <c r="W725" s="453"/>
      <c r="X725" s="453"/>
      <c r="Y725" s="453">
        <v>6924</v>
      </c>
      <c r="Z725" s="590" t="s">
        <v>4116</v>
      </c>
      <c r="AA725" s="489"/>
      <c r="AB725" s="490"/>
      <c r="AC725" s="453"/>
      <c r="AD725" s="453"/>
      <c r="AE725" s="453"/>
      <c r="AF725" s="453"/>
      <c r="AG725" s="453"/>
      <c r="AH725" s="453"/>
      <c r="AI725" s="453"/>
      <c r="AJ725" s="453"/>
      <c r="AK725" s="453"/>
      <c r="AL725" s="453"/>
      <c r="AM725" s="453"/>
      <c r="AN725" s="453"/>
      <c r="AO725" s="453"/>
      <c r="AP725" s="453"/>
      <c r="AQ725" s="453"/>
      <c r="AR725" s="453"/>
      <c r="AS725" s="453"/>
      <c r="AT725" s="453"/>
      <c r="AU725" s="453"/>
      <c r="AV725" s="453"/>
      <c r="AW725" s="453"/>
      <c r="AX725" s="453"/>
      <c r="AY725" s="453"/>
      <c r="AZ725" s="453"/>
      <c r="BA725" s="532"/>
      <c r="BB725" s="502"/>
      <c r="BC725" s="503"/>
      <c r="BD725" s="453"/>
      <c r="BE725" s="453"/>
      <c r="BF725" s="470"/>
      <c r="BG725" s="453"/>
      <c r="BH725" s="453"/>
      <c r="BI725" s="453"/>
      <c r="BJ725" s="453"/>
      <c r="BK725" s="453"/>
      <c r="BL725" s="453"/>
      <c r="BM725" s="502"/>
      <c r="BN725" s="503"/>
      <c r="BO725" s="470"/>
      <c r="BP725" s="574"/>
      <c r="BQ725" s="458"/>
      <c r="BR725" s="577"/>
      <c r="BS725" s="615"/>
      <c r="BT725" s="586"/>
    </row>
    <row r="726" s="435" customFormat="1" ht="22" customHeight="1" spans="1:72">
      <c r="A726" s="458" t="s">
        <v>4032</v>
      </c>
      <c r="B726" s="543">
        <v>45793</v>
      </c>
      <c r="C726" s="595">
        <v>1000028037</v>
      </c>
      <c r="D726" s="451"/>
      <c r="E726" s="457"/>
      <c r="F726" s="453"/>
      <c r="G726" s="453"/>
      <c r="H726" s="453"/>
      <c r="I726" s="453"/>
      <c r="J726" s="453"/>
      <c r="K726" s="453"/>
      <c r="L726" s="453"/>
      <c r="M726" s="453"/>
      <c r="N726" s="453"/>
      <c r="O726" s="453">
        <v>5001</v>
      </c>
      <c r="P726" s="453"/>
      <c r="Q726" s="453"/>
      <c r="R726" s="550"/>
      <c r="S726" s="453"/>
      <c r="T726" s="453"/>
      <c r="U726" s="453"/>
      <c r="V726" s="453"/>
      <c r="W726" s="453"/>
      <c r="X726" s="453"/>
      <c r="Y726" s="453"/>
      <c r="Z726" s="489"/>
      <c r="AA726" s="489"/>
      <c r="AB726" s="490"/>
      <c r="AC726" s="453"/>
      <c r="AD726" s="453"/>
      <c r="AE726" s="453"/>
      <c r="AF726" s="453"/>
      <c r="AG726" s="453"/>
      <c r="AH726" s="453"/>
      <c r="AI726" s="453"/>
      <c r="AJ726" s="453"/>
      <c r="AK726" s="453"/>
      <c r="AL726" s="453"/>
      <c r="AM726" s="453"/>
      <c r="AN726" s="453"/>
      <c r="AO726" s="453"/>
      <c r="AP726" s="453"/>
      <c r="AQ726" s="453"/>
      <c r="AR726" s="453"/>
      <c r="AS726" s="453"/>
      <c r="AT726" s="453"/>
      <c r="AU726" s="453"/>
      <c r="AV726" s="453"/>
      <c r="AW726" s="453"/>
      <c r="AX726" s="453"/>
      <c r="AY726" s="453"/>
      <c r="AZ726" s="453"/>
      <c r="BA726" s="532"/>
      <c r="BB726" s="502"/>
      <c r="BC726" s="503"/>
      <c r="BD726" s="453"/>
      <c r="BE726" s="453"/>
      <c r="BF726" s="470"/>
      <c r="BG726" s="453"/>
      <c r="BH726" s="453"/>
      <c r="BI726" s="453"/>
      <c r="BJ726" s="453"/>
      <c r="BK726" s="453"/>
      <c r="BL726" s="453"/>
      <c r="BM726" s="502"/>
      <c r="BN726" s="503"/>
      <c r="BO726" s="470"/>
      <c r="BP726" s="574"/>
      <c r="BQ726" s="458"/>
      <c r="BR726" s="577"/>
      <c r="BS726" s="615"/>
      <c r="BT726" s="586"/>
    </row>
    <row r="727" s="435" customFormat="1" ht="22" customHeight="1" spans="1:72">
      <c r="A727" s="458" t="s">
        <v>4032</v>
      </c>
      <c r="B727" s="543">
        <v>45793</v>
      </c>
      <c r="C727" s="595">
        <v>1000028038</v>
      </c>
      <c r="D727" s="451"/>
      <c r="E727" s="457"/>
      <c r="F727" s="453"/>
      <c r="G727" s="453"/>
      <c r="H727" s="453"/>
      <c r="I727" s="453"/>
      <c r="J727" s="453"/>
      <c r="K727" s="453"/>
      <c r="L727" s="453"/>
      <c r="M727" s="453"/>
      <c r="N727" s="453"/>
      <c r="O727" s="453"/>
      <c r="P727" s="453"/>
      <c r="Q727" s="453">
        <v>3001</v>
      </c>
      <c r="R727" s="550"/>
      <c r="S727" s="453"/>
      <c r="T727" s="453"/>
      <c r="U727" s="453"/>
      <c r="V727" s="453"/>
      <c r="W727" s="453"/>
      <c r="X727" s="453"/>
      <c r="Y727" s="453"/>
      <c r="Z727" s="489"/>
      <c r="AA727" s="489"/>
      <c r="AB727" s="490"/>
      <c r="AC727" s="453"/>
      <c r="AD727" s="453"/>
      <c r="AE727" s="453"/>
      <c r="AF727" s="453"/>
      <c r="AG727" s="453"/>
      <c r="AH727" s="453"/>
      <c r="AI727" s="453"/>
      <c r="AJ727" s="453"/>
      <c r="AK727" s="453"/>
      <c r="AL727" s="453"/>
      <c r="AM727" s="453"/>
      <c r="AN727" s="453"/>
      <c r="AO727" s="453"/>
      <c r="AP727" s="453"/>
      <c r="AQ727" s="453"/>
      <c r="AR727" s="453"/>
      <c r="AS727" s="453"/>
      <c r="AT727" s="453"/>
      <c r="AU727" s="453"/>
      <c r="AV727" s="453"/>
      <c r="AW727" s="453"/>
      <c r="AX727" s="453"/>
      <c r="AY727" s="453"/>
      <c r="AZ727" s="453"/>
      <c r="BA727" s="532"/>
      <c r="BB727" s="502"/>
      <c r="BC727" s="503"/>
      <c r="BD727" s="453"/>
      <c r="BE727" s="453"/>
      <c r="BF727" s="470"/>
      <c r="BG727" s="453"/>
      <c r="BH727" s="453"/>
      <c r="BI727" s="453"/>
      <c r="BJ727" s="453"/>
      <c r="BK727" s="453"/>
      <c r="BL727" s="453"/>
      <c r="BM727" s="502"/>
      <c r="BN727" s="503"/>
      <c r="BO727" s="470"/>
      <c r="BP727" s="574"/>
      <c r="BQ727" s="458"/>
      <c r="BR727" s="577"/>
      <c r="BS727" s="615"/>
      <c r="BT727" s="586"/>
    </row>
    <row r="728" s="435" customFormat="1" ht="22" customHeight="1" spans="1:72">
      <c r="A728" s="458" t="s">
        <v>4032</v>
      </c>
      <c r="B728" s="543">
        <v>45793</v>
      </c>
      <c r="C728" s="595">
        <v>1000028039</v>
      </c>
      <c r="D728" s="451"/>
      <c r="E728" s="457"/>
      <c r="F728" s="453"/>
      <c r="G728" s="453"/>
      <c r="H728" s="453"/>
      <c r="I728" s="453"/>
      <c r="J728" s="453"/>
      <c r="K728" s="453"/>
      <c r="L728" s="453"/>
      <c r="M728" s="453"/>
      <c r="N728" s="453"/>
      <c r="O728" s="453"/>
      <c r="P728" s="453"/>
      <c r="Q728" s="453"/>
      <c r="R728" s="550"/>
      <c r="S728" s="453"/>
      <c r="T728" s="453">
        <v>5001</v>
      </c>
      <c r="U728" s="453"/>
      <c r="V728" s="453"/>
      <c r="W728" s="453"/>
      <c r="X728" s="453"/>
      <c r="Y728" s="453"/>
      <c r="Z728" s="489"/>
      <c r="AA728" s="489"/>
      <c r="AB728" s="490"/>
      <c r="AC728" s="453"/>
      <c r="AD728" s="453"/>
      <c r="AE728" s="453"/>
      <c r="AF728" s="453"/>
      <c r="AG728" s="453"/>
      <c r="AH728" s="453"/>
      <c r="AI728" s="453"/>
      <c r="AJ728" s="453"/>
      <c r="AK728" s="453"/>
      <c r="AL728" s="453"/>
      <c r="AM728" s="453"/>
      <c r="AN728" s="453"/>
      <c r="AO728" s="453"/>
      <c r="AP728" s="453"/>
      <c r="AQ728" s="453"/>
      <c r="AR728" s="453"/>
      <c r="AS728" s="453"/>
      <c r="AT728" s="453"/>
      <c r="AU728" s="453"/>
      <c r="AV728" s="453"/>
      <c r="AW728" s="453"/>
      <c r="AX728" s="453"/>
      <c r="AY728" s="453"/>
      <c r="AZ728" s="453"/>
      <c r="BA728" s="532"/>
      <c r="BB728" s="502"/>
      <c r="BC728" s="503"/>
      <c r="BD728" s="453"/>
      <c r="BE728" s="453"/>
      <c r="BF728" s="470"/>
      <c r="BG728" s="453"/>
      <c r="BH728" s="453"/>
      <c r="BI728" s="453"/>
      <c r="BJ728" s="453"/>
      <c r="BK728" s="453"/>
      <c r="BL728" s="453"/>
      <c r="BM728" s="502"/>
      <c r="BN728" s="503"/>
      <c r="BO728" s="470"/>
      <c r="BP728" s="574"/>
      <c r="BQ728" s="458"/>
      <c r="BR728" s="577"/>
      <c r="BS728" s="615"/>
      <c r="BT728" s="586"/>
    </row>
    <row r="729" s="435" customFormat="1" ht="22" customHeight="1" spans="1:72">
      <c r="A729" s="458" t="s">
        <v>4032</v>
      </c>
      <c r="B729" s="543">
        <v>45819</v>
      </c>
      <c r="C729" s="581">
        <v>1000028885</v>
      </c>
      <c r="D729" s="451"/>
      <c r="E729" s="457"/>
      <c r="F729" s="453"/>
      <c r="G729" s="453"/>
      <c r="H729" s="453"/>
      <c r="I729" s="453"/>
      <c r="J729" s="453"/>
      <c r="K729" s="453"/>
      <c r="L729" s="453"/>
      <c r="M729" s="453"/>
      <c r="N729" s="453"/>
      <c r="O729" s="604">
        <v>5001</v>
      </c>
      <c r="P729" s="604"/>
      <c r="Q729" s="604"/>
      <c r="R729" s="606"/>
      <c r="S729" s="604"/>
      <c r="T729" s="604"/>
      <c r="U729" s="453"/>
      <c r="V729" s="453"/>
      <c r="W729" s="453"/>
      <c r="X729" s="453"/>
      <c r="Y729" s="453"/>
      <c r="Z729" s="489"/>
      <c r="AA729" s="489"/>
      <c r="AB729" s="490"/>
      <c r="AC729" s="453"/>
      <c r="AD729" s="453"/>
      <c r="AE729" s="453"/>
      <c r="AF729" s="453"/>
      <c r="AG729" s="453"/>
      <c r="AH729" s="453"/>
      <c r="AI729" s="453"/>
      <c r="AJ729" s="453"/>
      <c r="AK729" s="604"/>
      <c r="AL729" s="604"/>
      <c r="AM729" s="604"/>
      <c r="AN729" s="604"/>
      <c r="AO729" s="604"/>
      <c r="AP729" s="604"/>
      <c r="AQ729" s="604"/>
      <c r="AR729" s="604"/>
      <c r="AS729" s="604"/>
      <c r="AT729" s="604"/>
      <c r="AU729" s="604"/>
      <c r="AV729" s="453"/>
      <c r="AW729" s="453"/>
      <c r="AX729" s="453"/>
      <c r="AY729" s="453"/>
      <c r="AZ729" s="453"/>
      <c r="BA729" s="532"/>
      <c r="BB729" s="502"/>
      <c r="BC729" s="503"/>
      <c r="BD729" s="453"/>
      <c r="BE729" s="453"/>
      <c r="BF729" s="470"/>
      <c r="BG729" s="453"/>
      <c r="BH729" s="453"/>
      <c r="BI729" s="453"/>
      <c r="BJ729" s="453"/>
      <c r="BK729" s="453"/>
      <c r="BL729" s="453"/>
      <c r="BM729" s="502"/>
      <c r="BN729" s="503"/>
      <c r="BO729" s="470"/>
      <c r="BP729" s="574"/>
      <c r="BQ729" s="458"/>
      <c r="BR729" s="577"/>
      <c r="BS729" s="615"/>
      <c r="BT729" s="586"/>
    </row>
    <row r="730" s="435" customFormat="1" ht="22" customHeight="1" spans="1:72">
      <c r="A730" s="458" t="s">
        <v>4032</v>
      </c>
      <c r="B730" s="543">
        <v>45819</v>
      </c>
      <c r="C730" s="581">
        <v>1000028886</v>
      </c>
      <c r="D730" s="451"/>
      <c r="E730" s="457"/>
      <c r="F730" s="453"/>
      <c r="G730" s="453"/>
      <c r="H730" s="453"/>
      <c r="I730" s="453"/>
      <c r="J730" s="453"/>
      <c r="K730" s="453"/>
      <c r="L730" s="453"/>
      <c r="M730" s="453"/>
      <c r="N730" s="453"/>
      <c r="O730" s="604"/>
      <c r="P730" s="604"/>
      <c r="Q730" s="604"/>
      <c r="R730" s="606"/>
      <c r="S730" s="604"/>
      <c r="T730" s="604">
        <v>5001</v>
      </c>
      <c r="U730" s="453"/>
      <c r="V730" s="453"/>
      <c r="W730" s="453"/>
      <c r="X730" s="453"/>
      <c r="Y730" s="453"/>
      <c r="Z730" s="489"/>
      <c r="AA730" s="489"/>
      <c r="AB730" s="490"/>
      <c r="AC730" s="453"/>
      <c r="AD730" s="453"/>
      <c r="AE730" s="453"/>
      <c r="AF730" s="453"/>
      <c r="AG730" s="453"/>
      <c r="AH730" s="453"/>
      <c r="AI730" s="453"/>
      <c r="AJ730" s="453"/>
      <c r="AK730" s="604"/>
      <c r="AL730" s="604"/>
      <c r="AM730" s="604"/>
      <c r="AN730" s="604"/>
      <c r="AO730" s="604"/>
      <c r="AP730" s="604"/>
      <c r="AQ730" s="604"/>
      <c r="AR730" s="604"/>
      <c r="AS730" s="604"/>
      <c r="AT730" s="604"/>
      <c r="AU730" s="604"/>
      <c r="AV730" s="453"/>
      <c r="AW730" s="453"/>
      <c r="AX730" s="453"/>
      <c r="AY730" s="453"/>
      <c r="AZ730" s="453"/>
      <c r="BA730" s="532"/>
      <c r="BB730" s="502"/>
      <c r="BC730" s="503"/>
      <c r="BD730" s="453"/>
      <c r="BE730" s="453"/>
      <c r="BF730" s="470"/>
      <c r="BG730" s="453"/>
      <c r="BH730" s="453"/>
      <c r="BI730" s="453"/>
      <c r="BJ730" s="453"/>
      <c r="BK730" s="453"/>
      <c r="BL730" s="453"/>
      <c r="BM730" s="502"/>
      <c r="BN730" s="503"/>
      <c r="BO730" s="470"/>
      <c r="BP730" s="574"/>
      <c r="BQ730" s="458"/>
      <c r="BR730" s="577"/>
      <c r="BS730" s="615"/>
      <c r="BT730" s="586"/>
    </row>
    <row r="731" s="435" customFormat="1" ht="22" customHeight="1" spans="1:72">
      <c r="A731" s="458" t="s">
        <v>4032</v>
      </c>
      <c r="B731" s="543">
        <v>45819</v>
      </c>
      <c r="C731" s="581">
        <v>1000028887</v>
      </c>
      <c r="D731" s="451"/>
      <c r="E731" s="457"/>
      <c r="F731" s="453"/>
      <c r="G731" s="453"/>
      <c r="H731" s="453"/>
      <c r="I731" s="453"/>
      <c r="J731" s="453"/>
      <c r="K731" s="453"/>
      <c r="L731" s="453"/>
      <c r="M731" s="453"/>
      <c r="N731" s="453"/>
      <c r="O731" s="453"/>
      <c r="P731" s="453"/>
      <c r="Q731" s="453"/>
      <c r="R731" s="550"/>
      <c r="S731" s="453"/>
      <c r="T731" s="453"/>
      <c r="U731" s="453"/>
      <c r="V731" s="453"/>
      <c r="W731" s="453"/>
      <c r="X731" s="453"/>
      <c r="Y731" s="453"/>
      <c r="Z731" s="489"/>
      <c r="AA731" s="489"/>
      <c r="AB731" s="490"/>
      <c r="AC731" s="453"/>
      <c r="AD731" s="453"/>
      <c r="AE731" s="453"/>
      <c r="AF731" s="453"/>
      <c r="AG731" s="453"/>
      <c r="AH731" s="453"/>
      <c r="AI731" s="453"/>
      <c r="AJ731" s="453"/>
      <c r="AK731" s="604">
        <v>10001</v>
      </c>
      <c r="AL731" s="604"/>
      <c r="AM731" s="604"/>
      <c r="AN731" s="604"/>
      <c r="AO731" s="604"/>
      <c r="AP731" s="604"/>
      <c r="AQ731" s="604"/>
      <c r="AR731" s="604"/>
      <c r="AS731" s="604"/>
      <c r="AT731" s="604"/>
      <c r="AU731" s="604"/>
      <c r="AV731" s="453"/>
      <c r="AW731" s="453"/>
      <c r="AX731" s="453"/>
      <c r="AY731" s="453"/>
      <c r="AZ731" s="453"/>
      <c r="BA731" s="532"/>
      <c r="BB731" s="502"/>
      <c r="BC731" s="503"/>
      <c r="BD731" s="453"/>
      <c r="BE731" s="453"/>
      <c r="BF731" s="470"/>
      <c r="BG731" s="453"/>
      <c r="BH731" s="453"/>
      <c r="BI731" s="453"/>
      <c r="BJ731" s="453"/>
      <c r="BK731" s="453"/>
      <c r="BL731" s="453"/>
      <c r="BM731" s="502"/>
      <c r="BN731" s="503"/>
      <c r="BO731" s="470"/>
      <c r="BP731" s="574"/>
      <c r="BQ731" s="458"/>
      <c r="BR731" s="577"/>
      <c r="BS731" s="615"/>
      <c r="BT731" s="586"/>
    </row>
    <row r="732" s="435" customFormat="1" ht="22" customHeight="1" spans="1:72">
      <c r="A732" s="458" t="s">
        <v>4032</v>
      </c>
      <c r="B732" s="543">
        <v>45819</v>
      </c>
      <c r="C732" s="581">
        <v>1000028888</v>
      </c>
      <c r="D732" s="451"/>
      <c r="E732" s="457"/>
      <c r="F732" s="453"/>
      <c r="G732" s="453"/>
      <c r="H732" s="453"/>
      <c r="I732" s="453"/>
      <c r="J732" s="453"/>
      <c r="K732" s="453"/>
      <c r="L732" s="453"/>
      <c r="M732" s="453"/>
      <c r="N732" s="453"/>
      <c r="O732" s="453"/>
      <c r="P732" s="453"/>
      <c r="Q732" s="453"/>
      <c r="R732" s="550"/>
      <c r="S732" s="453"/>
      <c r="T732" s="453"/>
      <c r="U732" s="453"/>
      <c r="V732" s="453"/>
      <c r="W732" s="453"/>
      <c r="X732" s="453"/>
      <c r="Y732" s="453"/>
      <c r="Z732" s="489"/>
      <c r="AA732" s="489"/>
      <c r="AB732" s="490"/>
      <c r="AC732" s="453"/>
      <c r="AD732" s="453"/>
      <c r="AE732" s="453"/>
      <c r="AF732" s="453"/>
      <c r="AG732" s="453"/>
      <c r="AH732" s="453"/>
      <c r="AI732" s="453"/>
      <c r="AJ732" s="453"/>
      <c r="AK732" s="604"/>
      <c r="AL732" s="604"/>
      <c r="AM732" s="604"/>
      <c r="AN732" s="604"/>
      <c r="AO732" s="604"/>
      <c r="AP732" s="604"/>
      <c r="AQ732" s="604"/>
      <c r="AR732" s="604"/>
      <c r="AS732" s="604"/>
      <c r="AT732" s="604"/>
      <c r="AU732" s="604">
        <v>10001</v>
      </c>
      <c r="AV732" s="453"/>
      <c r="AW732" s="453"/>
      <c r="AX732" s="453"/>
      <c r="AY732" s="453"/>
      <c r="AZ732" s="453"/>
      <c r="BA732" s="532"/>
      <c r="BB732" s="502"/>
      <c r="BC732" s="503"/>
      <c r="BD732" s="453"/>
      <c r="BE732" s="453"/>
      <c r="BF732" s="470"/>
      <c r="BG732" s="453"/>
      <c r="BH732" s="453"/>
      <c r="BI732" s="453"/>
      <c r="BJ732" s="453"/>
      <c r="BK732" s="453"/>
      <c r="BL732" s="453"/>
      <c r="BM732" s="502"/>
      <c r="BN732" s="503"/>
      <c r="BO732" s="470"/>
      <c r="BP732" s="574"/>
      <c r="BQ732" s="458"/>
      <c r="BR732" s="577"/>
      <c r="BS732" s="615"/>
      <c r="BT732" s="586"/>
    </row>
    <row r="733" s="435" customFormat="1" ht="22" customHeight="1" spans="1:72">
      <c r="A733" s="458" t="s">
        <v>4032</v>
      </c>
      <c r="B733" s="543">
        <v>45819</v>
      </c>
      <c r="C733" s="581">
        <v>1000028889</v>
      </c>
      <c r="D733" s="451"/>
      <c r="E733" s="457"/>
      <c r="F733" s="453"/>
      <c r="G733" s="453"/>
      <c r="H733" s="453"/>
      <c r="I733" s="453"/>
      <c r="J733" s="453"/>
      <c r="K733" s="453"/>
      <c r="L733" s="453"/>
      <c r="M733" s="453"/>
      <c r="N733" s="453"/>
      <c r="O733" s="453"/>
      <c r="P733" s="453"/>
      <c r="Q733" s="453"/>
      <c r="R733" s="550"/>
      <c r="S733" s="453"/>
      <c r="T733" s="453"/>
      <c r="U733" s="453"/>
      <c r="V733" s="453"/>
      <c r="W733" s="453"/>
      <c r="X733" s="453"/>
      <c r="Y733" s="453"/>
      <c r="Z733" s="489"/>
      <c r="AA733" s="489"/>
      <c r="AB733" s="490"/>
      <c r="AC733" s="453"/>
      <c r="AD733" s="453"/>
      <c r="AE733" s="453"/>
      <c r="AF733" s="453"/>
      <c r="AG733" s="453"/>
      <c r="AH733" s="453"/>
      <c r="AI733" s="453"/>
      <c r="AJ733" s="453"/>
      <c r="AK733" s="453"/>
      <c r="AL733" s="453"/>
      <c r="AM733" s="453"/>
      <c r="AN733" s="453"/>
      <c r="AO733" s="453"/>
      <c r="AP733" s="453"/>
      <c r="AQ733" s="453"/>
      <c r="AR733" s="453"/>
      <c r="AS733" s="453"/>
      <c r="AT733" s="453"/>
      <c r="AU733" s="453"/>
      <c r="AV733" s="453"/>
      <c r="AW733" s="453"/>
      <c r="AX733" s="453"/>
      <c r="AY733" s="453"/>
      <c r="AZ733" s="453"/>
      <c r="BA733" s="532"/>
      <c r="BB733" s="502"/>
      <c r="BC733" s="503"/>
      <c r="BD733" s="453"/>
      <c r="BE733" s="453"/>
      <c r="BF733" s="470"/>
      <c r="BG733" s="453"/>
      <c r="BH733" s="453"/>
      <c r="BI733" s="453">
        <v>5001</v>
      </c>
      <c r="BJ733" s="453"/>
      <c r="BK733" s="453"/>
      <c r="BL733" s="453"/>
      <c r="BM733" s="502"/>
      <c r="BN733" s="503"/>
      <c r="BO733" s="470"/>
      <c r="BP733" s="574"/>
      <c r="BQ733" s="458"/>
      <c r="BR733" s="577"/>
      <c r="BS733" s="615"/>
      <c r="BT733" s="586"/>
    </row>
    <row r="734" s="435" customFormat="1" ht="22" customHeight="1" spans="1:72">
      <c r="A734" s="458" t="s">
        <v>4032</v>
      </c>
      <c r="B734" s="543">
        <v>45819</v>
      </c>
      <c r="C734" s="581">
        <v>1000028890</v>
      </c>
      <c r="D734" s="451"/>
      <c r="E734" s="457"/>
      <c r="F734" s="453"/>
      <c r="G734" s="453"/>
      <c r="H734" s="453"/>
      <c r="I734" s="453"/>
      <c r="J734" s="453"/>
      <c r="K734" s="453"/>
      <c r="L734" s="453"/>
      <c r="M734" s="453"/>
      <c r="N734" s="453"/>
      <c r="O734" s="453"/>
      <c r="P734" s="453"/>
      <c r="Q734" s="453"/>
      <c r="R734" s="550"/>
      <c r="S734" s="453"/>
      <c r="T734" s="453"/>
      <c r="U734" s="453"/>
      <c r="V734" s="453"/>
      <c r="W734" s="453"/>
      <c r="X734" s="453"/>
      <c r="Y734" s="453"/>
      <c r="Z734" s="489"/>
      <c r="AA734" s="489"/>
      <c r="AB734" s="490"/>
      <c r="AC734" s="453"/>
      <c r="AD734" s="453"/>
      <c r="AE734" s="453"/>
      <c r="AF734" s="453"/>
      <c r="AG734" s="453"/>
      <c r="AH734" s="453"/>
      <c r="AI734" s="453"/>
      <c r="AJ734" s="453"/>
      <c r="AK734" s="453"/>
      <c r="AL734" s="453"/>
      <c r="AM734" s="453"/>
      <c r="AN734" s="453"/>
      <c r="AO734" s="453"/>
      <c r="AP734" s="453"/>
      <c r="AQ734" s="453"/>
      <c r="AR734" s="453"/>
      <c r="AS734" s="453"/>
      <c r="AT734" s="453"/>
      <c r="AU734" s="453"/>
      <c r="AV734" s="453"/>
      <c r="AW734" s="453"/>
      <c r="AX734" s="453"/>
      <c r="AY734" s="453"/>
      <c r="AZ734" s="453"/>
      <c r="BA734" s="532"/>
      <c r="BB734" s="502"/>
      <c r="BC734" s="503"/>
      <c r="BD734" s="453"/>
      <c r="BE734" s="453"/>
      <c r="BF734" s="470"/>
      <c r="BG734" s="453"/>
      <c r="BH734" s="453"/>
      <c r="BI734" s="453"/>
      <c r="BJ734" s="453"/>
      <c r="BK734" s="453"/>
      <c r="BL734" s="453"/>
      <c r="BM734" s="502"/>
      <c r="BN734" s="503"/>
      <c r="BO734" s="470"/>
      <c r="BP734" s="574"/>
      <c r="BQ734" s="453">
        <v>5001</v>
      </c>
      <c r="BR734" s="577"/>
      <c r="BS734" s="615"/>
      <c r="BT734" s="586"/>
    </row>
    <row r="735" s="435" customFormat="1" ht="22" customHeight="1" spans="1:72">
      <c r="A735" s="458" t="s">
        <v>4032</v>
      </c>
      <c r="B735" s="543">
        <v>45827</v>
      </c>
      <c r="C735" s="581">
        <v>1000029138</v>
      </c>
      <c r="D735" s="451"/>
      <c r="E735" s="457"/>
      <c r="F735" s="453"/>
      <c r="G735" s="453"/>
      <c r="H735" s="453"/>
      <c r="I735" s="453"/>
      <c r="J735" s="453"/>
      <c r="K735" s="453"/>
      <c r="L735" s="453"/>
      <c r="M735" s="453"/>
      <c r="N735" s="453"/>
      <c r="O735" s="453"/>
      <c r="P735" s="453"/>
      <c r="Q735" s="453"/>
      <c r="R735" s="550"/>
      <c r="S735" s="453"/>
      <c r="T735" s="453"/>
      <c r="U735" s="453"/>
      <c r="V735" s="453"/>
      <c r="W735" s="453"/>
      <c r="X735" s="453"/>
      <c r="Y735" s="453"/>
      <c r="Z735" s="489"/>
      <c r="AA735" s="489"/>
      <c r="AB735" s="490"/>
      <c r="AC735" s="453"/>
      <c r="AD735" s="453"/>
      <c r="AE735" s="453"/>
      <c r="AF735" s="453">
        <v>10001</v>
      </c>
      <c r="AG735" s="453"/>
      <c r="AH735" s="453"/>
      <c r="AI735" s="453"/>
      <c r="AJ735" s="453"/>
      <c r="AK735" s="453"/>
      <c r="AL735" s="453"/>
      <c r="AM735" s="453"/>
      <c r="AN735" s="453"/>
      <c r="AO735" s="453"/>
      <c r="AP735" s="453"/>
      <c r="AQ735" s="453"/>
      <c r="AR735" s="453"/>
      <c r="AS735" s="453"/>
      <c r="AT735" s="453"/>
      <c r="AU735" s="453"/>
      <c r="AV735" s="453"/>
      <c r="AW735" s="453"/>
      <c r="AX735" s="453"/>
      <c r="AY735" s="453"/>
      <c r="AZ735" s="453"/>
      <c r="BA735" s="532"/>
      <c r="BB735" s="502"/>
      <c r="BC735" s="503"/>
      <c r="BD735" s="453"/>
      <c r="BE735" s="453"/>
      <c r="BF735" s="470"/>
      <c r="BG735" s="453"/>
      <c r="BH735" s="453"/>
      <c r="BI735" s="453"/>
      <c r="BJ735" s="453"/>
      <c r="BK735" s="453"/>
      <c r="BL735" s="453"/>
      <c r="BM735" s="502"/>
      <c r="BN735" s="503"/>
      <c r="BO735" s="470"/>
      <c r="BP735" s="574"/>
      <c r="BQ735" s="453"/>
      <c r="BR735" s="577"/>
      <c r="BS735" s="615"/>
      <c r="BT735" s="586"/>
    </row>
    <row r="736" s="435" customFormat="1" ht="22" customHeight="1" spans="1:72">
      <c r="A736" s="458" t="s">
        <v>4032</v>
      </c>
      <c r="B736" s="543">
        <v>45827</v>
      </c>
      <c r="C736" s="581">
        <v>1000029139</v>
      </c>
      <c r="D736" s="451"/>
      <c r="E736" s="457"/>
      <c r="F736" s="453"/>
      <c r="G736" s="453"/>
      <c r="H736" s="453"/>
      <c r="I736" s="453"/>
      <c r="J736" s="453"/>
      <c r="K736" s="453"/>
      <c r="L736" s="453"/>
      <c r="M736" s="453"/>
      <c r="N736" s="453"/>
      <c r="O736" s="453"/>
      <c r="P736" s="453"/>
      <c r="Q736" s="453"/>
      <c r="R736" s="550"/>
      <c r="S736" s="453"/>
      <c r="T736" s="453"/>
      <c r="U736" s="453"/>
      <c r="V736" s="453"/>
      <c r="W736" s="453"/>
      <c r="X736" s="453"/>
      <c r="Y736" s="453"/>
      <c r="Z736" s="489"/>
      <c r="AA736" s="489"/>
      <c r="AB736" s="490"/>
      <c r="AC736" s="453"/>
      <c r="AD736" s="453"/>
      <c r="AE736" s="453"/>
      <c r="AF736" s="453"/>
      <c r="AG736" s="453"/>
      <c r="AH736" s="453"/>
      <c r="AI736" s="453"/>
      <c r="AJ736" s="453"/>
      <c r="AK736" s="453">
        <v>5001</v>
      </c>
      <c r="AL736" s="453"/>
      <c r="AM736" s="453"/>
      <c r="AN736" s="453"/>
      <c r="AO736" s="453"/>
      <c r="AP736" s="453"/>
      <c r="AQ736" s="453"/>
      <c r="AR736" s="453"/>
      <c r="AS736" s="453"/>
      <c r="AT736" s="453"/>
      <c r="AU736" s="453"/>
      <c r="AV736" s="453"/>
      <c r="AW736" s="453"/>
      <c r="AX736" s="453"/>
      <c r="AY736" s="453"/>
      <c r="AZ736" s="453"/>
      <c r="BA736" s="532"/>
      <c r="BB736" s="502"/>
      <c r="BC736" s="503"/>
      <c r="BD736" s="453"/>
      <c r="BE736" s="453"/>
      <c r="BF736" s="470"/>
      <c r="BG736" s="453"/>
      <c r="BH736" s="453"/>
      <c r="BI736" s="453"/>
      <c r="BJ736" s="453"/>
      <c r="BK736" s="453"/>
      <c r="BL736" s="453"/>
      <c r="BM736" s="502"/>
      <c r="BN736" s="503"/>
      <c r="BO736" s="470"/>
      <c r="BP736" s="574"/>
      <c r="BQ736" s="453"/>
      <c r="BR736" s="577"/>
      <c r="BS736" s="615"/>
      <c r="BT736" s="586"/>
    </row>
    <row r="737" s="435" customFormat="1" ht="22" customHeight="1" spans="1:72">
      <c r="A737" s="458" t="s">
        <v>4032</v>
      </c>
      <c r="B737" s="543">
        <v>45827</v>
      </c>
      <c r="C737" s="581">
        <v>1000029140</v>
      </c>
      <c r="D737" s="451"/>
      <c r="E737" s="457"/>
      <c r="F737" s="453"/>
      <c r="G737" s="453"/>
      <c r="H737" s="453"/>
      <c r="I737" s="453"/>
      <c r="J737" s="453"/>
      <c r="K737" s="453"/>
      <c r="L737" s="453"/>
      <c r="M737" s="453"/>
      <c r="N737" s="453"/>
      <c r="O737" s="453"/>
      <c r="P737" s="453"/>
      <c r="Q737" s="453"/>
      <c r="R737" s="550"/>
      <c r="S737" s="453"/>
      <c r="T737" s="453"/>
      <c r="U737" s="453"/>
      <c r="V737" s="453"/>
      <c r="W737" s="453"/>
      <c r="X737" s="453"/>
      <c r="Y737" s="453"/>
      <c r="Z737" s="489"/>
      <c r="AA737" s="489"/>
      <c r="AB737" s="490"/>
      <c r="AC737" s="453"/>
      <c r="AD737" s="453"/>
      <c r="AE737" s="453"/>
      <c r="AF737" s="453"/>
      <c r="AG737" s="453"/>
      <c r="AH737" s="453"/>
      <c r="AI737" s="453"/>
      <c r="AJ737" s="453"/>
      <c r="AK737" s="453"/>
      <c r="AL737" s="453"/>
      <c r="AM737" s="453"/>
      <c r="AN737" s="453"/>
      <c r="AO737" s="453"/>
      <c r="AP737" s="453"/>
      <c r="AQ737" s="453"/>
      <c r="AR737" s="453"/>
      <c r="AS737" s="453"/>
      <c r="AT737" s="453"/>
      <c r="AU737" s="453">
        <v>15000</v>
      </c>
      <c r="AV737" s="453"/>
      <c r="AW737" s="453"/>
      <c r="AX737" s="453"/>
      <c r="AY737" s="453"/>
      <c r="AZ737" s="453"/>
      <c r="BA737" s="532"/>
      <c r="BB737" s="502"/>
      <c r="BC737" s="503"/>
      <c r="BD737" s="453"/>
      <c r="BE737" s="453"/>
      <c r="BF737" s="470"/>
      <c r="BG737" s="453"/>
      <c r="BH737" s="453"/>
      <c r="BI737" s="453"/>
      <c r="BJ737" s="453"/>
      <c r="BK737" s="453"/>
      <c r="BL737" s="453"/>
      <c r="BM737" s="502"/>
      <c r="BN737" s="503"/>
      <c r="BO737" s="470"/>
      <c r="BP737" s="574"/>
      <c r="BQ737" s="453"/>
      <c r="BR737" s="577"/>
      <c r="BS737" s="615"/>
      <c r="BT737" s="586"/>
    </row>
    <row r="738" s="435" customFormat="1" ht="22" customHeight="1" spans="1:72">
      <c r="A738" s="458" t="s">
        <v>4032</v>
      </c>
      <c r="B738" s="543">
        <v>45835</v>
      </c>
      <c r="C738" s="581">
        <v>1000029413</v>
      </c>
      <c r="D738" s="451"/>
      <c r="E738" s="457"/>
      <c r="F738" s="453"/>
      <c r="G738" s="453"/>
      <c r="H738" s="453"/>
      <c r="I738" s="453"/>
      <c r="J738" s="453"/>
      <c r="K738" s="453"/>
      <c r="L738" s="453"/>
      <c r="M738" s="453"/>
      <c r="N738" s="453"/>
      <c r="O738" s="453">
        <v>10001</v>
      </c>
      <c r="P738" s="453"/>
      <c r="Q738" s="453"/>
      <c r="R738" s="550"/>
      <c r="S738" s="453"/>
      <c r="T738" s="453"/>
      <c r="U738" s="453"/>
      <c r="V738" s="453"/>
      <c r="W738" s="453"/>
      <c r="X738" s="453"/>
      <c r="Y738" s="453"/>
      <c r="Z738" s="489"/>
      <c r="AA738" s="489"/>
      <c r="AB738" s="490"/>
      <c r="AC738" s="453"/>
      <c r="AD738" s="453"/>
      <c r="AE738" s="453"/>
      <c r="AF738" s="453"/>
      <c r="AG738" s="453"/>
      <c r="AH738" s="453"/>
      <c r="AI738" s="453"/>
      <c r="AJ738" s="453"/>
      <c r="AK738" s="453"/>
      <c r="AL738" s="453"/>
      <c r="AM738" s="453"/>
      <c r="AN738" s="453"/>
      <c r="AO738" s="453"/>
      <c r="AP738" s="453"/>
      <c r="AQ738" s="453"/>
      <c r="AR738" s="453"/>
      <c r="AS738" s="453"/>
      <c r="AT738" s="453"/>
      <c r="AU738" s="453"/>
      <c r="AV738" s="453"/>
      <c r="AW738" s="453"/>
      <c r="AX738" s="453"/>
      <c r="AY738" s="453"/>
      <c r="AZ738" s="453"/>
      <c r="BA738" s="532"/>
      <c r="BB738" s="502"/>
      <c r="BC738" s="503"/>
      <c r="BD738" s="453"/>
      <c r="BE738" s="453"/>
      <c r="BF738" s="470"/>
      <c r="BG738" s="453"/>
      <c r="BH738" s="453"/>
      <c r="BI738" s="453"/>
      <c r="BJ738" s="453"/>
      <c r="BK738" s="453"/>
      <c r="BL738" s="453"/>
      <c r="BM738" s="502"/>
      <c r="BN738" s="503"/>
      <c r="BO738" s="470"/>
      <c r="BP738" s="574"/>
      <c r="BQ738" s="453"/>
      <c r="BR738" s="577"/>
      <c r="BS738" s="615"/>
      <c r="BT738" s="586"/>
    </row>
    <row r="739" s="435" customFormat="1" ht="22" customHeight="1" spans="1:72">
      <c r="A739" s="458" t="s">
        <v>4032</v>
      </c>
      <c r="B739" s="543">
        <v>45835</v>
      </c>
      <c r="C739" s="581">
        <v>1000029414</v>
      </c>
      <c r="D739" s="451"/>
      <c r="E739" s="457"/>
      <c r="F739" s="453"/>
      <c r="G739" s="453"/>
      <c r="H739" s="453"/>
      <c r="I739" s="453"/>
      <c r="J739" s="453"/>
      <c r="K739" s="453"/>
      <c r="L739" s="453"/>
      <c r="M739" s="453"/>
      <c r="N739" s="453"/>
      <c r="O739" s="453"/>
      <c r="P739" s="453"/>
      <c r="Q739" s="453"/>
      <c r="R739" s="550"/>
      <c r="S739" s="453"/>
      <c r="T739" s="453">
        <v>10001</v>
      </c>
      <c r="U739" s="453"/>
      <c r="V739" s="453"/>
      <c r="W739" s="453"/>
      <c r="X739" s="453"/>
      <c r="Y739" s="453"/>
      <c r="Z739" s="489"/>
      <c r="AA739" s="489"/>
      <c r="AB739" s="490"/>
      <c r="AC739" s="453"/>
      <c r="AD739" s="453"/>
      <c r="AE739" s="453"/>
      <c r="AF739" s="453"/>
      <c r="AG739" s="453"/>
      <c r="AH739" s="453"/>
      <c r="AI739" s="453"/>
      <c r="AJ739" s="453"/>
      <c r="AK739" s="453"/>
      <c r="AL739" s="453"/>
      <c r="AM739" s="453"/>
      <c r="AN739" s="453"/>
      <c r="AO739" s="453"/>
      <c r="AP739" s="453"/>
      <c r="AQ739" s="453"/>
      <c r="AR739" s="453"/>
      <c r="AS739" s="453"/>
      <c r="AT739" s="453"/>
      <c r="AU739" s="453"/>
      <c r="AV739" s="453"/>
      <c r="AW739" s="453"/>
      <c r="AX739" s="453"/>
      <c r="AY739" s="453"/>
      <c r="AZ739" s="453"/>
      <c r="BA739" s="532"/>
      <c r="BB739" s="502"/>
      <c r="BC739" s="503"/>
      <c r="BD739" s="453"/>
      <c r="BE739" s="453"/>
      <c r="BF739" s="470"/>
      <c r="BG739" s="453"/>
      <c r="BH739" s="453"/>
      <c r="BI739" s="453"/>
      <c r="BJ739" s="453"/>
      <c r="BK739" s="453"/>
      <c r="BL739" s="453"/>
      <c r="BM739" s="502"/>
      <c r="BN739" s="503"/>
      <c r="BO739" s="470"/>
      <c r="BP739" s="574"/>
      <c r="BQ739" s="453"/>
      <c r="BR739" s="577"/>
      <c r="BS739" s="615"/>
      <c r="BT739" s="586"/>
    </row>
    <row r="740" s="435" customFormat="1" ht="22" customHeight="1" spans="1:72">
      <c r="A740" s="458" t="s">
        <v>4032</v>
      </c>
      <c r="B740" s="543">
        <v>45847</v>
      </c>
      <c r="C740" s="581">
        <v>1000029898</v>
      </c>
      <c r="D740" s="451"/>
      <c r="E740" s="457"/>
      <c r="F740" s="453"/>
      <c r="G740" s="453"/>
      <c r="H740" s="453"/>
      <c r="I740" s="453"/>
      <c r="J740" s="453"/>
      <c r="K740" s="453"/>
      <c r="L740" s="453"/>
      <c r="M740" s="453"/>
      <c r="N740" s="453"/>
      <c r="O740" s="453">
        <v>10001</v>
      </c>
      <c r="P740" s="453"/>
      <c r="Q740" s="453"/>
      <c r="R740" s="550"/>
      <c r="S740" s="453"/>
      <c r="T740" s="453"/>
      <c r="U740" s="453"/>
      <c r="V740" s="453"/>
      <c r="W740" s="453"/>
      <c r="X740" s="453"/>
      <c r="Y740" s="453"/>
      <c r="Z740" s="489"/>
      <c r="AA740" s="489"/>
      <c r="AB740" s="490"/>
      <c r="AC740" s="453"/>
      <c r="AD740" s="453"/>
      <c r="AE740" s="453"/>
      <c r="AF740" s="453"/>
      <c r="AG740" s="453"/>
      <c r="AH740" s="453"/>
      <c r="AI740" s="453"/>
      <c r="AJ740" s="453"/>
      <c r="AK740" s="453"/>
      <c r="AL740" s="453"/>
      <c r="AM740" s="453"/>
      <c r="AN740" s="453"/>
      <c r="AO740" s="453"/>
      <c r="AP740" s="453"/>
      <c r="AQ740" s="453"/>
      <c r="AR740" s="453"/>
      <c r="AS740" s="453"/>
      <c r="AT740" s="453"/>
      <c r="AU740" s="453"/>
      <c r="AV740" s="453"/>
      <c r="AW740" s="453"/>
      <c r="AX740" s="453"/>
      <c r="AY740" s="453"/>
      <c r="AZ740" s="453"/>
      <c r="BA740" s="532"/>
      <c r="BB740" s="502"/>
      <c r="BC740" s="503"/>
      <c r="BD740" s="453"/>
      <c r="BE740" s="453"/>
      <c r="BF740" s="470"/>
      <c r="BG740" s="453"/>
      <c r="BH740" s="453"/>
      <c r="BI740" s="453"/>
      <c r="BJ740" s="453"/>
      <c r="BK740" s="453"/>
      <c r="BL740" s="453"/>
      <c r="BM740" s="502"/>
      <c r="BN740" s="503"/>
      <c r="BO740" s="470"/>
      <c r="BP740" s="574"/>
      <c r="BQ740" s="453"/>
      <c r="BR740" s="577"/>
      <c r="BS740" s="615"/>
      <c r="BT740" s="586"/>
    </row>
    <row r="741" s="435" customFormat="1" ht="22" customHeight="1" spans="1:72">
      <c r="A741" s="458" t="s">
        <v>4032</v>
      </c>
      <c r="B741" s="543">
        <v>45847</v>
      </c>
      <c r="C741" s="581">
        <v>1000029899</v>
      </c>
      <c r="D741" s="451"/>
      <c r="E741" s="457"/>
      <c r="F741" s="453"/>
      <c r="G741" s="453"/>
      <c r="H741" s="453"/>
      <c r="I741" s="453"/>
      <c r="J741" s="453"/>
      <c r="K741" s="453"/>
      <c r="L741" s="453"/>
      <c r="M741" s="453"/>
      <c r="N741" s="453"/>
      <c r="O741" s="453"/>
      <c r="P741" s="453"/>
      <c r="Q741" s="453"/>
      <c r="R741" s="550"/>
      <c r="S741" s="453"/>
      <c r="T741" s="453">
        <v>10001</v>
      </c>
      <c r="U741" s="453"/>
      <c r="V741" s="453"/>
      <c r="W741" s="453"/>
      <c r="X741" s="453"/>
      <c r="Y741" s="453"/>
      <c r="Z741" s="489"/>
      <c r="AA741" s="489"/>
      <c r="AB741" s="490"/>
      <c r="AC741" s="453"/>
      <c r="AD741" s="453"/>
      <c r="AE741" s="453"/>
      <c r="AF741" s="453"/>
      <c r="AG741" s="453"/>
      <c r="AH741" s="453"/>
      <c r="AI741" s="453"/>
      <c r="AJ741" s="453"/>
      <c r="AK741" s="453"/>
      <c r="AL741" s="453"/>
      <c r="AM741" s="453"/>
      <c r="AN741" s="453"/>
      <c r="AO741" s="453"/>
      <c r="AP741" s="453"/>
      <c r="AQ741" s="453"/>
      <c r="AR741" s="453"/>
      <c r="AS741" s="453"/>
      <c r="AT741" s="453"/>
      <c r="AU741" s="453"/>
      <c r="AV741" s="453"/>
      <c r="AW741" s="453"/>
      <c r="AX741" s="453"/>
      <c r="AY741" s="453"/>
      <c r="AZ741" s="453"/>
      <c r="BA741" s="532"/>
      <c r="BB741" s="502"/>
      <c r="BC741" s="503"/>
      <c r="BD741" s="453"/>
      <c r="BE741" s="453"/>
      <c r="BF741" s="470"/>
      <c r="BG741" s="453"/>
      <c r="BH741" s="453"/>
      <c r="BI741" s="453"/>
      <c r="BJ741" s="453"/>
      <c r="BK741" s="453"/>
      <c r="BL741" s="453"/>
      <c r="BM741" s="502"/>
      <c r="BN741" s="503"/>
      <c r="BO741" s="470"/>
      <c r="BP741" s="574"/>
      <c r="BQ741" s="453"/>
      <c r="BR741" s="577"/>
      <c r="BS741" s="615"/>
      <c r="BT741" s="586"/>
    </row>
    <row r="742" s="435" customFormat="1" ht="22" customHeight="1" spans="1:72">
      <c r="A742" s="458" t="s">
        <v>4032</v>
      </c>
      <c r="B742" s="543">
        <v>45847</v>
      </c>
      <c r="C742" s="581">
        <v>1000029900</v>
      </c>
      <c r="D742" s="451"/>
      <c r="E742" s="457"/>
      <c r="F742" s="453"/>
      <c r="G742" s="453"/>
      <c r="H742" s="453"/>
      <c r="I742" s="453"/>
      <c r="J742" s="453"/>
      <c r="K742" s="453"/>
      <c r="L742" s="453"/>
      <c r="M742" s="453"/>
      <c r="N742" s="453"/>
      <c r="O742" s="453"/>
      <c r="P742" s="453"/>
      <c r="Q742" s="453"/>
      <c r="R742" s="550"/>
      <c r="S742" s="453"/>
      <c r="T742" s="453"/>
      <c r="U742" s="453"/>
      <c r="V742" s="453"/>
      <c r="W742" s="453"/>
      <c r="X742" s="453"/>
      <c r="Y742" s="453"/>
      <c r="Z742" s="489"/>
      <c r="AA742" s="489"/>
      <c r="AB742" s="490"/>
      <c r="AC742" s="453"/>
      <c r="AD742" s="453"/>
      <c r="AE742" s="453"/>
      <c r="AF742" s="550">
        <v>20001</v>
      </c>
      <c r="AG742" s="453"/>
      <c r="AH742" s="453"/>
      <c r="AI742" s="453"/>
      <c r="AJ742" s="453"/>
      <c r="AK742" s="453"/>
      <c r="AL742" s="453"/>
      <c r="AM742" s="453"/>
      <c r="AN742" s="453"/>
      <c r="AO742" s="453"/>
      <c r="AP742" s="453"/>
      <c r="AQ742" s="453"/>
      <c r="AR742" s="453"/>
      <c r="AS742" s="453"/>
      <c r="AT742" s="453"/>
      <c r="AU742" s="453"/>
      <c r="AV742" s="453"/>
      <c r="AW742" s="453"/>
      <c r="AX742" s="453"/>
      <c r="AY742" s="453"/>
      <c r="AZ742" s="453"/>
      <c r="BA742" s="532"/>
      <c r="BB742" s="502"/>
      <c r="BC742" s="503"/>
      <c r="BD742" s="453"/>
      <c r="BE742" s="453"/>
      <c r="BF742" s="470"/>
      <c r="BG742" s="453"/>
      <c r="BH742" s="453"/>
      <c r="BI742" s="453"/>
      <c r="BJ742" s="453"/>
      <c r="BK742" s="453"/>
      <c r="BL742" s="453"/>
      <c r="BM742" s="502"/>
      <c r="BN742" s="503"/>
      <c r="BO742" s="470"/>
      <c r="BP742" s="574"/>
      <c r="BQ742" s="453"/>
      <c r="BR742" s="577"/>
      <c r="BS742" s="615"/>
      <c r="BT742" s="586"/>
    </row>
    <row r="743" s="435" customFormat="1" ht="22" customHeight="1" spans="1:72">
      <c r="A743" s="458" t="s">
        <v>4032</v>
      </c>
      <c r="B743" s="543">
        <v>45847</v>
      </c>
      <c r="C743" s="581">
        <v>1000029901</v>
      </c>
      <c r="D743" s="451"/>
      <c r="E743" s="457"/>
      <c r="F743" s="453"/>
      <c r="G743" s="453"/>
      <c r="H743" s="453"/>
      <c r="I743" s="453"/>
      <c r="J743" s="453"/>
      <c r="K743" s="453"/>
      <c r="L743" s="453"/>
      <c r="M743" s="453"/>
      <c r="N743" s="453"/>
      <c r="O743" s="453"/>
      <c r="P743" s="453"/>
      <c r="Q743" s="453"/>
      <c r="R743" s="550"/>
      <c r="S743" s="453"/>
      <c r="T743" s="453"/>
      <c r="U743" s="453"/>
      <c r="V743" s="453"/>
      <c r="W743" s="453"/>
      <c r="X743" s="453"/>
      <c r="Y743" s="453"/>
      <c r="Z743" s="489"/>
      <c r="AA743" s="489"/>
      <c r="AB743" s="490"/>
      <c r="AC743" s="453"/>
      <c r="AD743" s="453"/>
      <c r="AE743" s="453"/>
      <c r="AF743" s="550"/>
      <c r="AG743" s="453"/>
      <c r="AH743" s="453"/>
      <c r="AI743" s="453"/>
      <c r="AJ743" s="453"/>
      <c r="AK743" s="550">
        <v>10001</v>
      </c>
      <c r="AL743" s="453"/>
      <c r="AM743" s="453"/>
      <c r="AN743" s="453"/>
      <c r="AO743" s="453"/>
      <c r="AP743" s="453"/>
      <c r="AQ743" s="453"/>
      <c r="AR743" s="453"/>
      <c r="AS743" s="453"/>
      <c r="AT743" s="453"/>
      <c r="AU743" s="453"/>
      <c r="AV743" s="453"/>
      <c r="AW743" s="453"/>
      <c r="AX743" s="453"/>
      <c r="AY743" s="453"/>
      <c r="AZ743" s="453"/>
      <c r="BA743" s="532"/>
      <c r="BB743" s="502"/>
      <c r="BC743" s="503"/>
      <c r="BD743" s="453"/>
      <c r="BE743" s="453"/>
      <c r="BF743" s="470"/>
      <c r="BG743" s="453"/>
      <c r="BH743" s="453"/>
      <c r="BI743" s="453"/>
      <c r="BJ743" s="453"/>
      <c r="BK743" s="453"/>
      <c r="BL743" s="453"/>
      <c r="BM743" s="502"/>
      <c r="BN743" s="503"/>
      <c r="BO743" s="470"/>
      <c r="BP743" s="574"/>
      <c r="BQ743" s="453"/>
      <c r="BR743" s="577"/>
      <c r="BS743" s="615"/>
      <c r="BT743" s="586"/>
    </row>
    <row r="744" s="435" customFormat="1" ht="22" customHeight="1" spans="1:72">
      <c r="A744" s="458" t="s">
        <v>4032</v>
      </c>
      <c r="B744" s="543">
        <v>45847</v>
      </c>
      <c r="C744" s="581">
        <v>1000029902</v>
      </c>
      <c r="D744" s="451"/>
      <c r="E744" s="457"/>
      <c r="F744" s="453"/>
      <c r="G744" s="453"/>
      <c r="H744" s="453"/>
      <c r="I744" s="453"/>
      <c r="J744" s="453"/>
      <c r="K744" s="453"/>
      <c r="L744" s="453"/>
      <c r="M744" s="453"/>
      <c r="N744" s="453"/>
      <c r="O744" s="453"/>
      <c r="P744" s="453"/>
      <c r="Q744" s="453"/>
      <c r="R744" s="550"/>
      <c r="S744" s="453"/>
      <c r="T744" s="453"/>
      <c r="U744" s="453"/>
      <c r="V744" s="453"/>
      <c r="W744" s="453"/>
      <c r="X744" s="453"/>
      <c r="Y744" s="453"/>
      <c r="Z744" s="489"/>
      <c r="AA744" s="489"/>
      <c r="AB744" s="490"/>
      <c r="AC744" s="453"/>
      <c r="AD744" s="453"/>
      <c r="AE744" s="453"/>
      <c r="AF744" s="453"/>
      <c r="AG744" s="453"/>
      <c r="AH744" s="453"/>
      <c r="AI744" s="453"/>
      <c r="AJ744" s="453"/>
      <c r="AK744" s="453"/>
      <c r="AL744" s="453"/>
      <c r="AM744" s="453"/>
      <c r="AN744" s="453"/>
      <c r="AO744" s="453"/>
      <c r="AP744" s="453"/>
      <c r="AQ744" s="453"/>
      <c r="AR744" s="453"/>
      <c r="AS744" s="453"/>
      <c r="AT744" s="453"/>
      <c r="AU744" s="453">
        <v>30001</v>
      </c>
      <c r="AV744" s="453"/>
      <c r="AW744" s="453"/>
      <c r="AX744" s="453"/>
      <c r="AY744" s="453"/>
      <c r="AZ744" s="453"/>
      <c r="BA744" s="532"/>
      <c r="BB744" s="502"/>
      <c r="BC744" s="503"/>
      <c r="BD744" s="453"/>
      <c r="BE744" s="453"/>
      <c r="BF744" s="470"/>
      <c r="BG744" s="453"/>
      <c r="BH744" s="453"/>
      <c r="BI744" s="453"/>
      <c r="BJ744" s="453"/>
      <c r="BK744" s="453"/>
      <c r="BL744" s="453"/>
      <c r="BM744" s="502"/>
      <c r="BN744" s="503"/>
      <c r="BO744" s="470"/>
      <c r="BP744" s="574"/>
      <c r="BQ744" s="453"/>
      <c r="BR744" s="577"/>
      <c r="BS744" s="615"/>
      <c r="BT744" s="586"/>
    </row>
    <row r="745" s="435" customFormat="1" ht="22" customHeight="1" spans="1:72">
      <c r="A745" s="458" t="s">
        <v>4032</v>
      </c>
      <c r="B745" s="543">
        <v>45863</v>
      </c>
      <c r="C745" s="581">
        <v>1000030363</v>
      </c>
      <c r="D745" s="451"/>
      <c r="E745" s="457"/>
      <c r="F745" s="453"/>
      <c r="G745" s="453"/>
      <c r="H745" s="453"/>
      <c r="I745" s="453"/>
      <c r="J745" s="453"/>
      <c r="K745" s="453"/>
      <c r="L745" s="453"/>
      <c r="M745" s="453"/>
      <c r="N745" s="453"/>
      <c r="O745" s="453"/>
      <c r="P745" s="453"/>
      <c r="Q745" s="453"/>
      <c r="R745" s="550"/>
      <c r="S745" s="453"/>
      <c r="T745" s="453"/>
      <c r="U745" s="453"/>
      <c r="V745" s="453"/>
      <c r="W745" s="453"/>
      <c r="X745" s="453"/>
      <c r="Y745" s="453"/>
      <c r="Z745" s="489"/>
      <c r="AA745" s="489"/>
      <c r="AB745" s="490"/>
      <c r="AC745" s="453"/>
      <c r="AD745" s="453"/>
      <c r="AE745" s="453"/>
      <c r="AF745" s="532">
        <v>40000</v>
      </c>
      <c r="AG745" s="453"/>
      <c r="AH745" s="453"/>
      <c r="AI745" s="453"/>
      <c r="AJ745" s="453"/>
      <c r="AK745" s="453"/>
      <c r="AL745" s="453"/>
      <c r="AM745" s="453"/>
      <c r="AN745" s="453"/>
      <c r="AO745" s="453"/>
      <c r="AP745" s="453"/>
      <c r="AQ745" s="453"/>
      <c r="AR745" s="453"/>
      <c r="AS745" s="453"/>
      <c r="AT745" s="453"/>
      <c r="AU745" s="453"/>
      <c r="AV745" s="453"/>
      <c r="AW745" s="453"/>
      <c r="AX745" s="453"/>
      <c r="AY745" s="453"/>
      <c r="AZ745" s="453"/>
      <c r="BA745" s="532"/>
      <c r="BB745" s="502"/>
      <c r="BC745" s="503"/>
      <c r="BD745" s="453"/>
      <c r="BE745" s="453"/>
      <c r="BF745" s="470"/>
      <c r="BG745" s="453"/>
      <c r="BH745" s="453"/>
      <c r="BI745" s="453"/>
      <c r="BJ745" s="453"/>
      <c r="BK745" s="453"/>
      <c r="BL745" s="453"/>
      <c r="BM745" s="502"/>
      <c r="BN745" s="503"/>
      <c r="BO745" s="470"/>
      <c r="BP745" s="574"/>
      <c r="BQ745" s="453"/>
      <c r="BR745" s="577"/>
      <c r="BS745" s="615"/>
      <c r="BT745" s="586"/>
    </row>
    <row r="746" s="435" customFormat="1" ht="22" customHeight="1" spans="1:72">
      <c r="A746" s="458" t="s">
        <v>4032</v>
      </c>
      <c r="B746" s="543">
        <v>45863</v>
      </c>
      <c r="C746" s="581">
        <v>1000030364</v>
      </c>
      <c r="D746" s="451"/>
      <c r="E746" s="457"/>
      <c r="F746" s="453"/>
      <c r="G746" s="453"/>
      <c r="H746" s="453"/>
      <c r="I746" s="453"/>
      <c r="J746" s="453"/>
      <c r="K746" s="453"/>
      <c r="L746" s="453"/>
      <c r="M746" s="453"/>
      <c r="N746" s="453"/>
      <c r="O746" s="453"/>
      <c r="P746" s="453"/>
      <c r="Q746" s="453"/>
      <c r="R746" s="550"/>
      <c r="S746" s="453"/>
      <c r="T746" s="453"/>
      <c r="U746" s="453"/>
      <c r="V746" s="453"/>
      <c r="W746" s="453"/>
      <c r="X746" s="453"/>
      <c r="Y746" s="453"/>
      <c r="Z746" s="489"/>
      <c r="AA746" s="489"/>
      <c r="AB746" s="490"/>
      <c r="AC746" s="453"/>
      <c r="AD746" s="453"/>
      <c r="AE746" s="453"/>
      <c r="AF746" s="453"/>
      <c r="AG746" s="453"/>
      <c r="AH746" s="453"/>
      <c r="AI746" s="453"/>
      <c r="AJ746" s="453"/>
      <c r="AK746" s="453"/>
      <c r="AL746" s="453"/>
      <c r="AM746" s="453"/>
      <c r="AN746" s="453"/>
      <c r="AO746" s="453"/>
      <c r="AP746" s="453"/>
      <c r="AQ746" s="453"/>
      <c r="AR746" s="453"/>
      <c r="AS746" s="453"/>
      <c r="AT746" s="453"/>
      <c r="AU746" s="532">
        <v>50000</v>
      </c>
      <c r="AV746" s="453"/>
      <c r="AW746" s="453"/>
      <c r="AX746" s="453"/>
      <c r="AY746" s="453"/>
      <c r="AZ746" s="453"/>
      <c r="BA746" s="532"/>
      <c r="BB746" s="502"/>
      <c r="BC746" s="503"/>
      <c r="BD746" s="453"/>
      <c r="BE746" s="453"/>
      <c r="BF746" s="470"/>
      <c r="BG746" s="453"/>
      <c r="BH746" s="453"/>
      <c r="BI746" s="453"/>
      <c r="BJ746" s="453"/>
      <c r="BK746" s="453"/>
      <c r="BL746" s="453"/>
      <c r="BM746" s="502"/>
      <c r="BN746" s="503"/>
      <c r="BO746" s="470"/>
      <c r="BP746" s="574"/>
      <c r="BQ746" s="453"/>
      <c r="BR746" s="577"/>
      <c r="BS746" s="615"/>
      <c r="BT746" s="586"/>
    </row>
    <row r="747" s="435" customFormat="1" ht="22" customHeight="1" spans="1:72">
      <c r="A747" s="458" t="s">
        <v>4032</v>
      </c>
      <c r="B747" s="543">
        <v>45863</v>
      </c>
      <c r="C747" s="581">
        <v>1000030365</v>
      </c>
      <c r="D747" s="451"/>
      <c r="E747" s="457"/>
      <c r="F747" s="453"/>
      <c r="G747" s="453"/>
      <c r="H747" s="453"/>
      <c r="I747" s="453"/>
      <c r="J747" s="453"/>
      <c r="K747" s="453"/>
      <c r="L747" s="453"/>
      <c r="M747" s="453"/>
      <c r="N747" s="453"/>
      <c r="O747" s="453"/>
      <c r="P747" s="453"/>
      <c r="Q747" s="453"/>
      <c r="R747" s="550"/>
      <c r="S747" s="453"/>
      <c r="T747" s="453"/>
      <c r="U747" s="453"/>
      <c r="V747" s="453"/>
      <c r="W747" s="453"/>
      <c r="X747" s="453"/>
      <c r="Y747" s="453"/>
      <c r="Z747" s="489"/>
      <c r="AA747" s="489"/>
      <c r="AB747" s="490"/>
      <c r="AC747" s="453"/>
      <c r="AD747" s="453"/>
      <c r="AE747" s="453"/>
      <c r="AF747" s="453"/>
      <c r="AG747" s="453"/>
      <c r="AH747" s="453"/>
      <c r="AI747" s="453"/>
      <c r="AJ747" s="453"/>
      <c r="AK747" s="453"/>
      <c r="AL747" s="453"/>
      <c r="AM747" s="453"/>
      <c r="AN747" s="453"/>
      <c r="AO747" s="453"/>
      <c r="AP747" s="453"/>
      <c r="AQ747" s="453"/>
      <c r="AR747" s="453"/>
      <c r="AS747" s="453"/>
      <c r="AT747" s="453"/>
      <c r="AU747" s="453"/>
      <c r="AV747" s="453"/>
      <c r="AW747" s="453"/>
      <c r="AX747" s="453"/>
      <c r="AY747" s="453"/>
      <c r="AZ747" s="453"/>
      <c r="BA747" s="532"/>
      <c r="BB747" s="502"/>
      <c r="BC747" s="503"/>
      <c r="BD747" s="453"/>
      <c r="BE747" s="453"/>
      <c r="BF747" s="470"/>
      <c r="BG747" s="453">
        <v>5001</v>
      </c>
      <c r="BH747" s="453"/>
      <c r="BI747" s="453"/>
      <c r="BJ747" s="453"/>
      <c r="BK747" s="453"/>
      <c r="BL747" s="453"/>
      <c r="BM747" s="502"/>
      <c r="BN747" s="503"/>
      <c r="BO747" s="470"/>
      <c r="BP747" s="574"/>
      <c r="BQ747" s="453"/>
      <c r="BR747" s="577"/>
      <c r="BS747" s="615"/>
      <c r="BT747" s="586"/>
    </row>
    <row r="748" s="435" customFormat="1" ht="22" customHeight="1" spans="1:72">
      <c r="A748" s="458" t="s">
        <v>4032</v>
      </c>
      <c r="B748" s="543">
        <v>45863</v>
      </c>
      <c r="C748" s="595">
        <v>1000030369</v>
      </c>
      <c r="D748" s="451"/>
      <c r="E748" s="457"/>
      <c r="F748" s="453"/>
      <c r="G748" s="453"/>
      <c r="H748" s="453"/>
      <c r="I748" s="453"/>
      <c r="J748" s="453"/>
      <c r="K748" s="453"/>
      <c r="L748" s="453"/>
      <c r="M748" s="453"/>
      <c r="N748" s="453"/>
      <c r="O748" s="453"/>
      <c r="P748" s="453"/>
      <c r="Q748" s="453"/>
      <c r="R748" s="550"/>
      <c r="S748" s="453"/>
      <c r="T748" s="453"/>
      <c r="U748" s="453"/>
      <c r="V748" s="453"/>
      <c r="W748" s="453"/>
      <c r="X748" s="453"/>
      <c r="Y748" s="453"/>
      <c r="Z748" s="489"/>
      <c r="AA748" s="489"/>
      <c r="AB748" s="490"/>
      <c r="AC748" s="453"/>
      <c r="AD748" s="453"/>
      <c r="AE748" s="453"/>
      <c r="AF748" s="453"/>
      <c r="AG748" s="453"/>
      <c r="AH748" s="453"/>
      <c r="AI748" s="453"/>
      <c r="AJ748" s="453"/>
      <c r="AK748" s="453"/>
      <c r="AL748" s="453"/>
      <c r="AM748" s="453"/>
      <c r="AN748" s="453"/>
      <c r="AO748" s="453"/>
      <c r="AP748" s="453"/>
      <c r="AQ748" s="453"/>
      <c r="AR748" s="453"/>
      <c r="AS748" s="453"/>
      <c r="AT748" s="453"/>
      <c r="AU748" s="453"/>
      <c r="AV748" s="453"/>
      <c r="AW748" s="453"/>
      <c r="AX748" s="453"/>
      <c r="AY748" s="453"/>
      <c r="AZ748" s="453"/>
      <c r="BA748" s="532"/>
      <c r="BB748" s="502"/>
      <c r="BC748" s="503"/>
      <c r="BD748" s="453"/>
      <c r="BE748" s="453"/>
      <c r="BF748" s="470"/>
      <c r="BG748" s="453"/>
      <c r="BH748" s="453"/>
      <c r="BI748" s="453">
        <v>10001</v>
      </c>
      <c r="BJ748" s="453"/>
      <c r="BK748" s="453"/>
      <c r="BL748" s="453"/>
      <c r="BM748" s="502"/>
      <c r="BN748" s="503"/>
      <c r="BO748" s="470"/>
      <c r="BP748" s="574"/>
      <c r="BQ748" s="458"/>
      <c r="BR748" s="577"/>
      <c r="BS748" s="615"/>
      <c r="BT748" s="586"/>
    </row>
    <row r="749" s="435" customFormat="1" ht="22" customHeight="1" spans="1:72">
      <c r="A749" s="458" t="s">
        <v>4032</v>
      </c>
      <c r="B749" s="543">
        <v>45870</v>
      </c>
      <c r="C749" s="595">
        <v>1000030426</v>
      </c>
      <c r="D749" s="451"/>
      <c r="E749" s="457"/>
      <c r="F749" s="453"/>
      <c r="G749" s="453"/>
      <c r="H749" s="453"/>
      <c r="I749" s="453"/>
      <c r="J749" s="453"/>
      <c r="K749" s="453"/>
      <c r="L749" s="453"/>
      <c r="M749" s="453"/>
      <c r="N749" s="453"/>
      <c r="O749" s="453"/>
      <c r="P749" s="453"/>
      <c r="Q749" s="453"/>
      <c r="R749" s="550"/>
      <c r="S749" s="453"/>
      <c r="T749" s="453"/>
      <c r="U749" s="453"/>
      <c r="V749" s="453">
        <v>3000</v>
      </c>
      <c r="W749" s="453"/>
      <c r="X749" s="453"/>
      <c r="Y749" s="453"/>
      <c r="Z749" s="590" t="s">
        <v>4117</v>
      </c>
      <c r="AA749" s="489"/>
      <c r="AB749" s="490"/>
      <c r="AC749" s="453"/>
      <c r="AD749" s="453"/>
      <c r="AE749" s="453"/>
      <c r="AF749" s="453"/>
      <c r="AG749" s="453"/>
      <c r="AH749" s="453"/>
      <c r="AI749" s="453"/>
      <c r="AJ749" s="453"/>
      <c r="AK749" s="453"/>
      <c r="AL749" s="453"/>
      <c r="AM749" s="453"/>
      <c r="AN749" s="453"/>
      <c r="AO749" s="453"/>
      <c r="AP749" s="453"/>
      <c r="AQ749" s="453"/>
      <c r="AR749" s="453"/>
      <c r="AS749" s="453"/>
      <c r="AT749" s="453"/>
      <c r="AU749" s="453"/>
      <c r="AV749" s="453"/>
      <c r="AW749" s="453"/>
      <c r="AX749" s="453"/>
      <c r="AY749" s="453"/>
      <c r="AZ749" s="453"/>
      <c r="BA749" s="532"/>
      <c r="BB749" s="502"/>
      <c r="BC749" s="503"/>
      <c r="BD749" s="453"/>
      <c r="BE749" s="453"/>
      <c r="BF749" s="470"/>
      <c r="BG749" s="453"/>
      <c r="BH749" s="453"/>
      <c r="BI749" s="453"/>
      <c r="BJ749" s="453"/>
      <c r="BK749" s="453"/>
      <c r="BL749" s="453"/>
      <c r="BM749" s="502"/>
      <c r="BN749" s="503"/>
      <c r="BO749" s="470"/>
      <c r="BP749" s="574"/>
      <c r="BQ749" s="458"/>
      <c r="BR749" s="577"/>
      <c r="BS749" s="615"/>
      <c r="BT749" s="586"/>
    </row>
    <row r="750" s="435" customFormat="1" ht="22" customHeight="1" spans="1:72">
      <c r="A750" s="458" t="s">
        <v>4032</v>
      </c>
      <c r="B750" s="543">
        <v>45870</v>
      </c>
      <c r="C750" s="595">
        <v>1000030636</v>
      </c>
      <c r="D750" s="451"/>
      <c r="E750" s="457"/>
      <c r="F750" s="453"/>
      <c r="G750" s="453"/>
      <c r="H750" s="453"/>
      <c r="I750" s="453"/>
      <c r="J750" s="453"/>
      <c r="K750" s="453"/>
      <c r="L750" s="453"/>
      <c r="M750" s="453"/>
      <c r="N750" s="453"/>
      <c r="O750" s="453">
        <v>10001</v>
      </c>
      <c r="P750" s="453"/>
      <c r="Q750" s="453"/>
      <c r="R750" s="550"/>
      <c r="S750" s="453"/>
      <c r="T750" s="453"/>
      <c r="U750" s="453"/>
      <c r="V750" s="453"/>
      <c r="W750" s="453"/>
      <c r="X750" s="453"/>
      <c r="Y750" s="453"/>
      <c r="Z750" s="597"/>
      <c r="AA750" s="489"/>
      <c r="AB750" s="490"/>
      <c r="AC750" s="453"/>
      <c r="AD750" s="453"/>
      <c r="AE750" s="453"/>
      <c r="AF750" s="453"/>
      <c r="AG750" s="453"/>
      <c r="AH750" s="453"/>
      <c r="AI750" s="453"/>
      <c r="AJ750" s="453"/>
      <c r="AK750" s="453"/>
      <c r="AL750" s="453"/>
      <c r="AM750" s="453"/>
      <c r="AN750" s="453"/>
      <c r="AO750" s="453"/>
      <c r="AP750" s="453"/>
      <c r="AQ750" s="453"/>
      <c r="AR750" s="453"/>
      <c r="AS750" s="453"/>
      <c r="AT750" s="453"/>
      <c r="AU750" s="453"/>
      <c r="AV750" s="453"/>
      <c r="AW750" s="453"/>
      <c r="AX750" s="453"/>
      <c r="AY750" s="453"/>
      <c r="AZ750" s="453"/>
      <c r="BA750" s="532"/>
      <c r="BB750" s="502"/>
      <c r="BC750" s="503"/>
      <c r="BD750" s="453"/>
      <c r="BE750" s="453"/>
      <c r="BF750" s="470"/>
      <c r="BG750" s="453"/>
      <c r="BH750" s="453"/>
      <c r="BI750" s="453"/>
      <c r="BJ750" s="453"/>
      <c r="BK750" s="453"/>
      <c r="BL750" s="453"/>
      <c r="BM750" s="502"/>
      <c r="BN750" s="503"/>
      <c r="BO750" s="470"/>
      <c r="BP750" s="574"/>
      <c r="BQ750" s="458"/>
      <c r="BR750" s="577"/>
      <c r="BS750" s="615"/>
      <c r="BT750" s="586"/>
    </row>
    <row r="751" s="435" customFormat="1" ht="22" customHeight="1" spans="1:72">
      <c r="A751" s="458" t="s">
        <v>4032</v>
      </c>
      <c r="B751" s="543">
        <v>45870</v>
      </c>
      <c r="C751" s="595">
        <v>1000030637</v>
      </c>
      <c r="D751" s="451"/>
      <c r="E751" s="457"/>
      <c r="F751" s="453"/>
      <c r="G751" s="453"/>
      <c r="H751" s="453"/>
      <c r="I751" s="453"/>
      <c r="J751" s="453"/>
      <c r="K751" s="453"/>
      <c r="L751" s="453"/>
      <c r="M751" s="453"/>
      <c r="N751" s="453"/>
      <c r="O751" s="453"/>
      <c r="P751" s="453"/>
      <c r="Q751" s="453"/>
      <c r="R751" s="550"/>
      <c r="S751" s="453"/>
      <c r="T751" s="453">
        <v>10001</v>
      </c>
      <c r="U751" s="453"/>
      <c r="V751" s="453"/>
      <c r="W751" s="453"/>
      <c r="X751" s="453"/>
      <c r="Y751" s="453"/>
      <c r="Z751" s="597"/>
      <c r="AA751" s="489"/>
      <c r="AB751" s="490"/>
      <c r="AC751" s="453"/>
      <c r="AD751" s="453"/>
      <c r="AE751" s="453"/>
      <c r="AF751" s="453"/>
      <c r="AG751" s="453"/>
      <c r="AH751" s="453"/>
      <c r="AI751" s="453"/>
      <c r="AJ751" s="453"/>
      <c r="AK751" s="453"/>
      <c r="AL751" s="453"/>
      <c r="AM751" s="453"/>
      <c r="AN751" s="453"/>
      <c r="AO751" s="453"/>
      <c r="AP751" s="453"/>
      <c r="AQ751" s="453"/>
      <c r="AR751" s="453"/>
      <c r="AS751" s="453"/>
      <c r="AT751" s="453"/>
      <c r="AU751" s="453"/>
      <c r="AV751" s="453"/>
      <c r="AW751" s="453"/>
      <c r="AX751" s="453"/>
      <c r="AY751" s="453"/>
      <c r="AZ751" s="453"/>
      <c r="BA751" s="532"/>
      <c r="BB751" s="502"/>
      <c r="BC751" s="503"/>
      <c r="BD751" s="453"/>
      <c r="BE751" s="453"/>
      <c r="BF751" s="470"/>
      <c r="BG751" s="453"/>
      <c r="BH751" s="453"/>
      <c r="BI751" s="453"/>
      <c r="BJ751" s="453"/>
      <c r="BK751" s="453"/>
      <c r="BL751" s="453"/>
      <c r="BM751" s="502"/>
      <c r="BN751" s="503"/>
      <c r="BO751" s="470"/>
      <c r="BP751" s="574"/>
      <c r="BQ751" s="458"/>
      <c r="BR751" s="577"/>
      <c r="BS751" s="615"/>
      <c r="BT751" s="586"/>
    </row>
    <row r="752" s="435" customFormat="1" ht="22" customHeight="1" spans="1:72">
      <c r="A752" s="458" t="s">
        <v>4032</v>
      </c>
      <c r="B752" s="543">
        <v>45870</v>
      </c>
      <c r="C752" s="595">
        <v>1000030638</v>
      </c>
      <c r="D752" s="451"/>
      <c r="E752" s="457"/>
      <c r="F752" s="453"/>
      <c r="G752" s="453"/>
      <c r="H752" s="453"/>
      <c r="I752" s="453"/>
      <c r="J752" s="453"/>
      <c r="K752" s="453"/>
      <c r="L752" s="453"/>
      <c r="M752" s="453"/>
      <c r="N752" s="453"/>
      <c r="O752" s="453"/>
      <c r="P752" s="453"/>
      <c r="Q752" s="453"/>
      <c r="R752" s="550"/>
      <c r="S752" s="453"/>
      <c r="T752" s="453"/>
      <c r="U752" s="453"/>
      <c r="V752" s="453"/>
      <c r="W752" s="453"/>
      <c r="X752" s="453"/>
      <c r="Y752" s="453"/>
      <c r="Z752" s="597"/>
      <c r="AA752" s="489"/>
      <c r="AB752" s="490"/>
      <c r="AC752" s="453"/>
      <c r="AD752" s="453"/>
      <c r="AE752" s="453"/>
      <c r="AF752" s="453"/>
      <c r="AG752" s="453"/>
      <c r="AH752" s="453"/>
      <c r="AI752" s="453"/>
      <c r="AJ752" s="453"/>
      <c r="AK752" s="453"/>
      <c r="AL752" s="453"/>
      <c r="AM752" s="453"/>
      <c r="AN752" s="453"/>
      <c r="AO752" s="453"/>
      <c r="AP752" s="453"/>
      <c r="AQ752" s="453"/>
      <c r="AR752" s="453"/>
      <c r="AS752" s="453"/>
      <c r="AT752" s="453"/>
      <c r="AU752" s="453"/>
      <c r="AV752" s="453"/>
      <c r="AW752" s="453"/>
      <c r="AX752" s="453"/>
      <c r="AY752" s="453"/>
      <c r="AZ752" s="453"/>
      <c r="BA752" s="532"/>
      <c r="BB752" s="502"/>
      <c r="BC752" s="503"/>
      <c r="BD752" s="453"/>
      <c r="BE752" s="453"/>
      <c r="BF752" s="470"/>
      <c r="BG752" s="453"/>
      <c r="BH752" s="453"/>
      <c r="BI752" s="453"/>
      <c r="BJ752" s="453"/>
      <c r="BK752" s="453"/>
      <c r="BL752" s="453"/>
      <c r="BM752" s="502"/>
      <c r="BN752" s="503"/>
      <c r="BO752" s="470"/>
      <c r="BP752" s="574"/>
      <c r="BQ752" s="458">
        <v>5001</v>
      </c>
      <c r="BR752" s="577"/>
      <c r="BS752" s="615"/>
      <c r="BT752" s="586"/>
    </row>
    <row r="753" s="435" customFormat="1" ht="22" customHeight="1" spans="1:72">
      <c r="A753" s="458" t="s">
        <v>4032</v>
      </c>
      <c r="B753" s="543">
        <v>45881</v>
      </c>
      <c r="C753" s="581">
        <v>1000030916</v>
      </c>
      <c r="D753" s="451"/>
      <c r="E753" s="457"/>
      <c r="F753" s="453"/>
      <c r="G753" s="453"/>
      <c r="H753" s="453"/>
      <c r="I753" s="453"/>
      <c r="J753" s="453"/>
      <c r="K753" s="453"/>
      <c r="L753" s="453"/>
      <c r="M753" s="453"/>
      <c r="N753" s="453"/>
      <c r="O753" s="453"/>
      <c r="P753" s="453"/>
      <c r="Q753" s="453"/>
      <c r="R753" s="550"/>
      <c r="S753" s="453"/>
      <c r="T753" s="453"/>
      <c r="U753" s="453"/>
      <c r="V753" s="453"/>
      <c r="W753" s="453"/>
      <c r="X753" s="453"/>
      <c r="Y753" s="453"/>
      <c r="Z753" s="597"/>
      <c r="AA753" s="489"/>
      <c r="AB753" s="490"/>
      <c r="AC753" s="453"/>
      <c r="AD753" s="453"/>
      <c r="AE753" s="453"/>
      <c r="AF753" s="453">
        <v>20001</v>
      </c>
      <c r="AG753" s="453"/>
      <c r="AH753" s="453"/>
      <c r="AI753" s="453"/>
      <c r="AJ753" s="453"/>
      <c r="AK753" s="453"/>
      <c r="AL753" s="453"/>
      <c r="AM753" s="453"/>
      <c r="AN753" s="453"/>
      <c r="AO753" s="453"/>
      <c r="AP753" s="453"/>
      <c r="AQ753" s="453"/>
      <c r="AR753" s="453"/>
      <c r="AS753" s="453"/>
      <c r="AT753" s="453"/>
      <c r="AU753" s="453"/>
      <c r="AV753" s="453"/>
      <c r="AW753" s="453"/>
      <c r="AX753" s="453"/>
      <c r="AY753" s="453"/>
      <c r="AZ753" s="453"/>
      <c r="BA753" s="532"/>
      <c r="BB753" s="502"/>
      <c r="BC753" s="503"/>
      <c r="BD753" s="453"/>
      <c r="BE753" s="453"/>
      <c r="BF753" s="470"/>
      <c r="BG753" s="453"/>
      <c r="BH753" s="453"/>
      <c r="BI753" s="453"/>
      <c r="BJ753" s="453"/>
      <c r="BK753" s="453"/>
      <c r="BL753" s="453"/>
      <c r="BM753" s="502"/>
      <c r="BN753" s="503"/>
      <c r="BO753" s="470"/>
      <c r="BP753" s="574">
        <f>1750+684</f>
        <v>2434</v>
      </c>
      <c r="BQ753" s="458"/>
      <c r="BR753" s="577"/>
      <c r="BS753" s="615"/>
      <c r="BT753" s="586"/>
    </row>
    <row r="754" s="435" customFormat="1" ht="22" customHeight="1" spans="1:72">
      <c r="A754" s="458" t="s">
        <v>4032</v>
      </c>
      <c r="B754" s="543">
        <v>45881</v>
      </c>
      <c r="C754" s="581">
        <v>1000030917</v>
      </c>
      <c r="D754" s="451"/>
      <c r="E754" s="457"/>
      <c r="F754" s="453"/>
      <c r="G754" s="453"/>
      <c r="H754" s="453"/>
      <c r="I754" s="453"/>
      <c r="J754" s="453"/>
      <c r="K754" s="453"/>
      <c r="L754" s="453"/>
      <c r="M754" s="453"/>
      <c r="N754" s="453"/>
      <c r="O754" s="453"/>
      <c r="P754" s="453"/>
      <c r="Q754" s="453"/>
      <c r="R754" s="550"/>
      <c r="S754" s="453"/>
      <c r="T754" s="453"/>
      <c r="U754" s="453"/>
      <c r="V754" s="453"/>
      <c r="W754" s="453"/>
      <c r="X754" s="453"/>
      <c r="Y754" s="453"/>
      <c r="Z754" s="597"/>
      <c r="AA754" s="489"/>
      <c r="AB754" s="490"/>
      <c r="AC754" s="453"/>
      <c r="AD754" s="453"/>
      <c r="AE754" s="453"/>
      <c r="AF754" s="453"/>
      <c r="AG754" s="453"/>
      <c r="AH754" s="453"/>
      <c r="AI754" s="453"/>
      <c r="AJ754" s="453"/>
      <c r="AK754" s="453">
        <v>10001</v>
      </c>
      <c r="AL754" s="453"/>
      <c r="AM754" s="453"/>
      <c r="AN754" s="453"/>
      <c r="AO754" s="453"/>
      <c r="AP754" s="453"/>
      <c r="AQ754" s="453"/>
      <c r="AR754" s="453"/>
      <c r="AS754" s="453"/>
      <c r="AT754" s="453"/>
      <c r="AU754" s="453"/>
      <c r="AV754" s="453"/>
      <c r="AW754" s="453"/>
      <c r="AX754" s="453"/>
      <c r="AY754" s="453"/>
      <c r="AZ754" s="453"/>
      <c r="BA754" s="532"/>
      <c r="BB754" s="502"/>
      <c r="BC754" s="503"/>
      <c r="BD754" s="453"/>
      <c r="BE754" s="453"/>
      <c r="BF754" s="470"/>
      <c r="BG754" s="453"/>
      <c r="BH754" s="453"/>
      <c r="BI754" s="453"/>
      <c r="BJ754" s="453"/>
      <c r="BK754" s="453"/>
      <c r="BL754" s="453"/>
      <c r="BM754" s="502"/>
      <c r="BN754" s="503"/>
      <c r="BO754" s="470"/>
      <c r="BP754" s="574"/>
      <c r="BQ754" s="458"/>
      <c r="BR754" s="577"/>
      <c r="BS754" s="615"/>
      <c r="BT754" s="586"/>
    </row>
    <row r="755" s="435" customFormat="1" ht="22" customHeight="1" spans="1:72">
      <c r="A755" s="458" t="s">
        <v>4032</v>
      </c>
      <c r="B755" s="543">
        <v>45881</v>
      </c>
      <c r="C755" s="581">
        <v>1000030918</v>
      </c>
      <c r="D755" s="451"/>
      <c r="E755" s="457"/>
      <c r="F755" s="453"/>
      <c r="G755" s="453"/>
      <c r="H755" s="453"/>
      <c r="I755" s="453"/>
      <c r="J755" s="453"/>
      <c r="K755" s="453"/>
      <c r="L755" s="453"/>
      <c r="M755" s="453"/>
      <c r="N755" s="453"/>
      <c r="O755" s="453"/>
      <c r="P755" s="453"/>
      <c r="Q755" s="453"/>
      <c r="R755" s="550"/>
      <c r="S755" s="453"/>
      <c r="T755" s="453"/>
      <c r="U755" s="453"/>
      <c r="V755" s="453"/>
      <c r="W755" s="453"/>
      <c r="X755" s="453"/>
      <c r="Y755" s="453"/>
      <c r="Z755" s="597"/>
      <c r="AA755" s="489"/>
      <c r="AB755" s="490"/>
      <c r="AC755" s="453"/>
      <c r="AD755" s="453"/>
      <c r="AE755" s="453"/>
      <c r="AF755" s="453"/>
      <c r="AG755" s="453"/>
      <c r="AH755" s="453"/>
      <c r="AI755" s="453"/>
      <c r="AJ755" s="453"/>
      <c r="AK755" s="453"/>
      <c r="AL755" s="453"/>
      <c r="AM755" s="453"/>
      <c r="AN755" s="453"/>
      <c r="AO755" s="453"/>
      <c r="AP755" s="453"/>
      <c r="AQ755" s="453"/>
      <c r="AR755" s="453"/>
      <c r="AS755" s="453"/>
      <c r="AT755" s="453"/>
      <c r="AU755" s="453">
        <v>30001</v>
      </c>
      <c r="AV755" s="453"/>
      <c r="AW755" s="453"/>
      <c r="AX755" s="453"/>
      <c r="AY755" s="453"/>
      <c r="AZ755" s="453"/>
      <c r="BA755" s="532"/>
      <c r="BB755" s="502"/>
      <c r="BC755" s="503"/>
      <c r="BD755" s="453"/>
      <c r="BE755" s="453"/>
      <c r="BF755" s="470"/>
      <c r="BG755" s="453"/>
      <c r="BH755" s="453"/>
      <c r="BI755" s="453"/>
      <c r="BJ755" s="453"/>
      <c r="BK755" s="453"/>
      <c r="BL755" s="453"/>
      <c r="BM755" s="502"/>
      <c r="BN755" s="503"/>
      <c r="BO755" s="470"/>
      <c r="BP755" s="574"/>
      <c r="BQ755" s="458"/>
      <c r="BR755" s="577"/>
      <c r="BS755" s="615"/>
      <c r="BT755" s="586"/>
    </row>
    <row r="756" s="435" customFormat="1" ht="22" customHeight="1" spans="1:72">
      <c r="A756" s="458" t="s">
        <v>4032</v>
      </c>
      <c r="B756" s="543">
        <v>45881</v>
      </c>
      <c r="C756" s="581">
        <v>1000030929</v>
      </c>
      <c r="D756" s="451"/>
      <c r="E756" s="457"/>
      <c r="F756" s="453"/>
      <c r="G756" s="453"/>
      <c r="H756" s="453"/>
      <c r="I756" s="453"/>
      <c r="J756" s="453"/>
      <c r="K756" s="453"/>
      <c r="L756" s="453"/>
      <c r="M756" s="453"/>
      <c r="N756" s="453"/>
      <c r="O756" s="453"/>
      <c r="P756" s="453"/>
      <c r="Q756" s="453">
        <v>3001</v>
      </c>
      <c r="R756" s="550"/>
      <c r="S756" s="453"/>
      <c r="T756" s="453"/>
      <c r="U756" s="453"/>
      <c r="V756" s="453"/>
      <c r="W756" s="453"/>
      <c r="X756" s="453"/>
      <c r="Y756" s="453"/>
      <c r="Z756" s="597"/>
      <c r="AA756" s="489"/>
      <c r="AB756" s="490"/>
      <c r="AC756" s="453"/>
      <c r="AD756" s="453"/>
      <c r="AE756" s="453"/>
      <c r="AF756" s="453"/>
      <c r="AG756" s="453"/>
      <c r="AH756" s="453"/>
      <c r="AI756" s="453"/>
      <c r="AJ756" s="453"/>
      <c r="AK756" s="453"/>
      <c r="AL756" s="453"/>
      <c r="AM756" s="453"/>
      <c r="AN756" s="453"/>
      <c r="AO756" s="453"/>
      <c r="AP756" s="453"/>
      <c r="AQ756" s="453"/>
      <c r="AR756" s="453"/>
      <c r="AS756" s="453"/>
      <c r="AT756" s="453"/>
      <c r="AU756" s="453"/>
      <c r="AV756" s="453"/>
      <c r="AW756" s="453"/>
      <c r="AX756" s="453"/>
      <c r="AY756" s="453"/>
      <c r="AZ756" s="453"/>
      <c r="BA756" s="532"/>
      <c r="BB756" s="502"/>
      <c r="BC756" s="503"/>
      <c r="BD756" s="453"/>
      <c r="BE756" s="453"/>
      <c r="BF756" s="470"/>
      <c r="BG756" s="453"/>
      <c r="BH756" s="453"/>
      <c r="BI756" s="453"/>
      <c r="BJ756" s="453"/>
      <c r="BK756" s="453"/>
      <c r="BL756" s="453"/>
      <c r="BM756" s="502"/>
      <c r="BN756" s="503"/>
      <c r="BO756" s="470"/>
      <c r="BP756" s="574"/>
      <c r="BQ756" s="458"/>
      <c r="BR756" s="577"/>
      <c r="BS756" s="615"/>
      <c r="BT756" s="586"/>
    </row>
    <row r="757" s="435" customFormat="1" ht="22" customHeight="1" spans="1:72">
      <c r="A757" s="458" t="s">
        <v>4032</v>
      </c>
      <c r="B757" s="543">
        <v>45888</v>
      </c>
      <c r="C757" s="595">
        <v>1000031129</v>
      </c>
      <c r="D757" s="451"/>
      <c r="E757" s="457"/>
      <c r="F757" s="453"/>
      <c r="G757" s="453"/>
      <c r="H757" s="453"/>
      <c r="I757" s="453"/>
      <c r="J757" s="453"/>
      <c r="K757" s="453"/>
      <c r="L757" s="453"/>
      <c r="M757" s="453"/>
      <c r="N757" s="453"/>
      <c r="O757" s="453"/>
      <c r="P757" s="453"/>
      <c r="Q757" s="453"/>
      <c r="R757" s="550"/>
      <c r="S757" s="453"/>
      <c r="T757" s="453"/>
      <c r="U757" s="453"/>
      <c r="V757" s="453"/>
      <c r="W757" s="453"/>
      <c r="X757" s="453"/>
      <c r="Y757" s="453"/>
      <c r="Z757" s="597"/>
      <c r="AA757" s="489"/>
      <c r="AB757" s="490"/>
      <c r="AC757" s="453"/>
      <c r="AD757" s="453"/>
      <c r="AE757" s="453"/>
      <c r="AF757" s="453"/>
      <c r="AG757" s="453"/>
      <c r="AH757" s="453"/>
      <c r="AI757" s="453"/>
      <c r="AJ757" s="453"/>
      <c r="AK757" s="453"/>
      <c r="AL757" s="453"/>
      <c r="AM757" s="453"/>
      <c r="AN757" s="453"/>
      <c r="AO757" s="453"/>
      <c r="AP757" s="453"/>
      <c r="AQ757" s="453"/>
      <c r="AR757" s="453"/>
      <c r="AS757" s="453"/>
      <c r="AT757" s="453"/>
      <c r="AU757" s="453"/>
      <c r="AV757" s="453"/>
      <c r="AW757" s="453"/>
      <c r="AX757" s="453"/>
      <c r="AY757" s="453"/>
      <c r="AZ757" s="453"/>
      <c r="BA757" s="532"/>
      <c r="BB757" s="502"/>
      <c r="BC757" s="503"/>
      <c r="BD757" s="453"/>
      <c r="BE757" s="453"/>
      <c r="BF757" s="470"/>
      <c r="BG757" s="453"/>
      <c r="BH757" s="453">
        <v>20001</v>
      </c>
      <c r="BI757" s="453"/>
      <c r="BJ757" s="453"/>
      <c r="BK757" s="453"/>
      <c r="BL757" s="453"/>
      <c r="BM757" s="502"/>
      <c r="BN757" s="503"/>
      <c r="BO757" s="470"/>
      <c r="BP757" s="574"/>
      <c r="BQ757" s="458"/>
      <c r="BR757" s="577"/>
      <c r="BS757" s="615"/>
      <c r="BT757" s="586"/>
    </row>
    <row r="758" s="435" customFormat="1" ht="22" customHeight="1" spans="1:72">
      <c r="A758" s="458" t="s">
        <v>4032</v>
      </c>
      <c r="B758" s="543">
        <v>45888</v>
      </c>
      <c r="C758" s="595">
        <v>1000031130</v>
      </c>
      <c r="D758" s="451"/>
      <c r="E758" s="457"/>
      <c r="F758" s="453"/>
      <c r="G758" s="453"/>
      <c r="H758" s="453"/>
      <c r="I758" s="453"/>
      <c r="J758" s="453"/>
      <c r="K758" s="453"/>
      <c r="L758" s="453"/>
      <c r="M758" s="453"/>
      <c r="N758" s="453"/>
      <c r="O758" s="453"/>
      <c r="P758" s="453"/>
      <c r="Q758" s="453"/>
      <c r="R758" s="550"/>
      <c r="S758" s="453"/>
      <c r="T758" s="453"/>
      <c r="U758" s="453"/>
      <c r="V758" s="453"/>
      <c r="W758" s="453"/>
      <c r="X758" s="453"/>
      <c r="Y758" s="453"/>
      <c r="Z758" s="597"/>
      <c r="AA758" s="489"/>
      <c r="AB758" s="490"/>
      <c r="AC758" s="453"/>
      <c r="AD758" s="453"/>
      <c r="AE758" s="453"/>
      <c r="AF758" s="453"/>
      <c r="AG758" s="453"/>
      <c r="AH758" s="453"/>
      <c r="AI758" s="453"/>
      <c r="AJ758" s="453"/>
      <c r="AK758" s="453"/>
      <c r="AL758" s="453"/>
      <c r="AM758" s="453"/>
      <c r="AN758" s="453"/>
      <c r="AO758" s="453"/>
      <c r="AP758" s="453"/>
      <c r="AQ758" s="453"/>
      <c r="AR758" s="453"/>
      <c r="AS758" s="453"/>
      <c r="AT758" s="453"/>
      <c r="AU758" s="453"/>
      <c r="AV758" s="453"/>
      <c r="AW758" s="453"/>
      <c r="AX758" s="453"/>
      <c r="AY758" s="453"/>
      <c r="AZ758" s="453"/>
      <c r="BA758" s="532"/>
      <c r="BB758" s="502"/>
      <c r="BC758" s="503"/>
      <c r="BD758" s="453"/>
      <c r="BE758" s="453"/>
      <c r="BF758" s="470"/>
      <c r="BG758" s="453"/>
      <c r="BH758" s="453"/>
      <c r="BI758" s="453">
        <v>30000</v>
      </c>
      <c r="BJ758" s="453"/>
      <c r="BK758" s="453"/>
      <c r="BL758" s="453"/>
      <c r="BM758" s="502"/>
      <c r="BN758" s="503"/>
      <c r="BO758" s="470"/>
      <c r="BP758" s="574"/>
      <c r="BQ758" s="458"/>
      <c r="BR758" s="577"/>
      <c r="BS758" s="615"/>
      <c r="BT758" s="586"/>
    </row>
    <row r="759" s="435" customFormat="1" ht="22" customHeight="1" spans="1:72">
      <c r="A759" s="458" t="s">
        <v>4032</v>
      </c>
      <c r="B759" s="543">
        <v>45898</v>
      </c>
      <c r="C759" s="595">
        <v>1000031569</v>
      </c>
      <c r="D759" s="451"/>
      <c r="E759" s="457"/>
      <c r="F759" s="453"/>
      <c r="G759" s="453"/>
      <c r="H759" s="453"/>
      <c r="I759" s="453"/>
      <c r="J759" s="453"/>
      <c r="K759" s="453"/>
      <c r="L759" s="453"/>
      <c r="M759" s="453"/>
      <c r="N759" s="453"/>
      <c r="O759" s="453"/>
      <c r="P759" s="453"/>
      <c r="Q759" s="453"/>
      <c r="R759" s="550"/>
      <c r="S759" s="453"/>
      <c r="T759" s="453"/>
      <c r="U759" s="453"/>
      <c r="V759" s="453"/>
      <c r="W759" s="453"/>
      <c r="X759" s="453"/>
      <c r="Y759" s="453"/>
      <c r="Z759" s="597"/>
      <c r="AA759" s="489"/>
      <c r="AB759" s="490"/>
      <c r="AC759" s="453"/>
      <c r="AD759" s="453"/>
      <c r="AE759" s="453"/>
      <c r="AF759" s="453">
        <v>10001</v>
      </c>
      <c r="AG759" s="453"/>
      <c r="AH759" s="453"/>
      <c r="AI759" s="453"/>
      <c r="AJ759" s="453"/>
      <c r="AK759" s="453"/>
      <c r="AL759" s="453"/>
      <c r="AM759" s="453"/>
      <c r="AN759" s="453"/>
      <c r="AO759" s="453"/>
      <c r="AP759" s="453"/>
      <c r="AQ759" s="453"/>
      <c r="AR759" s="453"/>
      <c r="AS759" s="453"/>
      <c r="AT759" s="453"/>
      <c r="AU759" s="453"/>
      <c r="AV759" s="453"/>
      <c r="AW759" s="453"/>
      <c r="AX759" s="453"/>
      <c r="AY759" s="453"/>
      <c r="AZ759" s="453"/>
      <c r="BA759" s="532"/>
      <c r="BB759" s="502"/>
      <c r="BC759" s="503"/>
      <c r="BD759" s="453"/>
      <c r="BE759" s="453"/>
      <c r="BF759" s="470"/>
      <c r="BG759" s="453"/>
      <c r="BH759" s="453"/>
      <c r="BI759" s="453"/>
      <c r="BJ759" s="453"/>
      <c r="BK759" s="453"/>
      <c r="BL759" s="453"/>
      <c r="BM759" s="502"/>
      <c r="BN759" s="503"/>
      <c r="BO759" s="470"/>
      <c r="BP759" s="574"/>
      <c r="BQ759" s="458"/>
      <c r="BR759" s="577"/>
      <c r="BS759" s="615"/>
      <c r="BT759" s="586"/>
    </row>
    <row r="760" s="435" customFormat="1" ht="22" customHeight="1" spans="1:72">
      <c r="A760" s="458" t="s">
        <v>4032</v>
      </c>
      <c r="B760" s="543">
        <v>45898</v>
      </c>
      <c r="C760" s="595">
        <v>1000031570</v>
      </c>
      <c r="D760" s="451"/>
      <c r="E760" s="457"/>
      <c r="F760" s="453"/>
      <c r="G760" s="453"/>
      <c r="H760" s="453"/>
      <c r="I760" s="453"/>
      <c r="J760" s="453"/>
      <c r="K760" s="453"/>
      <c r="L760" s="453"/>
      <c r="M760" s="453"/>
      <c r="N760" s="453"/>
      <c r="O760" s="453"/>
      <c r="P760" s="453"/>
      <c r="Q760" s="453"/>
      <c r="R760" s="550"/>
      <c r="S760" s="453"/>
      <c r="T760" s="453"/>
      <c r="U760" s="453"/>
      <c r="V760" s="453"/>
      <c r="W760" s="453"/>
      <c r="X760" s="453"/>
      <c r="Y760" s="453"/>
      <c r="Z760" s="597"/>
      <c r="AA760" s="489"/>
      <c r="AB760" s="490"/>
      <c r="AC760" s="453"/>
      <c r="AD760" s="453"/>
      <c r="AE760" s="453"/>
      <c r="AF760" s="453"/>
      <c r="AG760" s="453"/>
      <c r="AH760" s="453"/>
      <c r="AI760" s="453"/>
      <c r="AJ760" s="453"/>
      <c r="AK760" s="453"/>
      <c r="AL760" s="453"/>
      <c r="AM760" s="453"/>
      <c r="AN760" s="453"/>
      <c r="AO760" s="453"/>
      <c r="AP760" s="453"/>
      <c r="AQ760" s="453"/>
      <c r="AR760" s="453"/>
      <c r="AS760" s="453"/>
      <c r="AT760" s="453"/>
      <c r="AU760" s="453">
        <v>10001</v>
      </c>
      <c r="AV760" s="453"/>
      <c r="AW760" s="453"/>
      <c r="AX760" s="453"/>
      <c r="AY760" s="453"/>
      <c r="AZ760" s="453"/>
      <c r="BA760" s="532"/>
      <c r="BB760" s="502"/>
      <c r="BC760" s="503"/>
      <c r="BD760" s="453"/>
      <c r="BE760" s="453"/>
      <c r="BF760" s="470"/>
      <c r="BG760" s="453"/>
      <c r="BH760" s="453"/>
      <c r="BI760" s="453"/>
      <c r="BJ760" s="453"/>
      <c r="BK760" s="453"/>
      <c r="BL760" s="453"/>
      <c r="BM760" s="502"/>
      <c r="BN760" s="503"/>
      <c r="BO760" s="470"/>
      <c r="BP760" s="574"/>
      <c r="BQ760" s="458"/>
      <c r="BR760" s="577"/>
      <c r="BS760" s="615"/>
      <c r="BT760" s="586"/>
    </row>
    <row r="761" s="435" customFormat="1" ht="22" customHeight="1" spans="1:72">
      <c r="A761" s="458" t="s">
        <v>4032</v>
      </c>
      <c r="B761" s="543">
        <v>45898</v>
      </c>
      <c r="C761" s="595">
        <v>1000031571</v>
      </c>
      <c r="D761" s="451"/>
      <c r="E761" s="457"/>
      <c r="F761" s="453"/>
      <c r="G761" s="453"/>
      <c r="H761" s="453"/>
      <c r="I761" s="453"/>
      <c r="J761" s="453"/>
      <c r="K761" s="453"/>
      <c r="L761" s="453"/>
      <c r="M761" s="453"/>
      <c r="N761" s="453"/>
      <c r="O761" s="453"/>
      <c r="P761" s="453"/>
      <c r="Q761" s="453"/>
      <c r="R761" s="550"/>
      <c r="S761" s="453"/>
      <c r="T761" s="453"/>
      <c r="U761" s="453"/>
      <c r="V761" s="453"/>
      <c r="W761" s="453"/>
      <c r="X761" s="453"/>
      <c r="Y761" s="453"/>
      <c r="Z761" s="597"/>
      <c r="AA761" s="489"/>
      <c r="AB761" s="490"/>
      <c r="AC761" s="453"/>
      <c r="AD761" s="453"/>
      <c r="AE761" s="453"/>
      <c r="AF761" s="453"/>
      <c r="AG761" s="453"/>
      <c r="AH761" s="453"/>
      <c r="AI761" s="453"/>
      <c r="AJ761" s="453"/>
      <c r="AK761" s="453"/>
      <c r="AL761" s="453"/>
      <c r="AM761" s="453"/>
      <c r="AN761" s="453"/>
      <c r="AO761" s="453"/>
      <c r="AP761" s="453"/>
      <c r="AQ761" s="453"/>
      <c r="AR761" s="453"/>
      <c r="AS761" s="453"/>
      <c r="AT761" s="453"/>
      <c r="AU761" s="453"/>
      <c r="AV761" s="453"/>
      <c r="AW761" s="453"/>
      <c r="AX761" s="453"/>
      <c r="AY761" s="453"/>
      <c r="AZ761" s="453"/>
      <c r="BA761" s="532"/>
      <c r="BB761" s="502"/>
      <c r="BC761" s="503"/>
      <c r="BD761" s="453"/>
      <c r="BE761" s="453"/>
      <c r="BF761" s="470"/>
      <c r="BG761" s="453"/>
      <c r="BH761" s="453"/>
      <c r="BI761" s="453"/>
      <c r="BJ761" s="453"/>
      <c r="BK761" s="453"/>
      <c r="BL761" s="453"/>
      <c r="BM761" s="502"/>
      <c r="BN761" s="503"/>
      <c r="BO761" s="470"/>
      <c r="BP761" s="574"/>
      <c r="BQ761" s="458">
        <v>7350</v>
      </c>
      <c r="BR761" s="577"/>
      <c r="BS761" s="615"/>
      <c r="BT761" s="586"/>
    </row>
    <row r="762" s="435" customFormat="1" ht="22" customHeight="1" spans="1:72">
      <c r="A762" s="458" t="s">
        <v>4032</v>
      </c>
      <c r="B762" s="543">
        <v>45915</v>
      </c>
      <c r="C762" s="595">
        <v>1000032081</v>
      </c>
      <c r="D762" s="451"/>
      <c r="E762" s="457"/>
      <c r="F762" s="453"/>
      <c r="G762" s="453"/>
      <c r="H762" s="453"/>
      <c r="I762" s="453"/>
      <c r="J762" s="453"/>
      <c r="K762" s="453"/>
      <c r="L762" s="453"/>
      <c r="M762" s="453"/>
      <c r="N762" s="453"/>
      <c r="O762" s="453"/>
      <c r="P762" s="453"/>
      <c r="Q762" s="453"/>
      <c r="R762" s="550"/>
      <c r="S762" s="453"/>
      <c r="T762" s="453"/>
      <c r="U762" s="453"/>
      <c r="V762" s="453"/>
      <c r="W762" s="453"/>
      <c r="X762" s="453"/>
      <c r="Y762" s="453"/>
      <c r="Z762" s="597"/>
      <c r="AA762" s="489"/>
      <c r="AB762" s="490"/>
      <c r="AC762" s="453"/>
      <c r="AD762" s="453"/>
      <c r="AE762" s="453"/>
      <c r="AF762" s="453"/>
      <c r="AG762" s="453"/>
      <c r="AH762" s="453"/>
      <c r="AI762" s="453"/>
      <c r="AJ762" s="453"/>
      <c r="AK762" s="453"/>
      <c r="AL762" s="453"/>
      <c r="AM762" s="453"/>
      <c r="AN762" s="453"/>
      <c r="AO762" s="453"/>
      <c r="AP762" s="453"/>
      <c r="AQ762" s="453"/>
      <c r="AR762" s="453"/>
      <c r="AS762" s="453"/>
      <c r="AT762" s="453"/>
      <c r="AU762" s="453"/>
      <c r="AV762" s="453"/>
      <c r="AW762" s="453"/>
      <c r="AX762" s="453"/>
      <c r="AY762" s="453"/>
      <c r="AZ762" s="453"/>
      <c r="BA762" s="532"/>
      <c r="BB762" s="502"/>
      <c r="BC762" s="503"/>
      <c r="BD762" s="453"/>
      <c r="BE762" s="453"/>
      <c r="BF762" s="470"/>
      <c r="BG762" s="453"/>
      <c r="BH762" s="453"/>
      <c r="BI762" s="453"/>
      <c r="BJ762" s="453">
        <v>1000</v>
      </c>
      <c r="BK762" s="453"/>
      <c r="BL762" s="453"/>
      <c r="BM762" s="502"/>
      <c r="BN762" s="503"/>
      <c r="BO762" s="470"/>
      <c r="BP762" s="574"/>
      <c r="BQ762" s="458"/>
      <c r="BR762" s="577"/>
      <c r="BS762" s="615"/>
      <c r="BT762" s="586"/>
    </row>
    <row r="763" s="435" customFormat="1" ht="22" customHeight="1" spans="1:72">
      <c r="A763" s="458" t="s">
        <v>4032</v>
      </c>
      <c r="B763" s="543">
        <v>45928</v>
      </c>
      <c r="C763" s="595">
        <v>1000032526</v>
      </c>
      <c r="D763" s="451"/>
      <c r="E763" s="457"/>
      <c r="F763" s="453"/>
      <c r="G763" s="453"/>
      <c r="H763" s="453"/>
      <c r="I763" s="453"/>
      <c r="J763" s="453"/>
      <c r="K763" s="453"/>
      <c r="L763" s="453"/>
      <c r="M763" s="453"/>
      <c r="N763" s="453"/>
      <c r="O763" s="453">
        <v>5001</v>
      </c>
      <c r="P763" s="453"/>
      <c r="Q763" s="453"/>
      <c r="R763" s="550"/>
      <c r="S763" s="453"/>
      <c r="T763" s="453"/>
      <c r="U763" s="453"/>
      <c r="V763" s="453"/>
      <c r="W763" s="453"/>
      <c r="X763" s="453"/>
      <c r="Y763" s="453"/>
      <c r="Z763" s="597"/>
      <c r="AA763" s="489"/>
      <c r="AB763" s="490"/>
      <c r="AC763" s="453"/>
      <c r="AD763" s="453"/>
      <c r="AE763" s="453"/>
      <c r="AF763" s="453"/>
      <c r="AG763" s="453"/>
      <c r="AH763" s="453"/>
      <c r="AI763" s="453"/>
      <c r="AJ763" s="453"/>
      <c r="AK763" s="453"/>
      <c r="AL763" s="453"/>
      <c r="AM763" s="453"/>
      <c r="AN763" s="453"/>
      <c r="AO763" s="453"/>
      <c r="AP763" s="453"/>
      <c r="AQ763" s="453"/>
      <c r="AR763" s="453"/>
      <c r="AS763" s="453"/>
      <c r="AT763" s="453"/>
      <c r="AU763" s="453"/>
      <c r="AV763" s="453"/>
      <c r="AW763" s="453"/>
      <c r="AX763" s="453"/>
      <c r="AY763" s="453"/>
      <c r="AZ763" s="453"/>
      <c r="BA763" s="532"/>
      <c r="BB763" s="502"/>
      <c r="BC763" s="503"/>
      <c r="BD763" s="453"/>
      <c r="BE763" s="453"/>
      <c r="BF763" s="470"/>
      <c r="BG763" s="453"/>
      <c r="BH763" s="453"/>
      <c r="BI763" s="453"/>
      <c r="BJ763" s="453"/>
      <c r="BK763" s="453"/>
      <c r="BL763" s="453"/>
      <c r="BM763" s="502"/>
      <c r="BN763" s="503"/>
      <c r="BO763" s="470"/>
      <c r="BP763" s="574"/>
      <c r="BQ763" s="458"/>
      <c r="BR763" s="577"/>
      <c r="BS763" s="615"/>
      <c r="BT763" s="586"/>
    </row>
    <row r="764" s="435" customFormat="1" ht="22" customHeight="1" spans="1:72">
      <c r="A764" s="458" t="s">
        <v>4032</v>
      </c>
      <c r="B764" s="543">
        <v>45928</v>
      </c>
      <c r="C764" s="595">
        <v>1000032528</v>
      </c>
      <c r="D764" s="451"/>
      <c r="E764" s="457"/>
      <c r="F764" s="453"/>
      <c r="G764" s="453"/>
      <c r="H764" s="453"/>
      <c r="I764" s="453"/>
      <c r="J764" s="453"/>
      <c r="K764" s="453"/>
      <c r="L764" s="453"/>
      <c r="M764" s="453"/>
      <c r="N764" s="453"/>
      <c r="O764" s="453"/>
      <c r="P764" s="453"/>
      <c r="Q764" s="453"/>
      <c r="R764" s="550"/>
      <c r="S764" s="453"/>
      <c r="T764" s="453">
        <v>20001</v>
      </c>
      <c r="U764" s="453"/>
      <c r="V764" s="453"/>
      <c r="W764" s="453"/>
      <c r="X764" s="453"/>
      <c r="Y764" s="453"/>
      <c r="Z764" s="597"/>
      <c r="AA764" s="489"/>
      <c r="AB764" s="490"/>
      <c r="AC764" s="453"/>
      <c r="AD764" s="453"/>
      <c r="AE764" s="453"/>
      <c r="AF764" s="453"/>
      <c r="AG764" s="453"/>
      <c r="AH764" s="453"/>
      <c r="AI764" s="453"/>
      <c r="AJ764" s="453"/>
      <c r="AK764" s="453"/>
      <c r="AL764" s="453"/>
      <c r="AM764" s="453"/>
      <c r="AN764" s="453"/>
      <c r="AO764" s="453"/>
      <c r="AP764" s="453"/>
      <c r="AQ764" s="453"/>
      <c r="AR764" s="453"/>
      <c r="AS764" s="453"/>
      <c r="AT764" s="453"/>
      <c r="AU764" s="453"/>
      <c r="AV764" s="453"/>
      <c r="AW764" s="453"/>
      <c r="AX764" s="453"/>
      <c r="AY764" s="453"/>
      <c r="AZ764" s="453"/>
      <c r="BA764" s="532"/>
      <c r="BB764" s="502"/>
      <c r="BC764" s="503"/>
      <c r="BD764" s="453"/>
      <c r="BE764" s="453"/>
      <c r="BF764" s="470"/>
      <c r="BG764" s="453"/>
      <c r="BH764" s="453"/>
      <c r="BI764" s="453"/>
      <c r="BJ764" s="453"/>
      <c r="BK764" s="453"/>
      <c r="BL764" s="453"/>
      <c r="BM764" s="502"/>
      <c r="BN764" s="503"/>
      <c r="BO764" s="470"/>
      <c r="BP764" s="574"/>
      <c r="BQ764" s="458"/>
      <c r="BR764" s="577"/>
      <c r="BS764" s="615"/>
      <c r="BT764" s="586"/>
    </row>
    <row r="765" s="435" customFormat="1" ht="22" customHeight="1" spans="1:72">
      <c r="A765" s="458" t="s">
        <v>4032</v>
      </c>
      <c r="B765" s="543">
        <v>45928</v>
      </c>
      <c r="C765" s="581">
        <v>1000032532</v>
      </c>
      <c r="D765" s="451"/>
      <c r="E765" s="457"/>
      <c r="F765" s="453"/>
      <c r="G765" s="453"/>
      <c r="H765" s="453"/>
      <c r="I765" s="453"/>
      <c r="J765" s="453"/>
      <c r="K765" s="453"/>
      <c r="L765" s="453"/>
      <c r="M765" s="453"/>
      <c r="N765" s="453"/>
      <c r="O765" s="453"/>
      <c r="P765" s="453"/>
      <c r="Q765" s="453"/>
      <c r="R765" s="550"/>
      <c r="S765" s="453"/>
      <c r="T765" s="453"/>
      <c r="U765" s="453"/>
      <c r="V765" s="453"/>
      <c r="W765" s="453"/>
      <c r="X765" s="453"/>
      <c r="Y765" s="453"/>
      <c r="Z765" s="597"/>
      <c r="AA765" s="489"/>
      <c r="AB765" s="490"/>
      <c r="AC765" s="453"/>
      <c r="AD765" s="453"/>
      <c r="AE765" s="453"/>
      <c r="AF765" s="453"/>
      <c r="AG765" s="453"/>
      <c r="AH765" s="453"/>
      <c r="AI765" s="453"/>
      <c r="AJ765" s="453"/>
      <c r="AK765" s="453"/>
      <c r="AL765" s="453"/>
      <c r="AM765" s="453"/>
      <c r="AN765" s="453"/>
      <c r="AO765" s="453"/>
      <c r="AP765" s="453"/>
      <c r="AQ765" s="453"/>
      <c r="AR765" s="453"/>
      <c r="AS765" s="453"/>
      <c r="AT765" s="453"/>
      <c r="AU765" s="453"/>
      <c r="AV765" s="453"/>
      <c r="AW765" s="453"/>
      <c r="AX765" s="453"/>
      <c r="AY765" s="453"/>
      <c r="AZ765" s="453"/>
      <c r="BA765" s="532"/>
      <c r="BB765" s="502"/>
      <c r="BC765" s="503"/>
      <c r="BD765" s="453"/>
      <c r="BE765" s="453"/>
      <c r="BF765" s="470"/>
      <c r="BG765" s="453">
        <v>10001</v>
      </c>
      <c r="BH765" s="453"/>
      <c r="BI765" s="453"/>
      <c r="BJ765" s="453"/>
      <c r="BK765" s="453"/>
      <c r="BL765" s="453"/>
      <c r="BM765" s="502"/>
      <c r="BN765" s="503"/>
      <c r="BO765" s="470"/>
      <c r="BP765" s="574"/>
      <c r="BQ765" s="458"/>
      <c r="BR765" s="577"/>
      <c r="BS765" s="615"/>
      <c r="BT765" s="586"/>
    </row>
    <row r="766" s="435" customFormat="1" ht="22" customHeight="1" spans="1:72">
      <c r="A766" s="458" t="s">
        <v>4032</v>
      </c>
      <c r="B766" s="543">
        <v>45928</v>
      </c>
      <c r="C766" s="581">
        <v>1000032534</v>
      </c>
      <c r="D766" s="451"/>
      <c r="E766" s="457"/>
      <c r="F766" s="453"/>
      <c r="G766" s="453"/>
      <c r="H766" s="453"/>
      <c r="I766" s="453"/>
      <c r="J766" s="453"/>
      <c r="K766" s="453"/>
      <c r="L766" s="453"/>
      <c r="M766" s="453"/>
      <c r="N766" s="453"/>
      <c r="O766" s="453"/>
      <c r="P766" s="453"/>
      <c r="Q766" s="453"/>
      <c r="R766" s="550"/>
      <c r="S766" s="453"/>
      <c r="T766" s="453"/>
      <c r="U766" s="453"/>
      <c r="V766" s="453"/>
      <c r="W766" s="453"/>
      <c r="X766" s="453"/>
      <c r="Y766" s="453"/>
      <c r="Z766" s="597"/>
      <c r="AA766" s="489"/>
      <c r="AB766" s="490"/>
      <c r="AC766" s="453"/>
      <c r="AD766" s="453"/>
      <c r="AE766" s="453"/>
      <c r="AF766" s="453"/>
      <c r="AG766" s="453"/>
      <c r="AH766" s="453"/>
      <c r="AI766" s="453"/>
      <c r="AJ766" s="453"/>
      <c r="AK766" s="453"/>
      <c r="AL766" s="453"/>
      <c r="AM766" s="453"/>
      <c r="AN766" s="453"/>
      <c r="AO766" s="453"/>
      <c r="AP766" s="453"/>
      <c r="AQ766" s="453"/>
      <c r="AR766" s="453"/>
      <c r="AS766" s="453"/>
      <c r="AT766" s="453"/>
      <c r="AU766" s="453"/>
      <c r="AV766" s="453"/>
      <c r="AW766" s="453"/>
      <c r="AX766" s="453"/>
      <c r="AY766" s="453"/>
      <c r="AZ766" s="453"/>
      <c r="BA766" s="532"/>
      <c r="BB766" s="502"/>
      <c r="BC766" s="503"/>
      <c r="BD766" s="453"/>
      <c r="BE766" s="453"/>
      <c r="BF766" s="470"/>
      <c r="BG766" s="453"/>
      <c r="BH766" s="453"/>
      <c r="BI766" s="453">
        <v>10001</v>
      </c>
      <c r="BJ766" s="453"/>
      <c r="BK766" s="453"/>
      <c r="BL766" s="453"/>
      <c r="BM766" s="502"/>
      <c r="BN766" s="503"/>
      <c r="BO766" s="470"/>
      <c r="BP766" s="574"/>
      <c r="BQ766" s="458"/>
      <c r="BR766" s="577"/>
      <c r="BS766" s="615"/>
      <c r="BT766" s="586"/>
    </row>
    <row r="767" s="435" customFormat="1" ht="22" customHeight="1" spans="1:72">
      <c r="A767" s="458" t="s">
        <v>4032</v>
      </c>
      <c r="B767" s="543">
        <v>45930</v>
      </c>
      <c r="C767" s="595"/>
      <c r="D767" s="451"/>
      <c r="E767" s="457"/>
      <c r="F767" s="453"/>
      <c r="G767" s="453"/>
      <c r="H767" s="453"/>
      <c r="I767" s="453"/>
      <c r="J767" s="453"/>
      <c r="K767" s="453"/>
      <c r="L767" s="453"/>
      <c r="M767" s="453"/>
      <c r="N767" s="453"/>
      <c r="O767" s="453"/>
      <c r="P767" s="453"/>
      <c r="Q767" s="453"/>
      <c r="R767" s="550"/>
      <c r="S767" s="453"/>
      <c r="T767" s="453"/>
      <c r="U767" s="453">
        <v>3000</v>
      </c>
      <c r="V767" s="453"/>
      <c r="W767" s="453"/>
      <c r="X767" s="453"/>
      <c r="Y767" s="453"/>
      <c r="Z767" s="597" t="s">
        <v>4118</v>
      </c>
      <c r="AA767" s="489"/>
      <c r="AB767" s="490"/>
      <c r="AC767" s="453"/>
      <c r="AD767" s="453"/>
      <c r="AE767" s="453"/>
      <c r="AF767" s="453"/>
      <c r="AG767" s="453"/>
      <c r="AH767" s="453"/>
      <c r="AI767" s="453"/>
      <c r="AJ767" s="453"/>
      <c r="AK767" s="453"/>
      <c r="AL767" s="453"/>
      <c r="AM767" s="453"/>
      <c r="AN767" s="453"/>
      <c r="AO767" s="453"/>
      <c r="AP767" s="453"/>
      <c r="AQ767" s="453"/>
      <c r="AR767" s="453"/>
      <c r="AS767" s="453"/>
      <c r="AT767" s="453"/>
      <c r="AU767" s="453"/>
      <c r="AV767" s="453"/>
      <c r="AW767" s="453"/>
      <c r="AX767" s="453"/>
      <c r="AY767" s="453"/>
      <c r="AZ767" s="453"/>
      <c r="BA767" s="532"/>
      <c r="BB767" s="502"/>
      <c r="BC767" s="503"/>
      <c r="BD767" s="453"/>
      <c r="BE767" s="453"/>
      <c r="BF767" s="470"/>
      <c r="BG767" s="453"/>
      <c r="BH767" s="453"/>
      <c r="BI767" s="453"/>
      <c r="BJ767" s="453"/>
      <c r="BK767" s="453"/>
      <c r="BL767" s="453"/>
      <c r="BM767" s="502"/>
      <c r="BN767" s="503"/>
      <c r="BO767" s="470"/>
      <c r="BP767" s="574"/>
      <c r="BQ767" s="458"/>
      <c r="BR767" s="577"/>
      <c r="BS767" s="615"/>
      <c r="BT767" s="586"/>
    </row>
    <row r="768" s="435" customFormat="1" ht="22" customHeight="1" spans="1:72">
      <c r="A768" s="458" t="s">
        <v>4032</v>
      </c>
      <c r="B768" s="543">
        <v>45930</v>
      </c>
      <c r="C768" s="595"/>
      <c r="D768" s="451"/>
      <c r="E768" s="457"/>
      <c r="F768" s="453"/>
      <c r="G768" s="453"/>
      <c r="H768" s="453"/>
      <c r="I768" s="453"/>
      <c r="J768" s="453"/>
      <c r="K768" s="453"/>
      <c r="L768" s="453"/>
      <c r="M768" s="453"/>
      <c r="N768" s="453"/>
      <c r="O768" s="453"/>
      <c r="P768" s="453"/>
      <c r="Q768" s="453"/>
      <c r="R768" s="550"/>
      <c r="S768" s="453"/>
      <c r="T768" s="453"/>
      <c r="U768" s="453">
        <v>6834</v>
      </c>
      <c r="V768" s="453"/>
      <c r="W768" s="453"/>
      <c r="X768" s="453"/>
      <c r="Y768" s="453"/>
      <c r="Z768" s="597" t="s">
        <v>4119</v>
      </c>
      <c r="AA768" s="489"/>
      <c r="AB768" s="490"/>
      <c r="AC768" s="453"/>
      <c r="AD768" s="453"/>
      <c r="AE768" s="453"/>
      <c r="AF768" s="453"/>
      <c r="AG768" s="453"/>
      <c r="AH768" s="453"/>
      <c r="AI768" s="453"/>
      <c r="AJ768" s="453"/>
      <c r="AK768" s="453"/>
      <c r="AL768" s="453"/>
      <c r="AM768" s="453"/>
      <c r="AN768" s="453"/>
      <c r="AO768" s="453"/>
      <c r="AP768" s="453"/>
      <c r="AQ768" s="453"/>
      <c r="AR768" s="453"/>
      <c r="AS768" s="453"/>
      <c r="AT768" s="453"/>
      <c r="AU768" s="453"/>
      <c r="AV768" s="453"/>
      <c r="AW768" s="453"/>
      <c r="AX768" s="453"/>
      <c r="AY768" s="453"/>
      <c r="AZ768" s="453"/>
      <c r="BA768" s="532"/>
      <c r="BB768" s="502"/>
      <c r="BC768" s="503"/>
      <c r="BD768" s="453"/>
      <c r="BE768" s="453"/>
      <c r="BF768" s="470"/>
      <c r="BG768" s="453"/>
      <c r="BH768" s="453"/>
      <c r="BI768" s="453"/>
      <c r="BJ768" s="453"/>
      <c r="BK768" s="453"/>
      <c r="BL768" s="453"/>
      <c r="BM768" s="502"/>
      <c r="BN768" s="503"/>
      <c r="BO768" s="470"/>
      <c r="BP768" s="574"/>
      <c r="BQ768" s="458"/>
      <c r="BR768" s="577"/>
      <c r="BS768" s="615"/>
      <c r="BT768" s="586"/>
    </row>
    <row r="769" s="435" customFormat="1" ht="22" customHeight="1" spans="1:72">
      <c r="A769" s="458" t="s">
        <v>4032</v>
      </c>
      <c r="B769" s="543">
        <v>45941</v>
      </c>
      <c r="C769" s="595"/>
      <c r="D769" s="451"/>
      <c r="E769" s="457"/>
      <c r="F769" s="453"/>
      <c r="G769" s="453"/>
      <c r="H769" s="453"/>
      <c r="I769" s="453"/>
      <c r="J769" s="453"/>
      <c r="K769" s="453"/>
      <c r="L769" s="453"/>
      <c r="M769" s="453"/>
      <c r="N769" s="453"/>
      <c r="O769" s="453"/>
      <c r="P769" s="453"/>
      <c r="Q769" s="453"/>
      <c r="R769" s="550"/>
      <c r="S769" s="453"/>
      <c r="T769" s="453"/>
      <c r="U769" s="453"/>
      <c r="V769" s="453"/>
      <c r="W769" s="453"/>
      <c r="X769" s="453"/>
      <c r="Y769" s="453">
        <v>3276</v>
      </c>
      <c r="Z769" s="597" t="s">
        <v>4120</v>
      </c>
      <c r="AA769" s="489"/>
      <c r="AB769" s="490"/>
      <c r="AC769" s="453"/>
      <c r="AD769" s="453"/>
      <c r="AE769" s="453"/>
      <c r="AF769" s="453"/>
      <c r="AG769" s="453"/>
      <c r="AH769" s="453"/>
      <c r="AI769" s="453"/>
      <c r="AJ769" s="453"/>
      <c r="AK769" s="453"/>
      <c r="AL769" s="453"/>
      <c r="AM769" s="453"/>
      <c r="AN769" s="453"/>
      <c r="AO769" s="453"/>
      <c r="AP769" s="453"/>
      <c r="AQ769" s="453"/>
      <c r="AR769" s="453"/>
      <c r="AS769" s="453"/>
      <c r="AT769" s="453"/>
      <c r="AU769" s="453"/>
      <c r="AV769" s="453"/>
      <c r="AW769" s="453"/>
      <c r="AX769" s="453"/>
      <c r="AY769" s="453"/>
      <c r="AZ769" s="453"/>
      <c r="BA769" s="532"/>
      <c r="BB769" s="502"/>
      <c r="BC769" s="503"/>
      <c r="BD769" s="453"/>
      <c r="BE769" s="453"/>
      <c r="BF769" s="470"/>
      <c r="BG769" s="453"/>
      <c r="BH769" s="453"/>
      <c r="BI769" s="453"/>
      <c r="BJ769" s="453"/>
      <c r="BK769" s="453"/>
      <c r="BL769" s="453"/>
      <c r="BM769" s="502"/>
      <c r="BN769" s="503"/>
      <c r="BO769" s="470"/>
      <c r="BP769" s="574"/>
      <c r="BQ769" s="458"/>
      <c r="BR769" s="577"/>
      <c r="BS769" s="615"/>
      <c r="BT769" s="586"/>
    </row>
    <row r="770" s="435" customFormat="1" ht="22" customHeight="1" spans="1:72">
      <c r="A770" s="458" t="s">
        <v>4032</v>
      </c>
      <c r="B770" s="543">
        <v>45944</v>
      </c>
      <c r="C770" s="595">
        <v>1000032961</v>
      </c>
      <c r="D770" s="451"/>
      <c r="E770" s="457"/>
      <c r="F770" s="453"/>
      <c r="G770" s="453"/>
      <c r="H770" s="453"/>
      <c r="I770" s="453"/>
      <c r="J770" s="453"/>
      <c r="K770" s="453"/>
      <c r="L770" s="453"/>
      <c r="M770" s="453"/>
      <c r="N770" s="453"/>
      <c r="O770" s="453"/>
      <c r="P770" s="453"/>
      <c r="Q770" s="453"/>
      <c r="R770" s="550"/>
      <c r="S770" s="453"/>
      <c r="T770" s="453"/>
      <c r="U770" s="453">
        <v>36770</v>
      </c>
      <c r="V770" s="453"/>
      <c r="W770" s="453"/>
      <c r="X770" s="453"/>
      <c r="Y770" s="453"/>
      <c r="Z770" s="597" t="s">
        <v>4121</v>
      </c>
      <c r="AA770" s="489"/>
      <c r="AB770" s="490"/>
      <c r="AC770" s="453"/>
      <c r="AD770" s="453"/>
      <c r="AE770" s="453"/>
      <c r="AF770" s="453"/>
      <c r="AG770" s="453"/>
      <c r="AH770" s="453"/>
      <c r="AI770" s="453"/>
      <c r="AJ770" s="453"/>
      <c r="AK770" s="453"/>
      <c r="AL770" s="453"/>
      <c r="AM770" s="453"/>
      <c r="AN770" s="453"/>
      <c r="AO770" s="453"/>
      <c r="AP770" s="453"/>
      <c r="AQ770" s="453"/>
      <c r="AR770" s="453"/>
      <c r="AS770" s="453"/>
      <c r="AT770" s="453"/>
      <c r="AU770" s="453"/>
      <c r="AV770" s="453"/>
      <c r="AW770" s="453"/>
      <c r="AX770" s="453"/>
      <c r="AY770" s="453"/>
      <c r="AZ770" s="453"/>
      <c r="BA770" s="532"/>
      <c r="BB770" s="502"/>
      <c r="BC770" s="503"/>
      <c r="BD770" s="453"/>
      <c r="BE770" s="453"/>
      <c r="BF770" s="470"/>
      <c r="BG770" s="453"/>
      <c r="BH770" s="453"/>
      <c r="BI770" s="453"/>
      <c r="BJ770" s="453"/>
      <c r="BK770" s="453"/>
      <c r="BL770" s="453"/>
      <c r="BM770" s="502"/>
      <c r="BN770" s="503"/>
      <c r="BO770" s="470"/>
      <c r="BP770" s="574"/>
      <c r="BQ770" s="458"/>
      <c r="BR770" s="577"/>
      <c r="BS770" s="615"/>
      <c r="BT770" s="586"/>
    </row>
    <row r="771" s="435" customFormat="1" ht="22" customHeight="1" spans="1:72">
      <c r="A771" s="458" t="s">
        <v>4032</v>
      </c>
      <c r="B771" s="543">
        <v>45954</v>
      </c>
      <c r="C771" s="595">
        <v>1000033320</v>
      </c>
      <c r="D771" s="451"/>
      <c r="E771" s="457"/>
      <c r="F771" s="453"/>
      <c r="G771" s="453"/>
      <c r="H771" s="453"/>
      <c r="I771" s="453"/>
      <c r="J771" s="453"/>
      <c r="K771" s="453"/>
      <c r="L771" s="453"/>
      <c r="M771" s="453"/>
      <c r="N771" s="453"/>
      <c r="O771" s="453">
        <v>40000</v>
      </c>
      <c r="P771" s="453"/>
      <c r="Q771" s="453"/>
      <c r="R771" s="550"/>
      <c r="S771" s="453"/>
      <c r="T771" s="453"/>
      <c r="U771" s="453"/>
      <c r="V771" s="453"/>
      <c r="W771" s="453"/>
      <c r="X771" s="453"/>
      <c r="Y771" s="453"/>
      <c r="Z771" s="597"/>
      <c r="AA771" s="489"/>
      <c r="AB771" s="490"/>
      <c r="AC771" s="453"/>
      <c r="AD771" s="453"/>
      <c r="AE771" s="453"/>
      <c r="AF771" s="453"/>
      <c r="AG771" s="453"/>
      <c r="AH771" s="453"/>
      <c r="AI771" s="453"/>
      <c r="AJ771" s="453"/>
      <c r="AK771" s="453"/>
      <c r="AL771" s="453"/>
      <c r="AM771" s="453"/>
      <c r="AN771" s="453"/>
      <c r="AO771" s="453"/>
      <c r="AP771" s="453"/>
      <c r="AQ771" s="453"/>
      <c r="AR771" s="453"/>
      <c r="AS771" s="453"/>
      <c r="AT771" s="453"/>
      <c r="AU771" s="453"/>
      <c r="AV771" s="453"/>
      <c r="AW771" s="453"/>
      <c r="AX771" s="453"/>
      <c r="AY771" s="453"/>
      <c r="AZ771" s="453"/>
      <c r="BA771" s="532"/>
      <c r="BB771" s="502"/>
      <c r="BC771" s="503"/>
      <c r="BD771" s="453"/>
      <c r="BE771" s="453"/>
      <c r="BF771" s="470"/>
      <c r="BG771" s="453"/>
      <c r="BH771" s="453"/>
      <c r="BI771" s="453"/>
      <c r="BJ771" s="453"/>
      <c r="BK771" s="453"/>
      <c r="BL771" s="453"/>
      <c r="BM771" s="502"/>
      <c r="BN771" s="503"/>
      <c r="BO771" s="470"/>
      <c r="BP771" s="574"/>
      <c r="BQ771" s="458"/>
      <c r="BR771" s="577"/>
      <c r="BS771" s="615"/>
      <c r="BT771" s="586"/>
    </row>
    <row r="772" s="435" customFormat="1" ht="22" customHeight="1" spans="1:72">
      <c r="A772" s="458" t="s">
        <v>4032</v>
      </c>
      <c r="B772" s="543">
        <v>45954</v>
      </c>
      <c r="C772" s="595">
        <v>1000033321</v>
      </c>
      <c r="D772" s="451"/>
      <c r="E772" s="457"/>
      <c r="F772" s="453"/>
      <c r="G772" s="453"/>
      <c r="H772" s="453"/>
      <c r="I772" s="453"/>
      <c r="J772" s="453"/>
      <c r="K772" s="453"/>
      <c r="L772" s="453"/>
      <c r="M772" s="453"/>
      <c r="N772" s="453"/>
      <c r="O772" s="453"/>
      <c r="P772" s="453"/>
      <c r="Q772" s="453">
        <v>15000</v>
      </c>
      <c r="R772" s="550"/>
      <c r="S772" s="453"/>
      <c r="T772" s="453"/>
      <c r="U772" s="453"/>
      <c r="V772" s="453"/>
      <c r="W772" s="453"/>
      <c r="X772" s="453"/>
      <c r="Y772" s="453"/>
      <c r="Z772" s="597"/>
      <c r="AA772" s="489"/>
      <c r="AB772" s="490"/>
      <c r="AC772" s="453"/>
      <c r="AD772" s="453"/>
      <c r="AE772" s="453"/>
      <c r="AF772" s="453"/>
      <c r="AG772" s="453"/>
      <c r="AH772" s="453"/>
      <c r="AI772" s="453"/>
      <c r="AJ772" s="453"/>
      <c r="AK772" s="453"/>
      <c r="AL772" s="453"/>
      <c r="AM772" s="453"/>
      <c r="AN772" s="453"/>
      <c r="AO772" s="453"/>
      <c r="AP772" s="453"/>
      <c r="AQ772" s="453"/>
      <c r="AR772" s="453"/>
      <c r="AS772" s="453"/>
      <c r="AT772" s="453"/>
      <c r="AU772" s="453"/>
      <c r="AV772" s="453"/>
      <c r="AW772" s="453"/>
      <c r="AX772" s="453"/>
      <c r="AY772" s="453"/>
      <c r="AZ772" s="453"/>
      <c r="BA772" s="532"/>
      <c r="BB772" s="502"/>
      <c r="BC772" s="503"/>
      <c r="BD772" s="453"/>
      <c r="BE772" s="453"/>
      <c r="BF772" s="470"/>
      <c r="BG772" s="453"/>
      <c r="BH772" s="453"/>
      <c r="BI772" s="453"/>
      <c r="BJ772" s="453"/>
      <c r="BK772" s="453"/>
      <c r="BL772" s="453"/>
      <c r="BM772" s="502"/>
      <c r="BN772" s="503"/>
      <c r="BO772" s="470"/>
      <c r="BP772" s="574"/>
      <c r="BQ772" s="458"/>
      <c r="BR772" s="577"/>
      <c r="BS772" s="615"/>
      <c r="BT772" s="586"/>
    </row>
    <row r="773" s="435" customFormat="1" ht="22" customHeight="1" spans="1:72">
      <c r="A773" s="458" t="s">
        <v>4032</v>
      </c>
      <c r="B773" s="543">
        <v>45954</v>
      </c>
      <c r="C773" s="595">
        <v>1000033322</v>
      </c>
      <c r="D773" s="451"/>
      <c r="E773" s="457"/>
      <c r="F773" s="453"/>
      <c r="G773" s="453"/>
      <c r="H773" s="453"/>
      <c r="I773" s="453"/>
      <c r="J773" s="453"/>
      <c r="K773" s="453"/>
      <c r="L773" s="453"/>
      <c r="M773" s="453"/>
      <c r="N773" s="453"/>
      <c r="O773" s="453"/>
      <c r="P773" s="453"/>
      <c r="Q773" s="453"/>
      <c r="R773" s="550"/>
      <c r="S773" s="453"/>
      <c r="T773" s="453">
        <v>50000</v>
      </c>
      <c r="U773" s="453"/>
      <c r="V773" s="453"/>
      <c r="W773" s="453"/>
      <c r="X773" s="453"/>
      <c r="Y773" s="453"/>
      <c r="Z773" s="597"/>
      <c r="AA773" s="489"/>
      <c r="AB773" s="490"/>
      <c r="AC773" s="453"/>
      <c r="AD773" s="453"/>
      <c r="AE773" s="453"/>
      <c r="AF773" s="453"/>
      <c r="AG773" s="453"/>
      <c r="AH773" s="453"/>
      <c r="AI773" s="453"/>
      <c r="AJ773" s="453"/>
      <c r="AK773" s="453"/>
      <c r="AL773" s="453"/>
      <c r="AM773" s="453"/>
      <c r="AN773" s="453"/>
      <c r="AO773" s="453"/>
      <c r="AP773" s="453"/>
      <c r="AQ773" s="453"/>
      <c r="AR773" s="453"/>
      <c r="AS773" s="453"/>
      <c r="AT773" s="453"/>
      <c r="AU773" s="453"/>
      <c r="AV773" s="453"/>
      <c r="AW773" s="453"/>
      <c r="AX773" s="453"/>
      <c r="AY773" s="453"/>
      <c r="AZ773" s="453"/>
      <c r="BA773" s="532"/>
      <c r="BB773" s="502"/>
      <c r="BC773" s="503"/>
      <c r="BD773" s="453"/>
      <c r="BE773" s="453"/>
      <c r="BF773" s="470"/>
      <c r="BG773" s="453"/>
      <c r="BH773" s="453"/>
      <c r="BI773" s="453"/>
      <c r="BJ773" s="453"/>
      <c r="BK773" s="453"/>
      <c r="BL773" s="453"/>
      <c r="BM773" s="502"/>
      <c r="BN773" s="503"/>
      <c r="BO773" s="470"/>
      <c r="BP773" s="574"/>
      <c r="BQ773" s="458"/>
      <c r="BR773" s="577"/>
      <c r="BS773" s="615"/>
      <c r="BT773" s="586"/>
    </row>
    <row r="774" s="435" customFormat="1" ht="22" customHeight="1" spans="1:72">
      <c r="A774" s="458" t="s">
        <v>4032</v>
      </c>
      <c r="B774" s="543">
        <v>45954</v>
      </c>
      <c r="C774" s="581">
        <v>1000033323</v>
      </c>
      <c r="D774" s="451"/>
      <c r="E774" s="457"/>
      <c r="F774" s="453"/>
      <c r="G774" s="453"/>
      <c r="H774" s="453"/>
      <c r="I774" s="453"/>
      <c r="J774" s="453"/>
      <c r="K774" s="453"/>
      <c r="L774" s="453"/>
      <c r="M774" s="453"/>
      <c r="N774" s="453"/>
      <c r="O774" s="453"/>
      <c r="P774" s="453"/>
      <c r="Q774" s="453"/>
      <c r="R774" s="550"/>
      <c r="S774" s="453"/>
      <c r="T774" s="453"/>
      <c r="U774" s="453"/>
      <c r="V774" s="453"/>
      <c r="W774" s="453"/>
      <c r="X774" s="453"/>
      <c r="Y774" s="453"/>
      <c r="Z774" s="597"/>
      <c r="AA774" s="489"/>
      <c r="AB774" s="490"/>
      <c r="AC774" s="453"/>
      <c r="AD774" s="453"/>
      <c r="AE774" s="453"/>
      <c r="AF774" s="453">
        <v>30001</v>
      </c>
      <c r="AG774" s="453"/>
      <c r="AH774" s="453"/>
      <c r="AI774" s="453"/>
      <c r="AJ774" s="453"/>
      <c r="AK774" s="453"/>
      <c r="AL774" s="453"/>
      <c r="AM774" s="453"/>
      <c r="AN774" s="453"/>
      <c r="AO774" s="453"/>
      <c r="AP774" s="453"/>
      <c r="AQ774" s="453"/>
      <c r="AR774" s="453"/>
      <c r="AS774" s="453"/>
      <c r="AT774" s="453"/>
      <c r="AU774" s="453"/>
      <c r="AV774" s="453"/>
      <c r="AW774" s="453"/>
      <c r="AX774" s="453"/>
      <c r="AY774" s="453"/>
      <c r="AZ774" s="453"/>
      <c r="BA774" s="532"/>
      <c r="BB774" s="502"/>
      <c r="BC774" s="503"/>
      <c r="BD774" s="453"/>
      <c r="BE774" s="453"/>
      <c r="BF774" s="470"/>
      <c r="BG774" s="453"/>
      <c r="BH774" s="453"/>
      <c r="BI774" s="453"/>
      <c r="BJ774" s="453"/>
      <c r="BK774" s="453"/>
      <c r="BL774" s="453"/>
      <c r="BM774" s="502"/>
      <c r="BN774" s="503"/>
      <c r="BO774" s="470"/>
      <c r="BP774" s="574"/>
      <c r="BQ774" s="458"/>
      <c r="BR774" s="577"/>
      <c r="BS774" s="615"/>
      <c r="BT774" s="586"/>
    </row>
    <row r="775" s="435" customFormat="1" ht="22" customHeight="1" spans="1:72">
      <c r="A775" s="458" t="s">
        <v>4032</v>
      </c>
      <c r="B775" s="543">
        <v>45954</v>
      </c>
      <c r="C775" s="581">
        <v>1000033324</v>
      </c>
      <c r="D775" s="451"/>
      <c r="E775" s="457"/>
      <c r="F775" s="453"/>
      <c r="G775" s="453"/>
      <c r="H775" s="453"/>
      <c r="I775" s="453"/>
      <c r="J775" s="453"/>
      <c r="K775" s="453"/>
      <c r="L775" s="453"/>
      <c r="M775" s="453"/>
      <c r="N775" s="453"/>
      <c r="O775" s="453"/>
      <c r="P775" s="453"/>
      <c r="Q775" s="453"/>
      <c r="R775" s="550"/>
      <c r="S775" s="453"/>
      <c r="T775" s="453"/>
      <c r="U775" s="453"/>
      <c r="V775" s="453"/>
      <c r="W775" s="453"/>
      <c r="X775" s="453"/>
      <c r="Y775" s="453"/>
      <c r="Z775" s="597"/>
      <c r="AA775" s="489"/>
      <c r="AB775" s="490"/>
      <c r="AC775" s="453"/>
      <c r="AD775" s="453"/>
      <c r="AE775" s="453"/>
      <c r="AF775" s="453"/>
      <c r="AG775" s="453"/>
      <c r="AH775" s="453"/>
      <c r="AI775" s="453"/>
      <c r="AJ775" s="453"/>
      <c r="AK775" s="453">
        <v>10001</v>
      </c>
      <c r="AL775" s="453"/>
      <c r="AM775" s="453"/>
      <c r="AN775" s="453"/>
      <c r="AO775" s="453"/>
      <c r="AP775" s="453"/>
      <c r="AQ775" s="453"/>
      <c r="AR775" s="453"/>
      <c r="AS775" s="453"/>
      <c r="AT775" s="453"/>
      <c r="AU775" s="453"/>
      <c r="AV775" s="453"/>
      <c r="AW775" s="453"/>
      <c r="AX775" s="453"/>
      <c r="AY775" s="453"/>
      <c r="AZ775" s="453"/>
      <c r="BA775" s="532"/>
      <c r="BB775" s="502"/>
      <c r="BC775" s="503"/>
      <c r="BD775" s="453"/>
      <c r="BE775" s="453"/>
      <c r="BF775" s="470"/>
      <c r="BG775" s="453"/>
      <c r="BH775" s="453"/>
      <c r="BI775" s="453"/>
      <c r="BJ775" s="453"/>
      <c r="BK775" s="453"/>
      <c r="BL775" s="453"/>
      <c r="BM775" s="502"/>
      <c r="BN775" s="503"/>
      <c r="BO775" s="470"/>
      <c r="BP775" s="574"/>
      <c r="BQ775" s="458"/>
      <c r="BR775" s="577"/>
      <c r="BS775" s="615"/>
      <c r="BT775" s="586"/>
    </row>
    <row r="776" s="435" customFormat="1" ht="22" customHeight="1" spans="1:72">
      <c r="A776" s="458" t="s">
        <v>4032</v>
      </c>
      <c r="B776" s="543">
        <v>45954</v>
      </c>
      <c r="C776" s="581">
        <v>1000033325</v>
      </c>
      <c r="D776" s="451"/>
      <c r="E776" s="457"/>
      <c r="F776" s="453"/>
      <c r="G776" s="453"/>
      <c r="H776" s="453"/>
      <c r="I776" s="453"/>
      <c r="J776" s="453"/>
      <c r="K776" s="453"/>
      <c r="L776" s="453"/>
      <c r="M776" s="453"/>
      <c r="N776" s="453"/>
      <c r="O776" s="453"/>
      <c r="P776" s="453"/>
      <c r="Q776" s="453"/>
      <c r="R776" s="550"/>
      <c r="S776" s="453"/>
      <c r="T776" s="453"/>
      <c r="U776" s="453"/>
      <c r="V776" s="453"/>
      <c r="W776" s="453"/>
      <c r="X776" s="453"/>
      <c r="Y776" s="453"/>
      <c r="Z776" s="597"/>
      <c r="AA776" s="489"/>
      <c r="AB776" s="490"/>
      <c r="AC776" s="453"/>
      <c r="AD776" s="453"/>
      <c r="AE776" s="453"/>
      <c r="AF776" s="453"/>
      <c r="AG776" s="453"/>
      <c r="AH776" s="453"/>
      <c r="AI776" s="453"/>
      <c r="AJ776" s="453"/>
      <c r="AK776" s="453"/>
      <c r="AL776" s="453"/>
      <c r="AM776" s="453"/>
      <c r="AN776" s="453"/>
      <c r="AO776" s="453"/>
      <c r="AP776" s="453"/>
      <c r="AQ776" s="453"/>
      <c r="AR776" s="453"/>
      <c r="AS776" s="453"/>
      <c r="AT776" s="453"/>
      <c r="AU776" s="453">
        <v>40000</v>
      </c>
      <c r="AV776" s="453"/>
      <c r="AW776" s="453"/>
      <c r="AX776" s="453"/>
      <c r="AY776" s="453"/>
      <c r="AZ776" s="453"/>
      <c r="BA776" s="532"/>
      <c r="BB776" s="502"/>
      <c r="BC776" s="503"/>
      <c r="BD776" s="453"/>
      <c r="BE776" s="453"/>
      <c r="BF776" s="470"/>
      <c r="BG776" s="453"/>
      <c r="BH776" s="453"/>
      <c r="BI776" s="453"/>
      <c r="BJ776" s="453"/>
      <c r="BK776" s="453"/>
      <c r="BL776" s="453"/>
      <c r="BM776" s="502"/>
      <c r="BN776" s="503"/>
      <c r="BO776" s="470"/>
      <c r="BP776" s="574"/>
      <c r="BQ776" s="458"/>
      <c r="BR776" s="577"/>
      <c r="BS776" s="615"/>
      <c r="BT776" s="586"/>
    </row>
    <row r="777" s="435" customFormat="1" ht="22" customHeight="1" spans="1:72">
      <c r="A777" s="458" t="s">
        <v>4032</v>
      </c>
      <c r="B777" s="543">
        <v>45973</v>
      </c>
      <c r="C777" s="595">
        <v>1000034014</v>
      </c>
      <c r="D777" s="451"/>
      <c r="E777" s="457"/>
      <c r="F777" s="453"/>
      <c r="G777" s="453"/>
      <c r="H777" s="453"/>
      <c r="I777" s="453"/>
      <c r="J777" s="453"/>
      <c r="K777" s="453"/>
      <c r="L777" s="453"/>
      <c r="M777" s="453"/>
      <c r="N777" s="453"/>
      <c r="O777" s="453">
        <v>40000</v>
      </c>
      <c r="P777" s="453"/>
      <c r="Q777" s="453"/>
      <c r="R777" s="550"/>
      <c r="S777" s="453"/>
      <c r="T777" s="453"/>
      <c r="U777" s="453"/>
      <c r="V777" s="453"/>
      <c r="W777" s="453"/>
      <c r="X777" s="453"/>
      <c r="Y777" s="453"/>
      <c r="Z777" s="597"/>
      <c r="AA777" s="489"/>
      <c r="AB777" s="490"/>
      <c r="AC777" s="453"/>
      <c r="AD777" s="453"/>
      <c r="AE777" s="453"/>
      <c r="AF777" s="453"/>
      <c r="AG777" s="453"/>
      <c r="AH777" s="453"/>
      <c r="AI777" s="453"/>
      <c r="AJ777" s="453"/>
      <c r="AK777" s="453"/>
      <c r="AL777" s="453"/>
      <c r="AM777" s="453"/>
      <c r="AN777" s="453"/>
      <c r="AO777" s="453"/>
      <c r="AP777" s="453"/>
      <c r="AQ777" s="453"/>
      <c r="AR777" s="453"/>
      <c r="AS777" s="453"/>
      <c r="AT777" s="453"/>
      <c r="AU777" s="453"/>
      <c r="AV777" s="453"/>
      <c r="AW777" s="453"/>
      <c r="AX777" s="453"/>
      <c r="AY777" s="453"/>
      <c r="AZ777" s="453"/>
      <c r="BA777" s="532"/>
      <c r="BB777" s="502"/>
      <c r="BC777" s="503"/>
      <c r="BD777" s="453"/>
      <c r="BE777" s="453"/>
      <c r="BF777" s="470"/>
      <c r="BG777" s="453"/>
      <c r="BH777" s="453"/>
      <c r="BI777" s="453"/>
      <c r="BJ777" s="453"/>
      <c r="BK777" s="453"/>
      <c r="BL777" s="453"/>
      <c r="BM777" s="502"/>
      <c r="BN777" s="503"/>
      <c r="BO777" s="470"/>
      <c r="BP777" s="574"/>
      <c r="BQ777" s="458"/>
      <c r="BR777" s="577"/>
      <c r="BS777" s="615"/>
      <c r="BT777" s="586"/>
    </row>
    <row r="778" s="435" customFormat="1" ht="22" customHeight="1" spans="1:72">
      <c r="A778" s="458" t="s">
        <v>4032</v>
      </c>
      <c r="B778" s="543">
        <v>45973</v>
      </c>
      <c r="C778" s="595">
        <v>1000034015</v>
      </c>
      <c r="D778" s="451"/>
      <c r="E778" s="457"/>
      <c r="F778" s="453"/>
      <c r="G778" s="453"/>
      <c r="H778" s="453"/>
      <c r="I778" s="453"/>
      <c r="J778" s="453"/>
      <c r="K778" s="453"/>
      <c r="L778" s="453"/>
      <c r="M778" s="453"/>
      <c r="N778" s="453"/>
      <c r="O778" s="453"/>
      <c r="P778" s="453"/>
      <c r="Q778" s="453">
        <v>3001</v>
      </c>
      <c r="R778" s="550"/>
      <c r="S778" s="453"/>
      <c r="T778" s="453"/>
      <c r="U778" s="453"/>
      <c r="V778" s="453"/>
      <c r="W778" s="453"/>
      <c r="X778" s="453"/>
      <c r="Y778" s="453"/>
      <c r="Z778" s="597"/>
      <c r="AA778" s="489"/>
      <c r="AB778" s="490"/>
      <c r="AC778" s="453"/>
      <c r="AD778" s="453"/>
      <c r="AE778" s="453"/>
      <c r="AF778" s="453"/>
      <c r="AG778" s="453"/>
      <c r="AH778" s="453"/>
      <c r="AI778" s="453"/>
      <c r="AJ778" s="453"/>
      <c r="AK778" s="453"/>
      <c r="AL778" s="453"/>
      <c r="AM778" s="453"/>
      <c r="AN778" s="453"/>
      <c r="AO778" s="453"/>
      <c r="AP778" s="453"/>
      <c r="AQ778" s="453"/>
      <c r="AR778" s="453"/>
      <c r="AS778" s="453"/>
      <c r="AT778" s="453"/>
      <c r="AU778" s="453"/>
      <c r="AV778" s="453"/>
      <c r="AW778" s="453"/>
      <c r="AX778" s="453"/>
      <c r="AY778" s="453"/>
      <c r="AZ778" s="453"/>
      <c r="BA778" s="532"/>
      <c r="BB778" s="502"/>
      <c r="BC778" s="503"/>
      <c r="BD778" s="453"/>
      <c r="BE778" s="453"/>
      <c r="BF778" s="470"/>
      <c r="BG778" s="453"/>
      <c r="BH778" s="453"/>
      <c r="BI778" s="453"/>
      <c r="BJ778" s="453"/>
      <c r="BK778" s="453"/>
      <c r="BL778" s="453"/>
      <c r="BM778" s="502"/>
      <c r="BN778" s="503"/>
      <c r="BO778" s="470"/>
      <c r="BP778" s="574"/>
      <c r="BQ778" s="458"/>
      <c r="BR778" s="577"/>
      <c r="BS778" s="615"/>
      <c r="BT778" s="586"/>
    </row>
    <row r="779" s="435" customFormat="1" ht="22" customHeight="1" spans="1:72">
      <c r="A779" s="458" t="s">
        <v>4032</v>
      </c>
      <c r="B779" s="543">
        <v>45973</v>
      </c>
      <c r="C779" s="595">
        <v>1000034018</v>
      </c>
      <c r="D779" s="451"/>
      <c r="E779" s="457"/>
      <c r="F779" s="453"/>
      <c r="G779" s="453"/>
      <c r="H779" s="453"/>
      <c r="I779" s="453"/>
      <c r="J779" s="453"/>
      <c r="K779" s="453"/>
      <c r="L779" s="453"/>
      <c r="M779" s="453"/>
      <c r="N779" s="453"/>
      <c r="O779" s="453"/>
      <c r="P779" s="453"/>
      <c r="Q779" s="453"/>
      <c r="R779" s="550"/>
      <c r="S779" s="453"/>
      <c r="T779" s="453">
        <v>80000</v>
      </c>
      <c r="U779" s="453"/>
      <c r="V779" s="453"/>
      <c r="W779" s="453"/>
      <c r="X779" s="453"/>
      <c r="Y779" s="453"/>
      <c r="Z779" s="597"/>
      <c r="AA779" s="489"/>
      <c r="AB779" s="490"/>
      <c r="AC779" s="453"/>
      <c r="AD779" s="453"/>
      <c r="AE779" s="453"/>
      <c r="AF779" s="453"/>
      <c r="AG779" s="453"/>
      <c r="AH779" s="453"/>
      <c r="AI779" s="453"/>
      <c r="AJ779" s="453"/>
      <c r="AK779" s="453"/>
      <c r="AL779" s="453"/>
      <c r="AM779" s="453"/>
      <c r="AN779" s="453"/>
      <c r="AO779" s="453"/>
      <c r="AP779" s="453"/>
      <c r="AQ779" s="453"/>
      <c r="AR779" s="453"/>
      <c r="AS779" s="453"/>
      <c r="AT779" s="453"/>
      <c r="AU779" s="453"/>
      <c r="AV779" s="453"/>
      <c r="AW779" s="453"/>
      <c r="AX779" s="453"/>
      <c r="AY779" s="453"/>
      <c r="AZ779" s="453"/>
      <c r="BA779" s="532"/>
      <c r="BB779" s="502"/>
      <c r="BC779" s="503"/>
      <c r="BD779" s="453"/>
      <c r="BE779" s="453"/>
      <c r="BF779" s="470"/>
      <c r="BG779" s="453"/>
      <c r="BH779" s="453"/>
      <c r="BI779" s="453"/>
      <c r="BJ779" s="453"/>
      <c r="BK779" s="453"/>
      <c r="BL779" s="453"/>
      <c r="BM779" s="502"/>
      <c r="BN779" s="503"/>
      <c r="BO779" s="470"/>
      <c r="BP779" s="574"/>
      <c r="BQ779" s="458"/>
      <c r="BR779" s="577"/>
      <c r="BS779" s="615"/>
      <c r="BT779" s="586"/>
    </row>
    <row r="780" s="435" customFormat="1" ht="22" customHeight="1" spans="1:72">
      <c r="A780" s="458" t="s">
        <v>4032</v>
      </c>
      <c r="B780" s="543">
        <v>45973</v>
      </c>
      <c r="C780" s="595">
        <v>1000034019</v>
      </c>
      <c r="D780" s="451"/>
      <c r="E780" s="457"/>
      <c r="F780" s="453"/>
      <c r="G780" s="453"/>
      <c r="H780" s="453"/>
      <c r="I780" s="453"/>
      <c r="J780" s="453"/>
      <c r="K780" s="453"/>
      <c r="L780" s="453"/>
      <c r="M780" s="453"/>
      <c r="N780" s="453"/>
      <c r="O780" s="453"/>
      <c r="P780" s="453"/>
      <c r="Q780" s="453"/>
      <c r="R780" s="550"/>
      <c r="S780" s="453"/>
      <c r="T780" s="453"/>
      <c r="U780" s="453"/>
      <c r="V780" s="453"/>
      <c r="W780" s="453"/>
      <c r="X780" s="453"/>
      <c r="Y780" s="453"/>
      <c r="Z780" s="597"/>
      <c r="AA780" s="489"/>
      <c r="AB780" s="490"/>
      <c r="AC780" s="453"/>
      <c r="AD780" s="453"/>
      <c r="AE780" s="453"/>
      <c r="AF780" s="453">
        <v>20001</v>
      </c>
      <c r="AG780" s="453"/>
      <c r="AH780" s="453"/>
      <c r="AI780" s="453"/>
      <c r="AJ780" s="453"/>
      <c r="AK780" s="453"/>
      <c r="AL780" s="453"/>
      <c r="AM780" s="453"/>
      <c r="AN780" s="453"/>
      <c r="AO780" s="453"/>
      <c r="AP780" s="453"/>
      <c r="AQ780" s="453"/>
      <c r="AR780" s="453"/>
      <c r="AS780" s="453"/>
      <c r="AT780" s="453"/>
      <c r="AU780" s="453"/>
      <c r="AV780" s="453"/>
      <c r="AW780" s="453"/>
      <c r="AX780" s="453"/>
      <c r="AY780" s="453"/>
      <c r="AZ780" s="453"/>
      <c r="BA780" s="532"/>
      <c r="BB780" s="502"/>
      <c r="BC780" s="503"/>
      <c r="BD780" s="453"/>
      <c r="BE780" s="453"/>
      <c r="BF780" s="470"/>
      <c r="BG780" s="453"/>
      <c r="BH780" s="453"/>
      <c r="BI780" s="453"/>
      <c r="BJ780" s="453"/>
      <c r="BK780" s="453"/>
      <c r="BL780" s="453"/>
      <c r="BM780" s="502"/>
      <c r="BN780" s="503"/>
      <c r="BO780" s="470"/>
      <c r="BP780" s="574"/>
      <c r="BQ780" s="458"/>
      <c r="BR780" s="577"/>
      <c r="BS780" s="615"/>
      <c r="BT780" s="586"/>
    </row>
    <row r="781" s="435" customFormat="1" ht="22" customHeight="1" spans="1:72">
      <c r="A781" s="458" t="s">
        <v>4032</v>
      </c>
      <c r="B781" s="543">
        <v>45973</v>
      </c>
      <c r="C781" s="595">
        <v>1000034020</v>
      </c>
      <c r="D781" s="451"/>
      <c r="E781" s="457"/>
      <c r="F781" s="453"/>
      <c r="G781" s="453"/>
      <c r="H781" s="453"/>
      <c r="I781" s="453"/>
      <c r="J781" s="453"/>
      <c r="K781" s="453"/>
      <c r="L781" s="453"/>
      <c r="M781" s="453"/>
      <c r="N781" s="453"/>
      <c r="O781" s="453"/>
      <c r="P781" s="453"/>
      <c r="Q781" s="453"/>
      <c r="R781" s="550"/>
      <c r="S781" s="453"/>
      <c r="T781" s="453"/>
      <c r="U781" s="453"/>
      <c r="V781" s="453"/>
      <c r="W781" s="453"/>
      <c r="X781" s="453"/>
      <c r="Y781" s="453"/>
      <c r="Z781" s="597"/>
      <c r="AA781" s="489"/>
      <c r="AB781" s="490"/>
      <c r="AC781" s="453"/>
      <c r="AD781" s="453"/>
      <c r="AE781" s="453"/>
      <c r="AF781" s="453"/>
      <c r="AG781" s="453"/>
      <c r="AH781" s="453"/>
      <c r="AI781" s="453"/>
      <c r="AJ781" s="453"/>
      <c r="AK781" s="453"/>
      <c r="AL781" s="453"/>
      <c r="AM781" s="453"/>
      <c r="AN781" s="453"/>
      <c r="AO781" s="453"/>
      <c r="AP781" s="453"/>
      <c r="AQ781" s="453"/>
      <c r="AR781" s="453"/>
      <c r="AS781" s="453"/>
      <c r="AT781" s="453"/>
      <c r="AU781" s="453">
        <v>30001</v>
      </c>
      <c r="AV781" s="453"/>
      <c r="AW781" s="453"/>
      <c r="AX781" s="453"/>
      <c r="AY781" s="453"/>
      <c r="AZ781" s="453"/>
      <c r="BA781" s="532"/>
      <c r="BB781" s="502"/>
      <c r="BC781" s="503"/>
      <c r="BD781" s="453"/>
      <c r="BE781" s="453"/>
      <c r="BF781" s="470"/>
      <c r="BG781" s="453"/>
      <c r="BH781" s="453"/>
      <c r="BI781" s="453"/>
      <c r="BJ781" s="453"/>
      <c r="BK781" s="453"/>
      <c r="BL781" s="453"/>
      <c r="BM781" s="502"/>
      <c r="BN781" s="503"/>
      <c r="BO781" s="470"/>
      <c r="BP781" s="574"/>
      <c r="BQ781" s="458"/>
      <c r="BR781" s="577"/>
      <c r="BS781" s="615"/>
      <c r="BT781" s="586"/>
    </row>
    <row r="782" s="435" customFormat="1" ht="22" customHeight="1" spans="1:72">
      <c r="A782" s="458" t="s">
        <v>4032</v>
      </c>
      <c r="B782" s="543">
        <v>45995</v>
      </c>
      <c r="C782" s="595">
        <v>1000034701</v>
      </c>
      <c r="D782" s="451"/>
      <c r="E782" s="457"/>
      <c r="F782" s="453"/>
      <c r="G782" s="453"/>
      <c r="H782" s="453"/>
      <c r="I782" s="453"/>
      <c r="J782" s="453"/>
      <c r="K782" s="453"/>
      <c r="L782" s="453"/>
      <c r="M782" s="453"/>
      <c r="N782" s="453"/>
      <c r="O782" s="453"/>
      <c r="P782" s="453"/>
      <c r="Q782" s="453"/>
      <c r="R782" s="550"/>
      <c r="S782" s="453"/>
      <c r="T782" s="453">
        <v>40000</v>
      </c>
      <c r="U782" s="453"/>
      <c r="V782" s="453"/>
      <c r="W782" s="453"/>
      <c r="X782" s="453"/>
      <c r="Y782" s="453"/>
      <c r="Z782" s="597"/>
      <c r="AA782" s="489"/>
      <c r="AB782" s="490"/>
      <c r="AC782" s="453"/>
      <c r="AD782" s="453"/>
      <c r="AE782" s="453"/>
      <c r="AF782" s="453"/>
      <c r="AG782" s="453"/>
      <c r="AH782" s="453"/>
      <c r="AI782" s="453"/>
      <c r="AJ782" s="453"/>
      <c r="AK782" s="453"/>
      <c r="AL782" s="453"/>
      <c r="AM782" s="453"/>
      <c r="AN782" s="453"/>
      <c r="AO782" s="453"/>
      <c r="AP782" s="453"/>
      <c r="AQ782" s="453"/>
      <c r="AR782" s="453"/>
      <c r="AS782" s="453"/>
      <c r="AT782" s="453"/>
      <c r="AU782" s="453"/>
      <c r="AV782" s="453"/>
      <c r="AW782" s="453"/>
      <c r="AX782" s="453"/>
      <c r="AY782" s="453"/>
      <c r="AZ782" s="453"/>
      <c r="BA782" s="532"/>
      <c r="BB782" s="502"/>
      <c r="BC782" s="503"/>
      <c r="BD782" s="453"/>
      <c r="BE782" s="453"/>
      <c r="BF782" s="470"/>
      <c r="BG782" s="453"/>
      <c r="BH782" s="453"/>
      <c r="BI782" s="453"/>
      <c r="BJ782" s="453"/>
      <c r="BK782" s="453"/>
      <c r="BL782" s="453"/>
      <c r="BM782" s="502"/>
      <c r="BN782" s="503"/>
      <c r="BO782" s="470"/>
      <c r="BP782" s="574"/>
      <c r="BQ782" s="458"/>
      <c r="BR782" s="577"/>
      <c r="BS782" s="615"/>
      <c r="BT782" s="586"/>
    </row>
    <row r="783" s="435" customFormat="1" ht="22" customHeight="1" spans="1:72">
      <c r="A783" s="458" t="s">
        <v>4032</v>
      </c>
      <c r="B783" s="543">
        <v>45999</v>
      </c>
      <c r="C783" s="595">
        <v>1000034770</v>
      </c>
      <c r="D783" s="451"/>
      <c r="E783" s="457"/>
      <c r="F783" s="453"/>
      <c r="G783" s="453"/>
      <c r="H783" s="453"/>
      <c r="I783" s="453"/>
      <c r="J783" s="453"/>
      <c r="K783" s="453"/>
      <c r="L783" s="453"/>
      <c r="M783" s="453"/>
      <c r="N783" s="453"/>
      <c r="O783" s="453"/>
      <c r="P783" s="453"/>
      <c r="Q783" s="453"/>
      <c r="R783" s="550"/>
      <c r="S783" s="453"/>
      <c r="T783" s="453"/>
      <c r="U783" s="453"/>
      <c r="V783" s="453">
        <v>22426</v>
      </c>
      <c r="W783" s="453"/>
      <c r="X783" s="453"/>
      <c r="Y783" s="453"/>
      <c r="Z783" s="597" t="s">
        <v>4122</v>
      </c>
      <c r="AA783" s="489"/>
      <c r="AB783" s="490"/>
      <c r="AC783" s="453"/>
      <c r="AD783" s="453"/>
      <c r="AE783" s="453"/>
      <c r="AF783" s="453"/>
      <c r="AG783" s="453"/>
      <c r="AH783" s="453"/>
      <c r="AI783" s="453"/>
      <c r="AJ783" s="453"/>
      <c r="AK783" s="453"/>
      <c r="AL783" s="453"/>
      <c r="AM783" s="453"/>
      <c r="AN783" s="453"/>
      <c r="AO783" s="453"/>
      <c r="AP783" s="453"/>
      <c r="AQ783" s="453"/>
      <c r="AR783" s="453"/>
      <c r="AS783" s="453"/>
      <c r="AT783" s="453"/>
      <c r="AU783" s="453"/>
      <c r="AV783" s="453"/>
      <c r="AW783" s="453"/>
      <c r="AX783" s="453"/>
      <c r="AY783" s="453"/>
      <c r="AZ783" s="453"/>
      <c r="BA783" s="532"/>
      <c r="BB783" s="502"/>
      <c r="BC783" s="503"/>
      <c r="BD783" s="453"/>
      <c r="BE783" s="453"/>
      <c r="BF783" s="470"/>
      <c r="BG783" s="453"/>
      <c r="BH783" s="453"/>
      <c r="BI783" s="453"/>
      <c r="BJ783" s="453"/>
      <c r="BK783" s="453"/>
      <c r="BL783" s="453"/>
      <c r="BM783" s="502"/>
      <c r="BN783" s="503"/>
      <c r="BO783" s="470"/>
      <c r="BP783" s="574"/>
      <c r="BQ783" s="458"/>
      <c r="BR783" s="577"/>
      <c r="BS783" s="615"/>
      <c r="BT783" s="586"/>
    </row>
    <row r="784" s="435" customFormat="1" ht="22" customHeight="1" spans="1:72">
      <c r="A784" s="458" t="s">
        <v>4032</v>
      </c>
      <c r="B784" s="543">
        <v>46003</v>
      </c>
      <c r="C784" s="595">
        <v>1000034911</v>
      </c>
      <c r="D784" s="451"/>
      <c r="E784" s="457"/>
      <c r="F784" s="453"/>
      <c r="G784" s="453"/>
      <c r="H784" s="453"/>
      <c r="I784" s="453"/>
      <c r="J784" s="453"/>
      <c r="K784" s="453"/>
      <c r="L784" s="453"/>
      <c r="M784" s="453"/>
      <c r="N784" s="453"/>
      <c r="O784" s="453"/>
      <c r="P784" s="453"/>
      <c r="Q784" s="453"/>
      <c r="R784" s="550"/>
      <c r="S784" s="453"/>
      <c r="T784" s="453"/>
      <c r="U784" s="453"/>
      <c r="V784" s="453"/>
      <c r="W784" s="453"/>
      <c r="X784" s="453"/>
      <c r="Y784" s="453"/>
      <c r="Z784" s="597"/>
      <c r="AA784" s="489"/>
      <c r="AB784" s="490"/>
      <c r="AC784" s="453"/>
      <c r="AD784" s="453"/>
      <c r="AE784" s="453"/>
      <c r="AF784" s="453">
        <v>5500</v>
      </c>
      <c r="AG784" s="453"/>
      <c r="AH784" s="453"/>
      <c r="AI784" s="453"/>
      <c r="AJ784" s="453"/>
      <c r="AK784" s="453"/>
      <c r="AL784" s="453"/>
      <c r="AM784" s="453"/>
      <c r="AN784" s="453"/>
      <c r="AO784" s="453"/>
      <c r="AP784" s="453"/>
      <c r="AQ784" s="453"/>
      <c r="AR784" s="453"/>
      <c r="AS784" s="453"/>
      <c r="AT784" s="453"/>
      <c r="AU784" s="453"/>
      <c r="AV784" s="453"/>
      <c r="AW784" s="453"/>
      <c r="AX784" s="453"/>
      <c r="AY784" s="453"/>
      <c r="AZ784" s="453"/>
      <c r="BA784" s="532"/>
      <c r="BB784" s="502"/>
      <c r="BC784" s="503"/>
      <c r="BD784" s="453"/>
      <c r="BE784" s="453"/>
      <c r="BF784" s="470"/>
      <c r="BG784" s="453"/>
      <c r="BH784" s="453"/>
      <c r="BI784" s="453"/>
      <c r="BJ784" s="453"/>
      <c r="BK784" s="453"/>
      <c r="BL784" s="453"/>
      <c r="BM784" s="502"/>
      <c r="BN784" s="503"/>
      <c r="BO784" s="470"/>
      <c r="BP784" s="574"/>
      <c r="BQ784" s="458"/>
      <c r="BR784" s="577"/>
      <c r="BS784" s="615"/>
      <c r="BT784" s="586"/>
    </row>
    <row r="785" s="435" customFormat="1" ht="22" customHeight="1" spans="1:72">
      <c r="A785" s="458" t="s">
        <v>4032</v>
      </c>
      <c r="B785" s="543">
        <v>46003</v>
      </c>
      <c r="C785" s="595">
        <v>1000034912</v>
      </c>
      <c r="D785" s="451"/>
      <c r="E785" s="457"/>
      <c r="F785" s="453"/>
      <c r="G785" s="453"/>
      <c r="H785" s="453"/>
      <c r="I785" s="453"/>
      <c r="J785" s="453"/>
      <c r="K785" s="453"/>
      <c r="L785" s="453"/>
      <c r="M785" s="453"/>
      <c r="N785" s="453"/>
      <c r="O785" s="453"/>
      <c r="P785" s="453"/>
      <c r="Q785" s="453"/>
      <c r="R785" s="550"/>
      <c r="S785" s="453"/>
      <c r="T785" s="453"/>
      <c r="U785" s="453"/>
      <c r="V785" s="453"/>
      <c r="W785" s="453"/>
      <c r="X785" s="453"/>
      <c r="Y785" s="453"/>
      <c r="Z785" s="597"/>
      <c r="AA785" s="489"/>
      <c r="AB785" s="490"/>
      <c r="AC785" s="453"/>
      <c r="AD785" s="453"/>
      <c r="AE785" s="453"/>
      <c r="AF785" s="453"/>
      <c r="AG785" s="453"/>
      <c r="AH785" s="453"/>
      <c r="AI785" s="453"/>
      <c r="AJ785" s="453"/>
      <c r="AK785" s="453"/>
      <c r="AL785" s="453"/>
      <c r="AM785" s="453"/>
      <c r="AN785" s="453"/>
      <c r="AO785" s="453"/>
      <c r="AP785" s="453"/>
      <c r="AQ785" s="453"/>
      <c r="AR785" s="453"/>
      <c r="AS785" s="453"/>
      <c r="AT785" s="453"/>
      <c r="AU785" s="453">
        <v>4000</v>
      </c>
      <c r="AV785" s="453"/>
      <c r="AW785" s="453"/>
      <c r="AX785" s="453"/>
      <c r="AY785" s="453"/>
      <c r="AZ785" s="453"/>
      <c r="BA785" s="532"/>
      <c r="BB785" s="502"/>
      <c r="BC785" s="503"/>
      <c r="BD785" s="453"/>
      <c r="BE785" s="453"/>
      <c r="BF785" s="470"/>
      <c r="BG785" s="453"/>
      <c r="BH785" s="453"/>
      <c r="BI785" s="453"/>
      <c r="BJ785" s="453"/>
      <c r="BK785" s="453"/>
      <c r="BL785" s="453"/>
      <c r="BM785" s="502"/>
      <c r="BN785" s="503"/>
      <c r="BO785" s="470"/>
      <c r="BP785" s="574"/>
      <c r="BQ785" s="458"/>
      <c r="BR785" s="577"/>
      <c r="BS785" s="615"/>
      <c r="BT785" s="586"/>
    </row>
    <row r="786" s="435" customFormat="1" ht="22" customHeight="1" spans="1:72">
      <c r="A786" s="458" t="s">
        <v>4032</v>
      </c>
      <c r="B786" s="543"/>
      <c r="C786" s="595"/>
      <c r="D786" s="451"/>
      <c r="E786" s="457"/>
      <c r="F786" s="453"/>
      <c r="G786" s="453"/>
      <c r="H786" s="453"/>
      <c r="I786" s="453"/>
      <c r="J786" s="453"/>
      <c r="K786" s="453"/>
      <c r="L786" s="453"/>
      <c r="M786" s="453"/>
      <c r="N786" s="453"/>
      <c r="O786" s="453"/>
      <c r="P786" s="453"/>
      <c r="Q786" s="453"/>
      <c r="R786" s="550"/>
      <c r="S786" s="453"/>
      <c r="T786" s="453"/>
      <c r="U786" s="453"/>
      <c r="V786" s="453">
        <v>25188</v>
      </c>
      <c r="W786" s="453"/>
      <c r="X786" s="453"/>
      <c r="Y786" s="453"/>
      <c r="Z786" s="597" t="s">
        <v>4123</v>
      </c>
      <c r="AA786" s="489"/>
      <c r="AB786" s="490"/>
      <c r="AC786" s="453"/>
      <c r="AD786" s="453"/>
      <c r="AE786" s="453"/>
      <c r="AF786" s="453"/>
      <c r="AG786" s="453"/>
      <c r="AH786" s="453"/>
      <c r="AI786" s="453"/>
      <c r="AJ786" s="453"/>
      <c r="AK786" s="453"/>
      <c r="AL786" s="453"/>
      <c r="AM786" s="453"/>
      <c r="AN786" s="453"/>
      <c r="AO786" s="453"/>
      <c r="AP786" s="453"/>
      <c r="AQ786" s="453"/>
      <c r="AR786" s="453"/>
      <c r="AS786" s="453"/>
      <c r="AT786" s="453"/>
      <c r="AU786" s="453"/>
      <c r="AV786" s="453"/>
      <c r="AW786" s="453"/>
      <c r="AX786" s="453"/>
      <c r="AY786" s="453"/>
      <c r="AZ786" s="453"/>
      <c r="BA786" s="532"/>
      <c r="BB786" s="502"/>
      <c r="BC786" s="503"/>
      <c r="BD786" s="453"/>
      <c r="BE786" s="453"/>
      <c r="BF786" s="470"/>
      <c r="BG786" s="453"/>
      <c r="BH786" s="453"/>
      <c r="BI786" s="453"/>
      <c r="BJ786" s="453"/>
      <c r="BK786" s="453"/>
      <c r="BL786" s="453"/>
      <c r="BM786" s="502"/>
      <c r="BN786" s="503"/>
      <c r="BO786" s="470"/>
      <c r="BP786" s="574"/>
      <c r="BQ786" s="458"/>
      <c r="BR786" s="577"/>
      <c r="BS786" s="615"/>
      <c r="BT786" s="586"/>
    </row>
    <row r="787" s="437" customFormat="1" ht="22" customHeight="1" spans="1:72">
      <c r="A787" s="598" t="s">
        <v>4032</v>
      </c>
      <c r="B787" s="599">
        <v>46022</v>
      </c>
      <c r="C787" s="616">
        <v>1000035466</v>
      </c>
      <c r="D787" s="601"/>
      <c r="E787" s="602"/>
      <c r="F787" s="603"/>
      <c r="G787" s="603"/>
      <c r="H787" s="603"/>
      <c r="I787" s="603"/>
      <c r="J787" s="603"/>
      <c r="K787" s="603"/>
      <c r="L787" s="603"/>
      <c r="M787" s="603"/>
      <c r="N787" s="603"/>
      <c r="O787" s="603"/>
      <c r="P787" s="603"/>
      <c r="Q787" s="603"/>
      <c r="R787" s="605"/>
      <c r="S787" s="603"/>
      <c r="T787" s="603"/>
      <c r="U787" s="603"/>
      <c r="V787" s="603"/>
      <c r="W787" s="603"/>
      <c r="X787" s="603"/>
      <c r="Y787" s="603"/>
      <c r="Z787" s="646"/>
      <c r="AA787" s="607"/>
      <c r="AB787" s="608"/>
      <c r="AC787" s="603"/>
      <c r="AD787" s="603"/>
      <c r="AE787" s="603"/>
      <c r="AF787" s="603">
        <v>13600</v>
      </c>
      <c r="AG787" s="603"/>
      <c r="AH787" s="603"/>
      <c r="AI787" s="603"/>
      <c r="AJ787" s="603"/>
      <c r="AK787" s="603"/>
      <c r="AL787" s="603"/>
      <c r="AM787" s="603"/>
      <c r="AN787" s="603"/>
      <c r="AO787" s="603"/>
      <c r="AP787" s="603"/>
      <c r="AQ787" s="603"/>
      <c r="AR787" s="603"/>
      <c r="AS787" s="603"/>
      <c r="AT787" s="603"/>
      <c r="AU787" s="603"/>
      <c r="AV787" s="603"/>
      <c r="AW787" s="603"/>
      <c r="AX787" s="603"/>
      <c r="AY787" s="603"/>
      <c r="AZ787" s="603"/>
      <c r="BA787" s="609"/>
      <c r="BB787" s="610"/>
      <c r="BC787" s="473"/>
      <c r="BD787" s="603"/>
      <c r="BE787" s="603"/>
      <c r="BF787" s="461"/>
      <c r="BG787" s="603"/>
      <c r="BH787" s="603"/>
      <c r="BI787" s="603"/>
      <c r="BJ787" s="603"/>
      <c r="BK787" s="603"/>
      <c r="BL787" s="603"/>
      <c r="BM787" s="610"/>
      <c r="BN787" s="473"/>
      <c r="BO787" s="461"/>
      <c r="BP787" s="611"/>
      <c r="BQ787" s="598"/>
      <c r="BR787" s="612"/>
      <c r="BS787" s="613"/>
      <c r="BT787" s="614"/>
    </row>
    <row r="788" s="437" customFormat="1" ht="22" customHeight="1" spans="1:72">
      <c r="A788" s="598" t="s">
        <v>4032</v>
      </c>
      <c r="B788" s="599">
        <v>46022</v>
      </c>
      <c r="C788" s="616">
        <v>1000035467</v>
      </c>
      <c r="D788" s="601"/>
      <c r="E788" s="602"/>
      <c r="F788" s="603"/>
      <c r="G788" s="603"/>
      <c r="H788" s="603"/>
      <c r="I788" s="603"/>
      <c r="J788" s="603"/>
      <c r="K788" s="603"/>
      <c r="L788" s="603"/>
      <c r="M788" s="603"/>
      <c r="N788" s="603"/>
      <c r="O788" s="603"/>
      <c r="P788" s="603"/>
      <c r="Q788" s="603"/>
      <c r="R788" s="605"/>
      <c r="S788" s="603"/>
      <c r="T788" s="603"/>
      <c r="U788" s="603"/>
      <c r="V788" s="603"/>
      <c r="W788" s="603"/>
      <c r="X788" s="603"/>
      <c r="Y788" s="603"/>
      <c r="Z788" s="646"/>
      <c r="AA788" s="607"/>
      <c r="AB788" s="608"/>
      <c r="AC788" s="603"/>
      <c r="AD788" s="603"/>
      <c r="AE788" s="603"/>
      <c r="AF788" s="603"/>
      <c r="AG788" s="603"/>
      <c r="AH788" s="603"/>
      <c r="AI788" s="603"/>
      <c r="AJ788" s="603"/>
      <c r="AK788" s="603">
        <v>3001</v>
      </c>
      <c r="AL788" s="603"/>
      <c r="AM788" s="603"/>
      <c r="AN788" s="603"/>
      <c r="AO788" s="603"/>
      <c r="AP788" s="603"/>
      <c r="AQ788" s="603"/>
      <c r="AR788" s="603"/>
      <c r="AS788" s="603"/>
      <c r="AT788" s="603"/>
      <c r="AU788" s="603"/>
      <c r="AV788" s="603"/>
      <c r="AW788" s="603"/>
      <c r="AX788" s="603"/>
      <c r="AY788" s="603"/>
      <c r="AZ788" s="603"/>
      <c r="BA788" s="609"/>
      <c r="BB788" s="610"/>
      <c r="BC788" s="473"/>
      <c r="BD788" s="603"/>
      <c r="BE788" s="603"/>
      <c r="BF788" s="461"/>
      <c r="BG788" s="603"/>
      <c r="BH788" s="603"/>
      <c r="BI788" s="603"/>
      <c r="BJ788" s="603"/>
      <c r="BK788" s="603"/>
      <c r="BL788" s="603"/>
      <c r="BM788" s="610"/>
      <c r="BN788" s="473"/>
      <c r="BO788" s="461"/>
      <c r="BP788" s="611"/>
      <c r="BQ788" s="598"/>
      <c r="BR788" s="612"/>
      <c r="BS788" s="613"/>
      <c r="BT788" s="614"/>
    </row>
    <row r="789" s="437" customFormat="1" ht="22" customHeight="1" spans="1:72">
      <c r="A789" s="598" t="s">
        <v>4032</v>
      </c>
      <c r="B789" s="599">
        <v>46022</v>
      </c>
      <c r="C789" s="616">
        <v>1000035468</v>
      </c>
      <c r="D789" s="601"/>
      <c r="E789" s="602"/>
      <c r="F789" s="603"/>
      <c r="G789" s="603"/>
      <c r="H789" s="603"/>
      <c r="I789" s="603"/>
      <c r="J789" s="603"/>
      <c r="K789" s="603"/>
      <c r="L789" s="603"/>
      <c r="M789" s="603"/>
      <c r="N789" s="603"/>
      <c r="O789" s="603"/>
      <c r="P789" s="603"/>
      <c r="Q789" s="603"/>
      <c r="R789" s="605"/>
      <c r="S789" s="603"/>
      <c r="T789" s="603"/>
      <c r="U789" s="603"/>
      <c r="V789" s="603"/>
      <c r="W789" s="603"/>
      <c r="X789" s="603"/>
      <c r="Y789" s="603"/>
      <c r="Z789" s="646"/>
      <c r="AA789" s="607"/>
      <c r="AB789" s="608"/>
      <c r="AC789" s="603"/>
      <c r="AD789" s="603"/>
      <c r="AE789" s="603"/>
      <c r="AF789" s="603"/>
      <c r="AG789" s="603"/>
      <c r="AH789" s="603"/>
      <c r="AI789" s="603"/>
      <c r="AJ789" s="603"/>
      <c r="AK789" s="603"/>
      <c r="AL789" s="603"/>
      <c r="AM789" s="603"/>
      <c r="AN789" s="603"/>
      <c r="AO789" s="603"/>
      <c r="AP789" s="603"/>
      <c r="AQ789" s="603"/>
      <c r="AR789" s="603"/>
      <c r="AS789" s="603"/>
      <c r="AT789" s="603"/>
      <c r="AU789" s="603">
        <v>19000</v>
      </c>
      <c r="AV789" s="603"/>
      <c r="AW789" s="603"/>
      <c r="AX789" s="603"/>
      <c r="AY789" s="603"/>
      <c r="AZ789" s="603"/>
      <c r="BA789" s="609"/>
      <c r="BB789" s="610"/>
      <c r="BC789" s="473"/>
      <c r="BD789" s="603"/>
      <c r="BE789" s="603"/>
      <c r="BF789" s="461"/>
      <c r="BG789" s="603"/>
      <c r="BH789" s="603"/>
      <c r="BI789" s="603"/>
      <c r="BJ789" s="603"/>
      <c r="BK789" s="603"/>
      <c r="BL789" s="603"/>
      <c r="BM789" s="610"/>
      <c r="BN789" s="473"/>
      <c r="BO789" s="461"/>
      <c r="BP789" s="611"/>
      <c r="BQ789" s="598"/>
      <c r="BR789" s="612"/>
      <c r="BS789" s="613"/>
      <c r="BT789" s="614"/>
    </row>
    <row r="790" s="435" customFormat="1" ht="22" customHeight="1" spans="1:72">
      <c r="A790" s="458"/>
      <c r="B790" s="543"/>
      <c r="C790" s="595"/>
      <c r="D790" s="451"/>
      <c r="E790" s="457"/>
      <c r="F790" s="453"/>
      <c r="G790" s="453"/>
      <c r="H790" s="453"/>
      <c r="I790" s="453"/>
      <c r="J790" s="453"/>
      <c r="K790" s="453"/>
      <c r="L790" s="453"/>
      <c r="M790" s="453"/>
      <c r="N790" s="453"/>
      <c r="O790" s="453"/>
      <c r="P790" s="453"/>
      <c r="Q790" s="453"/>
      <c r="R790" s="550"/>
      <c r="S790" s="453"/>
      <c r="T790" s="453"/>
      <c r="U790" s="453"/>
      <c r="V790" s="453"/>
      <c r="W790" s="453"/>
      <c r="X790" s="453"/>
      <c r="Y790" s="453"/>
      <c r="Z790" s="597"/>
      <c r="AA790" s="489"/>
      <c r="AB790" s="490"/>
      <c r="AC790" s="453"/>
      <c r="AD790" s="453"/>
      <c r="AE790" s="453"/>
      <c r="AF790" s="453"/>
      <c r="AG790" s="453"/>
      <c r="AH790" s="453"/>
      <c r="AI790" s="453"/>
      <c r="AJ790" s="453"/>
      <c r="AK790" s="453"/>
      <c r="AL790" s="453"/>
      <c r="AM790" s="453"/>
      <c r="AN790" s="453"/>
      <c r="AO790" s="453"/>
      <c r="AP790" s="453"/>
      <c r="AQ790" s="453"/>
      <c r="AR790" s="453"/>
      <c r="AS790" s="453"/>
      <c r="AT790" s="453"/>
      <c r="AU790" s="453"/>
      <c r="AV790" s="453"/>
      <c r="AW790" s="453"/>
      <c r="AX790" s="453"/>
      <c r="AY790" s="453"/>
      <c r="AZ790" s="453"/>
      <c r="BA790" s="532"/>
      <c r="BB790" s="502"/>
      <c r="BC790" s="503"/>
      <c r="BD790" s="453"/>
      <c r="BE790" s="453"/>
      <c r="BF790" s="470"/>
      <c r="BG790" s="453"/>
      <c r="BH790" s="453"/>
      <c r="BI790" s="453"/>
      <c r="BJ790" s="453"/>
      <c r="BK790" s="453"/>
      <c r="BL790" s="453"/>
      <c r="BM790" s="502"/>
      <c r="BN790" s="503"/>
      <c r="BO790" s="470"/>
      <c r="BP790" s="574"/>
      <c r="BQ790" s="458"/>
      <c r="BR790" s="577"/>
      <c r="BS790" s="615"/>
      <c r="BT790" s="586"/>
    </row>
    <row r="791" s="435" customFormat="1" ht="22" customHeight="1" spans="1:72">
      <c r="A791" s="458"/>
      <c r="B791" s="543"/>
      <c r="C791" s="595"/>
      <c r="D791" s="451"/>
      <c r="E791" s="457"/>
      <c r="F791" s="453"/>
      <c r="G791" s="453"/>
      <c r="H791" s="453"/>
      <c r="I791" s="453"/>
      <c r="J791" s="453"/>
      <c r="K791" s="453"/>
      <c r="L791" s="453"/>
      <c r="M791" s="453"/>
      <c r="N791" s="453"/>
      <c r="O791" s="453"/>
      <c r="P791" s="453"/>
      <c r="Q791" s="453"/>
      <c r="R791" s="550"/>
      <c r="S791" s="453"/>
      <c r="T791" s="453"/>
      <c r="U791" s="453"/>
      <c r="V791" s="453"/>
      <c r="W791" s="453"/>
      <c r="X791" s="453"/>
      <c r="Y791" s="453"/>
      <c r="Z791" s="597"/>
      <c r="AA791" s="489"/>
      <c r="AB791" s="490"/>
      <c r="AC791" s="453"/>
      <c r="AD791" s="453"/>
      <c r="AE791" s="453"/>
      <c r="AF791" s="453"/>
      <c r="AG791" s="453"/>
      <c r="AH791" s="453"/>
      <c r="AI791" s="453"/>
      <c r="AJ791" s="453"/>
      <c r="AK791" s="453"/>
      <c r="AL791" s="453"/>
      <c r="AM791" s="453"/>
      <c r="AN791" s="453"/>
      <c r="AO791" s="453"/>
      <c r="AP791" s="453"/>
      <c r="AQ791" s="453"/>
      <c r="AR791" s="453"/>
      <c r="AS791" s="453"/>
      <c r="AT791" s="453"/>
      <c r="AU791" s="453"/>
      <c r="AV791" s="453"/>
      <c r="AW791" s="453"/>
      <c r="AX791" s="453"/>
      <c r="AY791" s="453"/>
      <c r="AZ791" s="453"/>
      <c r="BA791" s="532"/>
      <c r="BB791" s="502"/>
      <c r="BC791" s="503"/>
      <c r="BD791" s="453"/>
      <c r="BE791" s="453"/>
      <c r="BF791" s="470"/>
      <c r="BG791" s="453"/>
      <c r="BH791" s="453"/>
      <c r="BI791" s="453"/>
      <c r="BJ791" s="453"/>
      <c r="BK791" s="453"/>
      <c r="BL791" s="453"/>
      <c r="BM791" s="502"/>
      <c r="BN791" s="503"/>
      <c r="BO791" s="470"/>
      <c r="BP791" s="574"/>
      <c r="BQ791" s="458"/>
      <c r="BR791" s="577"/>
      <c r="BS791" s="615"/>
      <c r="BT791" s="586"/>
    </row>
    <row r="792" s="435" customFormat="1" ht="22" customHeight="1" spans="1:72">
      <c r="A792" s="458"/>
      <c r="B792" s="543"/>
      <c r="C792" s="595"/>
      <c r="D792" s="451"/>
      <c r="E792" s="457"/>
      <c r="F792" s="453"/>
      <c r="G792" s="453"/>
      <c r="H792" s="453"/>
      <c r="I792" s="453"/>
      <c r="J792" s="453"/>
      <c r="K792" s="453"/>
      <c r="L792" s="453"/>
      <c r="M792" s="453"/>
      <c r="N792" s="453"/>
      <c r="O792" s="453"/>
      <c r="P792" s="453"/>
      <c r="Q792" s="453"/>
      <c r="R792" s="550"/>
      <c r="S792" s="453"/>
      <c r="T792" s="453"/>
      <c r="U792" s="453"/>
      <c r="V792" s="453"/>
      <c r="W792" s="453"/>
      <c r="X792" s="453"/>
      <c r="Y792" s="453"/>
      <c r="Z792" s="597"/>
      <c r="AA792" s="489"/>
      <c r="AB792" s="490"/>
      <c r="AC792" s="453"/>
      <c r="AD792" s="453"/>
      <c r="AE792" s="453"/>
      <c r="AF792" s="453"/>
      <c r="AG792" s="453"/>
      <c r="AH792" s="453"/>
      <c r="AI792" s="453"/>
      <c r="AJ792" s="453"/>
      <c r="AK792" s="453"/>
      <c r="AL792" s="453"/>
      <c r="AM792" s="453"/>
      <c r="AN792" s="453"/>
      <c r="AO792" s="453"/>
      <c r="AP792" s="453"/>
      <c r="AQ792" s="453"/>
      <c r="AR792" s="453"/>
      <c r="AS792" s="453"/>
      <c r="AT792" s="453"/>
      <c r="AU792" s="453"/>
      <c r="AV792" s="453"/>
      <c r="AW792" s="453"/>
      <c r="AX792" s="453"/>
      <c r="AY792" s="453"/>
      <c r="AZ792" s="453"/>
      <c r="BA792" s="532"/>
      <c r="BB792" s="502"/>
      <c r="BC792" s="503"/>
      <c r="BD792" s="453"/>
      <c r="BE792" s="453"/>
      <c r="BF792" s="470"/>
      <c r="BG792" s="453"/>
      <c r="BH792" s="453"/>
      <c r="BI792" s="453"/>
      <c r="BJ792" s="453"/>
      <c r="BK792" s="453"/>
      <c r="BL792" s="453"/>
      <c r="BM792" s="502"/>
      <c r="BN792" s="503"/>
      <c r="BO792" s="470"/>
      <c r="BP792" s="574"/>
      <c r="BQ792" s="458"/>
      <c r="BR792" s="577"/>
      <c r="BS792" s="615"/>
      <c r="BT792" s="586"/>
    </row>
    <row r="793" s="435" customFormat="1" ht="16" customHeight="1" spans="1:72">
      <c r="A793" s="458"/>
      <c r="B793" s="543"/>
      <c r="C793" s="595"/>
      <c r="D793" s="451"/>
      <c r="E793" s="457"/>
      <c r="F793" s="453"/>
      <c r="G793" s="453"/>
      <c r="H793" s="453"/>
      <c r="I793" s="453"/>
      <c r="J793" s="453"/>
      <c r="K793" s="453"/>
      <c r="L793" s="453"/>
      <c r="M793" s="453"/>
      <c r="N793" s="453"/>
      <c r="O793" s="453"/>
      <c r="P793" s="453"/>
      <c r="Q793" s="453"/>
      <c r="R793" s="550"/>
      <c r="S793" s="453"/>
      <c r="T793" s="453"/>
      <c r="U793" s="453"/>
      <c r="V793" s="453"/>
      <c r="W793" s="453"/>
      <c r="X793" s="453"/>
      <c r="Y793" s="453"/>
      <c r="Z793" s="489"/>
      <c r="AA793" s="489"/>
      <c r="AB793" s="490"/>
      <c r="AC793" s="453"/>
      <c r="AD793" s="453"/>
      <c r="AE793" s="453"/>
      <c r="AF793" s="453"/>
      <c r="AG793" s="453"/>
      <c r="AH793" s="453"/>
      <c r="AI793" s="453"/>
      <c r="AJ793" s="453"/>
      <c r="AK793" s="453"/>
      <c r="AL793" s="453"/>
      <c r="AM793" s="453"/>
      <c r="AN793" s="453"/>
      <c r="AO793" s="453"/>
      <c r="AP793" s="453"/>
      <c r="AQ793" s="453"/>
      <c r="AR793" s="453"/>
      <c r="AS793" s="453"/>
      <c r="AT793" s="453"/>
      <c r="AU793" s="453"/>
      <c r="AV793" s="453"/>
      <c r="AW793" s="453"/>
      <c r="AX793" s="453"/>
      <c r="AY793" s="453"/>
      <c r="AZ793" s="453"/>
      <c r="BA793" s="532"/>
      <c r="BB793" s="502"/>
      <c r="BC793" s="503"/>
      <c r="BD793" s="453"/>
      <c r="BE793" s="453"/>
      <c r="BF793" s="470"/>
      <c r="BG793" s="453"/>
      <c r="BH793" s="453"/>
      <c r="BI793" s="453"/>
      <c r="BJ793" s="453"/>
      <c r="BK793" s="453"/>
      <c r="BL793" s="453"/>
      <c r="BM793" s="502"/>
      <c r="BN793" s="503"/>
      <c r="BO793" s="470"/>
      <c r="BP793" s="574"/>
      <c r="BQ793" s="458"/>
      <c r="BR793" s="577"/>
      <c r="BS793" s="615"/>
      <c r="BT793" s="586"/>
    </row>
    <row r="794" ht="18" customHeight="1" spans="1:72">
      <c r="A794" s="617"/>
      <c r="B794" s="617"/>
      <c r="C794" s="618"/>
      <c r="D794" s="617"/>
      <c r="E794" s="619" t="s">
        <v>4124</v>
      </c>
      <c r="F794" s="619">
        <f t="shared" ref="F794:K794" si="0">SUM(F6:F432)</f>
        <v>78000</v>
      </c>
      <c r="G794" s="619">
        <f t="shared" si="0"/>
        <v>44000</v>
      </c>
      <c r="H794" s="619">
        <f t="shared" si="0"/>
        <v>73000</v>
      </c>
      <c r="I794" s="619">
        <f t="shared" si="0"/>
        <v>169105</v>
      </c>
      <c r="J794" s="619">
        <f t="shared" si="0"/>
        <v>96607</v>
      </c>
      <c r="K794" s="619">
        <f t="shared" si="0"/>
        <v>132204</v>
      </c>
      <c r="L794" s="619">
        <f>SUM(L6:L564)+F794+I794</f>
        <v>499612</v>
      </c>
      <c r="M794" s="619">
        <f>SUM(M6:M564)+G794+J794</f>
        <v>206114</v>
      </c>
      <c r="N794" s="619">
        <f>SUM(N6:N564)+H794+K794</f>
        <v>297210</v>
      </c>
      <c r="O794" s="619">
        <f>SUM(O6:O793)+L794</f>
        <v>869630</v>
      </c>
      <c r="P794" s="619">
        <f>SUM(P6:P793)+M794</f>
        <v>250123</v>
      </c>
      <c r="Q794" s="619">
        <f>SUM(Q27:Q793)+N794</f>
        <v>390823</v>
      </c>
      <c r="R794" s="619">
        <f>SUM(R6:R411)-13500</f>
        <v>464003</v>
      </c>
      <c r="S794" s="619">
        <f>SUM(S6:S564,R794)</f>
        <v>942007</v>
      </c>
      <c r="T794" s="619">
        <f>SUM(T4:T793)+S794</f>
        <v>1622023</v>
      </c>
      <c r="U794" s="619">
        <f>SUM(U767:U793)</f>
        <v>46604</v>
      </c>
      <c r="V794" s="619">
        <f>SUM(V5:V793)</f>
        <v>156860</v>
      </c>
      <c r="W794" s="619">
        <f>SUM(W5:W793)</f>
        <v>5964</v>
      </c>
      <c r="X794" s="619">
        <f>SUM(X5:X793)</f>
        <v>8664</v>
      </c>
      <c r="Y794" s="619"/>
      <c r="Z794" s="647"/>
      <c r="AA794" s="647"/>
      <c r="AB794" s="648">
        <f>SUM(AB6:AB564)+300</f>
        <v>1166300</v>
      </c>
      <c r="AC794" s="619"/>
      <c r="AD794" s="619">
        <f>SUM(AC4:AD432)</f>
        <v>3851001</v>
      </c>
      <c r="AE794" s="619">
        <f>SUM(AE4:AE564)</f>
        <v>518002</v>
      </c>
      <c r="AF794" s="619">
        <f>SUM(AF4:AF793)</f>
        <v>670119</v>
      </c>
      <c r="AG794" s="619">
        <f t="shared" ref="AG794:BB794" si="1">SUM(AG4:AG793)</f>
        <v>155000</v>
      </c>
      <c r="AH794" s="619">
        <f t="shared" si="1"/>
        <v>403001</v>
      </c>
      <c r="AI794" s="619">
        <f t="shared" si="1"/>
        <v>122401</v>
      </c>
      <c r="AJ794" s="619">
        <f t="shared" si="1"/>
        <v>103242</v>
      </c>
      <c r="AK794" s="619">
        <f t="shared" si="1"/>
        <v>188021</v>
      </c>
      <c r="AL794" s="619">
        <f t="shared" si="1"/>
        <v>1259000</v>
      </c>
      <c r="AM794" s="619">
        <f t="shared" si="1"/>
        <v>3035094</v>
      </c>
      <c r="AN794" s="619">
        <f t="shared" si="1"/>
        <v>751000</v>
      </c>
      <c r="AO794" s="619">
        <f t="shared" si="1"/>
        <v>1243000</v>
      </c>
      <c r="AP794" s="619">
        <f t="shared" si="1"/>
        <v>190000</v>
      </c>
      <c r="AQ794" s="619">
        <f t="shared" si="1"/>
        <v>190000</v>
      </c>
      <c r="AR794" s="619">
        <f t="shared" si="1"/>
        <v>169501</v>
      </c>
      <c r="AS794" s="619">
        <f t="shared" si="1"/>
        <v>1002000</v>
      </c>
      <c r="AT794" s="619">
        <f t="shared" si="1"/>
        <v>100002</v>
      </c>
      <c r="AU794" s="619">
        <f t="shared" si="1"/>
        <v>1477009</v>
      </c>
      <c r="AV794" s="619">
        <f t="shared" si="1"/>
        <v>1537700</v>
      </c>
      <c r="AW794" s="619">
        <f t="shared" si="1"/>
        <v>3000</v>
      </c>
      <c r="AX794" s="619">
        <f t="shared" si="1"/>
        <v>27462</v>
      </c>
      <c r="AY794" s="619">
        <f t="shared" si="1"/>
        <v>99372</v>
      </c>
      <c r="AZ794" s="619">
        <f t="shared" si="1"/>
        <v>194454</v>
      </c>
      <c r="BA794" s="619">
        <f t="shared" si="1"/>
        <v>482498</v>
      </c>
      <c r="BB794" s="619">
        <f t="shared" si="1"/>
        <v>565688</v>
      </c>
      <c r="BC794" s="658">
        <f>SUM(BC100:BC411)</f>
        <v>100002</v>
      </c>
      <c r="BD794" s="659">
        <f>SUM(BD4:BD411)</f>
        <v>96003</v>
      </c>
      <c r="BE794" s="659">
        <f>SUM(BE100:BE411)</f>
        <v>32003</v>
      </c>
      <c r="BF794" s="667">
        <f>SUM(BF100:BF411)</f>
        <v>24462</v>
      </c>
      <c r="BG794" s="668">
        <f t="shared" ref="BG794:BL794" si="2">SUM(BG4:BG793)</f>
        <v>36029</v>
      </c>
      <c r="BH794" s="668">
        <f t="shared" si="2"/>
        <v>33004</v>
      </c>
      <c r="BI794" s="668">
        <f t="shared" si="2"/>
        <v>119138</v>
      </c>
      <c r="BJ794" s="668">
        <f t="shared" si="2"/>
        <v>6058</v>
      </c>
      <c r="BK794" s="668">
        <f t="shared" si="2"/>
        <v>0</v>
      </c>
      <c r="BL794" s="668">
        <f t="shared" si="2"/>
        <v>0</v>
      </c>
      <c r="BM794" s="672">
        <f>SUM(BM4:BM705)</f>
        <v>0</v>
      </c>
      <c r="BN794" s="673">
        <f t="shared" ref="BN794:BS794" si="3">SUM(BN4:BN705)</f>
        <v>0</v>
      </c>
      <c r="BO794" s="674">
        <f t="shared" si="3"/>
        <v>0</v>
      </c>
      <c r="BP794" s="675">
        <f>SUM(BP4:BP793)</f>
        <v>9382</v>
      </c>
      <c r="BQ794" s="676">
        <f>SUM(BQ4:BQ793)</f>
        <v>25884</v>
      </c>
      <c r="BR794" s="677">
        <f>SUM(BR4:BR793)</f>
        <v>0</v>
      </c>
      <c r="BS794" s="672">
        <f t="shared" si="3"/>
        <v>200</v>
      </c>
      <c r="BT794" s="659"/>
    </row>
    <row r="795" s="438" customFormat="1" ht="18" customHeight="1" spans="1:72">
      <c r="A795" s="620" t="s">
        <v>4125</v>
      </c>
      <c r="B795" s="620"/>
      <c r="C795" s="621"/>
      <c r="D795" s="620"/>
      <c r="E795" s="622"/>
      <c r="F795" s="622"/>
      <c r="G795" s="622"/>
      <c r="H795" s="622"/>
      <c r="I795" s="622"/>
      <c r="J795" s="622"/>
      <c r="K795" s="622"/>
      <c r="L795" s="622"/>
      <c r="M795" s="622"/>
      <c r="N795" s="622"/>
      <c r="O795" s="622">
        <v>499612</v>
      </c>
      <c r="P795" s="622">
        <v>184254</v>
      </c>
      <c r="Q795" s="622">
        <v>263360</v>
      </c>
      <c r="R795" s="622"/>
      <c r="S795" s="622"/>
      <c r="T795" s="620">
        <v>748744</v>
      </c>
      <c r="U795" s="622"/>
      <c r="V795" s="622"/>
      <c r="W795" s="622"/>
      <c r="X795" s="622"/>
      <c r="Y795" s="622"/>
      <c r="Z795" s="649"/>
      <c r="AA795" s="649"/>
      <c r="AB795" s="650"/>
      <c r="AC795" s="622"/>
      <c r="AD795" s="622"/>
      <c r="AE795" s="622"/>
      <c r="AF795" s="622"/>
      <c r="AG795" s="622"/>
      <c r="AH795" s="622"/>
      <c r="AI795" s="622"/>
      <c r="AJ795" s="622"/>
      <c r="AK795" s="622"/>
      <c r="AL795" s="622"/>
      <c r="AM795" s="622"/>
      <c r="AN795" s="622"/>
      <c r="AO795" s="622"/>
      <c r="AP795" s="622"/>
      <c r="AQ795" s="622"/>
      <c r="AR795" s="622"/>
      <c r="AS795" s="622"/>
      <c r="AT795" s="622"/>
      <c r="AU795" s="622"/>
      <c r="AV795" s="622"/>
      <c r="AW795" s="622"/>
      <c r="AX795" s="622"/>
      <c r="AY795" s="622"/>
      <c r="AZ795" s="622"/>
      <c r="BA795" s="622"/>
      <c r="BB795" s="660"/>
      <c r="BC795" s="661"/>
      <c r="BD795" s="622"/>
      <c r="BE795" s="622"/>
      <c r="BF795" s="640"/>
      <c r="BG795" s="620"/>
      <c r="BH795" s="620"/>
      <c r="BI795" s="620"/>
      <c r="BJ795" s="620"/>
      <c r="BK795" s="620"/>
      <c r="BL795" s="620"/>
      <c r="BM795" s="678"/>
      <c r="BN795" s="650"/>
      <c r="BO795" s="640"/>
      <c r="BP795" s="650"/>
      <c r="BQ795" s="622"/>
      <c r="BR795" s="660"/>
      <c r="BS795" s="661"/>
      <c r="BT795" s="622"/>
    </row>
    <row r="796" s="438" customFormat="1" ht="18" customHeight="1" spans="1:72">
      <c r="A796" s="620" t="s">
        <v>4126</v>
      </c>
      <c r="B796" s="620"/>
      <c r="C796" s="621"/>
      <c r="D796" s="620"/>
      <c r="E796" s="622"/>
      <c r="F796" s="622"/>
      <c r="G796" s="622"/>
      <c r="H796" s="622"/>
      <c r="I796" s="622"/>
      <c r="J796" s="622"/>
      <c r="K796" s="622"/>
      <c r="L796" s="622"/>
      <c r="M796" s="622"/>
      <c r="N796" s="622"/>
      <c r="O796" s="622">
        <v>2501</v>
      </c>
      <c r="P796" s="622">
        <v>23260</v>
      </c>
      <c r="Q796" s="622">
        <v>35108</v>
      </c>
      <c r="R796" s="622"/>
      <c r="S796" s="622"/>
      <c r="T796" s="620">
        <v>195880</v>
      </c>
      <c r="U796" s="640"/>
      <c r="V796" s="622"/>
      <c r="W796" s="622"/>
      <c r="X796" s="622"/>
      <c r="Y796" s="622"/>
      <c r="Z796" s="649"/>
      <c r="AA796" s="649"/>
      <c r="AB796" s="650"/>
      <c r="AC796" s="622"/>
      <c r="AD796" s="622"/>
      <c r="AE796" s="622"/>
      <c r="AF796" s="622">
        <v>114027</v>
      </c>
      <c r="AG796" s="622"/>
      <c r="AH796" s="622"/>
      <c r="AI796" s="622"/>
      <c r="AJ796" s="622">
        <v>58074</v>
      </c>
      <c r="AK796" s="622">
        <v>29988</v>
      </c>
      <c r="AL796" s="622"/>
      <c r="AM796" s="622"/>
      <c r="AN796" s="622"/>
      <c r="AO796" s="622"/>
      <c r="AP796" s="622"/>
      <c r="AQ796" s="622"/>
      <c r="AR796" s="622"/>
      <c r="AS796" s="622"/>
      <c r="AT796" s="622">
        <v>78100</v>
      </c>
      <c r="AU796" s="622">
        <v>291139</v>
      </c>
      <c r="AV796" s="622"/>
      <c r="AW796" s="622"/>
      <c r="AX796" s="622">
        <v>16806</v>
      </c>
      <c r="AY796" s="622">
        <v>37506</v>
      </c>
      <c r="AZ796" s="622">
        <v>265052</v>
      </c>
      <c r="BA796" s="622"/>
      <c r="BB796" s="660"/>
      <c r="BC796" s="661"/>
      <c r="BD796" s="622"/>
      <c r="BE796" s="622"/>
      <c r="BF796" s="640"/>
      <c r="BG796" s="620"/>
      <c r="BH796" s="620"/>
      <c r="BI796" s="620"/>
      <c r="BJ796" s="620"/>
      <c r="BK796" s="620"/>
      <c r="BL796" s="620"/>
      <c r="BM796" s="678"/>
      <c r="BN796" s="650"/>
      <c r="BO796" s="640"/>
      <c r="BP796" s="650"/>
      <c r="BQ796" s="622"/>
      <c r="BR796" s="660"/>
      <c r="BS796" s="661"/>
      <c r="BT796" s="622"/>
    </row>
    <row r="797" s="438" customFormat="1" ht="18" customHeight="1" spans="1:72">
      <c r="A797" s="620" t="s">
        <v>4127</v>
      </c>
      <c r="B797" s="620"/>
      <c r="C797" s="621"/>
      <c r="D797" s="620"/>
      <c r="E797" s="622"/>
      <c r="F797" s="622"/>
      <c r="G797" s="622"/>
      <c r="H797" s="622"/>
      <c r="I797" s="622"/>
      <c r="J797" s="622"/>
      <c r="K797" s="622"/>
      <c r="L797" s="622"/>
      <c r="M797" s="622"/>
      <c r="N797" s="622"/>
      <c r="O797" s="622">
        <v>187186</v>
      </c>
      <c r="P797" s="622">
        <v>27498</v>
      </c>
      <c r="Q797" s="622">
        <v>43514</v>
      </c>
      <c r="R797" s="622">
        <v>0</v>
      </c>
      <c r="S797" s="622">
        <v>0</v>
      </c>
      <c r="T797" s="641">
        <v>286404</v>
      </c>
      <c r="U797" s="642">
        <v>0</v>
      </c>
      <c r="V797" s="622">
        <v>7780</v>
      </c>
      <c r="W797" s="622">
        <v>2898</v>
      </c>
      <c r="X797" s="622">
        <v>3000</v>
      </c>
      <c r="Y797" s="622"/>
      <c r="Z797" s="642"/>
      <c r="AA797" s="649"/>
      <c r="AB797" s="650"/>
      <c r="AC797" s="622"/>
      <c r="AD797" s="622"/>
      <c r="AE797" s="622"/>
      <c r="AF797" s="622">
        <v>284911</v>
      </c>
      <c r="AG797" s="622"/>
      <c r="AH797" s="622"/>
      <c r="AI797" s="622"/>
      <c r="AJ797" s="622"/>
      <c r="AK797" s="622">
        <v>87780</v>
      </c>
      <c r="AL797" s="622"/>
      <c r="AM797" s="622"/>
      <c r="AN797" s="622"/>
      <c r="AO797" s="622"/>
      <c r="AP797" s="622"/>
      <c r="AQ797" s="622"/>
      <c r="AR797" s="622"/>
      <c r="AS797" s="622"/>
      <c r="AT797" s="622"/>
      <c r="AU797" s="622">
        <v>774541</v>
      </c>
      <c r="AV797" s="622"/>
      <c r="AW797" s="622"/>
      <c r="AX797" s="622">
        <v>16722</v>
      </c>
      <c r="AY797" s="622"/>
      <c r="AZ797" s="622"/>
      <c r="BA797" s="622">
        <v>227424</v>
      </c>
      <c r="BB797" s="660"/>
      <c r="BC797" s="661"/>
      <c r="BD797" s="622"/>
      <c r="BE797" s="622"/>
      <c r="BF797" s="640"/>
      <c r="BG797" s="620">
        <v>12738</v>
      </c>
      <c r="BH797" s="620">
        <v>6282</v>
      </c>
      <c r="BI797" s="620">
        <v>47148</v>
      </c>
      <c r="BJ797" s="620">
        <v>2722</v>
      </c>
      <c r="BK797" s="620">
        <v>15024</v>
      </c>
      <c r="BL797" s="620">
        <v>0</v>
      </c>
      <c r="BM797" s="678">
        <v>0</v>
      </c>
      <c r="BN797" s="650">
        <v>0</v>
      </c>
      <c r="BO797" s="640">
        <v>0</v>
      </c>
      <c r="BP797" s="650">
        <v>6948</v>
      </c>
      <c r="BQ797" s="622">
        <v>6156</v>
      </c>
      <c r="BR797" s="660">
        <v>0</v>
      </c>
      <c r="BS797" s="661"/>
      <c r="BT797" s="622"/>
    </row>
    <row r="798" ht="18" customHeight="1" spans="1:72">
      <c r="A798" s="623" t="s">
        <v>4128</v>
      </c>
      <c r="B798" s="623"/>
      <c r="C798" s="624"/>
      <c r="D798" s="623"/>
      <c r="E798" s="625"/>
      <c r="F798" s="625">
        <f>鴨子、鱷魚、金魚排期!AN349+鴨子、鱷魚、金魚排期!AQ349+F813</f>
        <v>78427</v>
      </c>
      <c r="G798" s="625">
        <f>鴨子、鱷魚、金魚排期!AO349+鴨子、鱷魚、金魚排期!AR349+G813</f>
        <v>43711</v>
      </c>
      <c r="H798" s="625">
        <f>鴨子、鱷魚、金魚排期!AP349+鴨子、鱷魚、金魚排期!AS349+H813</f>
        <v>72706</v>
      </c>
      <c r="I798" s="625">
        <f>鴨子、鱷魚、金魚排期!AT349+I813</f>
        <v>276782</v>
      </c>
      <c r="J798" s="625">
        <f>鴨子、鱷魚、金魚排期!AU349+J813</f>
        <v>140251</v>
      </c>
      <c r="K798" s="625">
        <f>鴨子、鱷魚、金魚排期!AV349+K813</f>
        <v>190351</v>
      </c>
      <c r="L798" s="625">
        <f>F798+I798+392</f>
        <v>355601</v>
      </c>
      <c r="M798" s="625">
        <f>G798+J798+292</f>
        <v>184254</v>
      </c>
      <c r="N798" s="625">
        <f>H798+K798+303</f>
        <v>263360</v>
      </c>
      <c r="O798" s="625">
        <f>鴨子、鱷魚、金魚排期!AW349+O795+O796+O797</f>
        <v>869242</v>
      </c>
      <c r="P798" s="625">
        <f>鴨子、鱷魚、金魚排期!AX349+P795+P796+P797</f>
        <v>250714</v>
      </c>
      <c r="Q798" s="625">
        <f>鴨子、鱷魚、金魚排期!AY349+Q795+Q796+Q797</f>
        <v>388037</v>
      </c>
      <c r="R798" s="625"/>
      <c r="S798" s="625">
        <f>鴨子、鱷魚、金魚排期!AK349+S813+N799</f>
        <v>0</v>
      </c>
      <c r="T798" s="437">
        <f>鴨子、鱷魚、金魚排期!AL349+T795+T796+T797</f>
        <v>1616498</v>
      </c>
      <c r="U798" s="437"/>
      <c r="V798" s="598">
        <f>鴨子、鱷魚、金魚排期!BA349+V797</f>
        <v>210320</v>
      </c>
      <c r="W798" s="598">
        <f>鴨子、鱷魚、金魚排期!BB349+W797</f>
        <v>5964</v>
      </c>
      <c r="X798" s="598">
        <f>鴨子、鱷魚、金魚排期!BC349+X797</f>
        <v>11190</v>
      </c>
      <c r="Y798" s="598"/>
      <c r="Z798" s="437"/>
      <c r="AA798" s="651"/>
      <c r="AB798" s="652">
        <f>鯊魚排期!AS332-948+6852-1800+1161878+300</f>
        <v>1166282</v>
      </c>
      <c r="AC798" s="625"/>
      <c r="AD798" s="625">
        <f>鯊魚排期!AT332+鯊魚排期!AU332+948+1800+2931422+299427+700273+4968</f>
        <v>3938838</v>
      </c>
      <c r="AE798" s="625">
        <f>鯊魚排期!AV332+78360+382948</f>
        <v>461308</v>
      </c>
      <c r="AF798" s="625">
        <f>鯊魚排期!AW332</f>
        <v>267778</v>
      </c>
      <c r="AG798" s="625">
        <f>鯊魚排期!AX332-2730+157730</f>
        <v>155000</v>
      </c>
      <c r="AH798" s="625"/>
      <c r="AI798" s="625">
        <f>鯊魚排期!AY332+5000+360986+152946</f>
        <v>518932</v>
      </c>
      <c r="AJ798" s="625">
        <f>鯊魚排期!AZ332+35532</f>
        <v>35532</v>
      </c>
      <c r="AK798" s="625">
        <f>鯊魚排期!BA332</f>
        <v>75438</v>
      </c>
      <c r="AL798" s="625">
        <f>鯊魚排期!AK332-4636+6852+1258414+300</f>
        <v>1260930</v>
      </c>
      <c r="AM798" s="625"/>
      <c r="AN798" s="625"/>
      <c r="AO798" s="625">
        <f>鯊魚排期!AL332+鯊魚排期!AM332+4636+3884524+391723+845993+11688</f>
        <v>5138564</v>
      </c>
      <c r="AP798" s="625">
        <f>鯊魚排期!AN332-2318-8004+200304</f>
        <v>189982</v>
      </c>
      <c r="AQ798" s="625"/>
      <c r="AR798" s="625">
        <f>鯊魚排期!AO332+7954+233560+93984</f>
        <v>335498</v>
      </c>
      <c r="AS798" s="625">
        <f>鯊魚排期!AP332+128460+809626</f>
        <v>938086</v>
      </c>
      <c r="AT798" s="625">
        <f>鯊魚排期!AQ332</f>
        <v>0</v>
      </c>
      <c r="AU798" s="625">
        <f>鯊魚排期!AR332</f>
        <v>412476</v>
      </c>
      <c r="AV798" s="625">
        <v>0</v>
      </c>
      <c r="AW798" s="625"/>
      <c r="AX798" s="625">
        <f>鯊魚排期!BD332</f>
        <v>3216</v>
      </c>
      <c r="AY798" s="625"/>
      <c r="AZ798" s="625"/>
      <c r="BA798" s="625">
        <f>鯊魚排期!BE332+577920+135780</f>
        <v>736100</v>
      </c>
      <c r="BB798" s="662"/>
      <c r="BC798" s="663">
        <f>'#25291'!AE21+97336</f>
        <v>97336</v>
      </c>
      <c r="BD798" s="625">
        <f>'#25291'!AG21+94936</f>
        <v>94936</v>
      </c>
      <c r="BE798" s="625">
        <f>'#25291'!AF21+31428</f>
        <v>31488</v>
      </c>
      <c r="BF798" s="643">
        <f>'#25291'!AH21+24402</f>
        <v>24462</v>
      </c>
      <c r="BG798" s="625">
        <f>'7163-66'!AJ112+BG797</f>
        <v>35556</v>
      </c>
      <c r="BH798" s="625">
        <f>'7163-66'!AK112+BH797</f>
        <v>30990</v>
      </c>
      <c r="BI798" s="625">
        <f>'7163-66'!AL112+BI797</f>
        <v>117084</v>
      </c>
      <c r="BJ798" s="625">
        <f>'7163-66'!AM112+BJ797</f>
        <v>6427</v>
      </c>
      <c r="BK798" s="625">
        <f>'7163-66'!AO112+BK797</f>
        <v>41560</v>
      </c>
      <c r="BL798" s="625">
        <f>'7163-66'!AP112+BL797</f>
        <v>26536</v>
      </c>
      <c r="BM798" s="662">
        <f>'7163-66'!AQ112+BM797</f>
        <v>0</v>
      </c>
      <c r="BN798" s="652">
        <f>'7163-66'!AR112+BN797</f>
        <v>0</v>
      </c>
      <c r="BO798" s="643">
        <f>'7163-66'!AS112+BO797</f>
        <v>0</v>
      </c>
      <c r="BP798" s="652">
        <f>'7163-66'!AT112+BP797</f>
        <v>9432</v>
      </c>
      <c r="BQ798" s="625">
        <f>'7163-66'!AU112+BQ797</f>
        <v>26082</v>
      </c>
      <c r="BR798" s="662">
        <f>'7163-66'!AV112+BR797</f>
        <v>0</v>
      </c>
      <c r="BS798" s="663">
        <f>鯊魚排期!BG332+168+100</f>
        <v>268</v>
      </c>
      <c r="BT798" s="679"/>
    </row>
    <row r="799" ht="18" customHeight="1" spans="1:72">
      <c r="A799" s="626" t="s">
        <v>4129</v>
      </c>
      <c r="B799" s="623"/>
      <c r="C799" s="624"/>
      <c r="D799" s="623"/>
      <c r="E799" s="625"/>
      <c r="F799" s="625">
        <f>樣板訂單!Q33</f>
        <v>389</v>
      </c>
      <c r="G799" s="625">
        <f>樣板訂單!R33</f>
        <v>289</v>
      </c>
      <c r="H799" s="625">
        <f>樣板訂單!S33</f>
        <v>294</v>
      </c>
      <c r="I799" s="625">
        <f>樣板訂單!T33</f>
        <v>3</v>
      </c>
      <c r="J799" s="625">
        <f>樣板訂單!U33</f>
        <v>3</v>
      </c>
      <c r="K799" s="625">
        <f>樣板訂單!V33</f>
        <v>9</v>
      </c>
      <c r="L799" s="625"/>
      <c r="M799" s="625"/>
      <c r="N799" s="625"/>
      <c r="O799" s="625"/>
      <c r="P799" s="625"/>
      <c r="Q799" s="625"/>
      <c r="R799" s="625"/>
      <c r="S799" s="625">
        <f>樣板訂單!W33</f>
        <v>969</v>
      </c>
      <c r="T799" s="625"/>
      <c r="U799" s="643"/>
      <c r="V799" s="625"/>
      <c r="W799" s="625"/>
      <c r="X799" s="625"/>
      <c r="Y799" s="625"/>
      <c r="Z799" s="651"/>
      <c r="AA799" s="651"/>
      <c r="AB799" s="652">
        <f>樣板訂單!X33</f>
        <v>18</v>
      </c>
      <c r="AC799" s="625"/>
      <c r="AD799" s="625"/>
      <c r="AE799" s="625"/>
      <c r="AF799" s="625"/>
      <c r="AG799" s="625">
        <f>樣板訂單!Y33</f>
        <v>0</v>
      </c>
      <c r="AH799" s="625"/>
      <c r="AI799" s="625"/>
      <c r="AJ799" s="625"/>
      <c r="AK799" s="625"/>
      <c r="AL799" s="625">
        <f>樣板訂單!X33</f>
        <v>18</v>
      </c>
      <c r="AM799" s="625"/>
      <c r="AN799" s="625"/>
      <c r="AO799" s="625">
        <v>0</v>
      </c>
      <c r="AP799" s="625">
        <f>樣板訂單!Z33</f>
        <v>18</v>
      </c>
      <c r="AQ799" s="625"/>
      <c r="AR799" s="625">
        <v>0</v>
      </c>
      <c r="AS799" s="625">
        <f>AS794-AS798</f>
        <v>63914</v>
      </c>
      <c r="AT799" s="625">
        <f>AT794-AT798-AT796</f>
        <v>21902</v>
      </c>
      <c r="AU799" s="625">
        <f>AU794-AU798-AU796-AU797</f>
        <v>-1147</v>
      </c>
      <c r="AV799" s="625">
        <f>樣板訂單!Y33</f>
        <v>0</v>
      </c>
      <c r="AW799" s="625"/>
      <c r="AX799" s="625"/>
      <c r="AY799" s="625"/>
      <c r="AZ799" s="625"/>
      <c r="BA799" s="625">
        <v>0</v>
      </c>
      <c r="BB799" s="662"/>
      <c r="BC799" s="663"/>
      <c r="BD799" s="625"/>
      <c r="BE799" s="625"/>
      <c r="BF799" s="643"/>
      <c r="BG799" s="625"/>
      <c r="BH799" s="625"/>
      <c r="BI799" s="625"/>
      <c r="BJ799" s="625"/>
      <c r="BK799" s="625"/>
      <c r="BL799" s="625"/>
      <c r="BM799" s="662"/>
      <c r="BN799" s="652"/>
      <c r="BO799" s="643"/>
      <c r="BP799" s="652"/>
      <c r="BQ799" s="625"/>
      <c r="BR799" s="662"/>
      <c r="BS799" s="663"/>
      <c r="BT799" s="679"/>
    </row>
    <row r="800" s="439" customFormat="1" ht="18" customHeight="1" spans="1:72">
      <c r="A800" s="627" t="s">
        <v>4130</v>
      </c>
      <c r="B800" s="627"/>
      <c r="C800" s="624"/>
      <c r="D800" s="627"/>
      <c r="E800" s="628"/>
      <c r="F800" s="628"/>
      <c r="G800" s="628"/>
      <c r="H800" s="628"/>
      <c r="I800" s="628"/>
      <c r="J800" s="628"/>
      <c r="K800" s="628"/>
      <c r="L800" s="628">
        <f t="shared" ref="L800:Q800" si="4">L794-L798-L799</f>
        <v>144011</v>
      </c>
      <c r="M800" s="628">
        <f t="shared" si="4"/>
        <v>21860</v>
      </c>
      <c r="N800" s="628">
        <f t="shared" si="4"/>
        <v>33850</v>
      </c>
      <c r="O800" s="628">
        <f t="shared" si="4"/>
        <v>388</v>
      </c>
      <c r="P800" s="628">
        <f t="shared" si="4"/>
        <v>-591</v>
      </c>
      <c r="Q800" s="628">
        <f t="shared" si="4"/>
        <v>2786</v>
      </c>
      <c r="R800" s="625"/>
      <c r="S800" s="628">
        <f>S794-S798-S799</f>
        <v>941038</v>
      </c>
      <c r="T800" s="628">
        <f>T794-T798-T799</f>
        <v>5525</v>
      </c>
      <c r="U800" s="644"/>
      <c r="V800" s="628">
        <f>V794-V798</f>
        <v>-53460</v>
      </c>
      <c r="W800" s="628">
        <f>W794-W798</f>
        <v>0</v>
      </c>
      <c r="X800" s="628">
        <f>X794-X798</f>
        <v>-2526</v>
      </c>
      <c r="Y800" s="628"/>
      <c r="Z800" s="653"/>
      <c r="AA800" s="653"/>
      <c r="AB800" s="654">
        <f>AB794-AB798-AB799</f>
        <v>0</v>
      </c>
      <c r="AC800" s="655"/>
      <c r="AD800" s="656">
        <v>0</v>
      </c>
      <c r="AE800" s="656">
        <f>AE794-AE798-AE799</f>
        <v>56694</v>
      </c>
      <c r="AF800" s="656">
        <f>AF794-AF798-AF796-AF797</f>
        <v>3403</v>
      </c>
      <c r="AG800" s="656">
        <f>AG794-AG798-AG799</f>
        <v>0</v>
      </c>
      <c r="AH800" s="657"/>
      <c r="AI800" s="656">
        <v>0</v>
      </c>
      <c r="AJ800" s="656">
        <f>AJ794-AJ796-AJ798</f>
        <v>9636</v>
      </c>
      <c r="AK800" s="656">
        <f>AK794-AK798-AK796-AK797</f>
        <v>-5185</v>
      </c>
      <c r="AL800" s="656">
        <f>AO799+AR799+AS799+AT799</f>
        <v>85816</v>
      </c>
      <c r="AM800" s="656"/>
      <c r="AN800" s="656"/>
      <c r="AO800" s="656"/>
      <c r="AP800" s="656"/>
      <c r="AQ800" s="656"/>
      <c r="AR800" s="656"/>
      <c r="AS800" s="656"/>
      <c r="AT800" s="656"/>
      <c r="AU800" s="656">
        <f>AU799</f>
        <v>-1147</v>
      </c>
      <c r="AV800" s="656">
        <f>AV799</f>
        <v>0</v>
      </c>
      <c r="AW800" s="656"/>
      <c r="AX800" s="656">
        <f>AX794-AX796-AX798-AX797</f>
        <v>-9282</v>
      </c>
      <c r="AY800" s="656">
        <f>AY794-AY796</f>
        <v>61866</v>
      </c>
      <c r="AZ800" s="656"/>
      <c r="BA800" s="656">
        <f>BA794+BB794+AZ794-BA798-BA799-AZ796-BA797</f>
        <v>14064</v>
      </c>
      <c r="BB800" s="664"/>
      <c r="BC800" s="665">
        <f t="shared" ref="BC800:BS800" si="5">BC794-BC798</f>
        <v>2666</v>
      </c>
      <c r="BD800" s="628">
        <f t="shared" si="5"/>
        <v>1067</v>
      </c>
      <c r="BE800" s="628">
        <f t="shared" si="5"/>
        <v>515</v>
      </c>
      <c r="BF800" s="644">
        <f t="shared" si="5"/>
        <v>0</v>
      </c>
      <c r="BG800" s="669">
        <f t="shared" si="5"/>
        <v>473</v>
      </c>
      <c r="BH800" s="669">
        <f t="shared" si="5"/>
        <v>2014</v>
      </c>
      <c r="BI800" s="669">
        <f t="shared" si="5"/>
        <v>2054</v>
      </c>
      <c r="BJ800" s="669">
        <f t="shared" si="5"/>
        <v>-369</v>
      </c>
      <c r="BK800" s="669">
        <f t="shared" si="5"/>
        <v>-41560</v>
      </c>
      <c r="BL800" s="669">
        <f t="shared" si="5"/>
        <v>-26536</v>
      </c>
      <c r="BM800" s="680">
        <f t="shared" si="5"/>
        <v>0</v>
      </c>
      <c r="BN800" s="654">
        <f t="shared" si="5"/>
        <v>0</v>
      </c>
      <c r="BO800" s="681">
        <f t="shared" si="5"/>
        <v>0</v>
      </c>
      <c r="BP800" s="682">
        <f t="shared" si="5"/>
        <v>-50</v>
      </c>
      <c r="BQ800" s="683">
        <f t="shared" si="5"/>
        <v>-198</v>
      </c>
      <c r="BR800" s="684">
        <f t="shared" si="5"/>
        <v>0</v>
      </c>
      <c r="BS800" s="685">
        <f t="shared" si="5"/>
        <v>-68</v>
      </c>
      <c r="BT800" s="686"/>
    </row>
    <row r="801" ht="18" customHeight="1" spans="1:70">
      <c r="A801" s="629"/>
      <c r="B801" s="630"/>
      <c r="C801" s="631"/>
      <c r="D801" s="632"/>
      <c r="E801" s="629"/>
      <c r="F801" s="633"/>
      <c r="G801" s="633"/>
      <c r="H801" s="633"/>
      <c r="I801" s="633"/>
      <c r="J801" s="633"/>
      <c r="K801" s="633"/>
      <c r="L801" s="633"/>
      <c r="M801" s="633"/>
      <c r="N801" s="633"/>
      <c r="O801" s="633"/>
      <c r="P801" s="633"/>
      <c r="Q801" s="633"/>
      <c r="R801" s="633"/>
      <c r="S801" s="633"/>
      <c r="T801" s="633"/>
      <c r="U801" s="645"/>
      <c r="V801" s="645"/>
      <c r="W801" s="645"/>
      <c r="X801" s="634"/>
      <c r="Y801" s="634"/>
      <c r="Z801" s="634"/>
      <c r="AA801" s="634"/>
      <c r="AB801" s="645"/>
      <c r="AC801" s="645"/>
      <c r="AD801" s="645"/>
      <c r="AE801" s="645"/>
      <c r="AF801" s="645"/>
      <c r="AG801" s="645"/>
      <c r="AH801" s="645"/>
      <c r="AI801" s="645"/>
      <c r="AJ801" s="645"/>
      <c r="AK801" s="645"/>
      <c r="AL801" s="645"/>
      <c r="AM801" s="645"/>
      <c r="AN801" s="645"/>
      <c r="AO801" s="645"/>
      <c r="AP801" s="645"/>
      <c r="AQ801" s="645"/>
      <c r="AR801" s="645"/>
      <c r="AS801" s="645"/>
      <c r="AT801" s="645"/>
      <c r="AU801" s="645"/>
      <c r="AV801" s="645"/>
      <c r="AW801" s="666"/>
      <c r="AX801" s="666"/>
      <c r="AY801" s="666"/>
      <c r="AZ801" s="666"/>
      <c r="BA801" s="666"/>
      <c r="BB801" s="666"/>
      <c r="BC801" s="666"/>
      <c r="BD801" s="666"/>
      <c r="BE801" s="666"/>
      <c r="BF801" s="666"/>
      <c r="BG801" s="666"/>
      <c r="BH801" s="666"/>
      <c r="BI801" s="666"/>
      <c r="BJ801" s="666"/>
      <c r="BK801" s="666"/>
      <c r="BL801" s="666"/>
      <c r="BM801" s="666"/>
      <c r="BN801" s="666"/>
      <c r="BO801" s="666"/>
      <c r="BP801" s="666"/>
      <c r="BQ801" s="666"/>
      <c r="BR801" s="666"/>
    </row>
    <row r="802" s="440" customFormat="1" ht="18" customHeight="1" spans="1:70">
      <c r="A802" s="634"/>
      <c r="B802" s="635"/>
      <c r="C802" s="636"/>
      <c r="D802" s="634"/>
      <c r="E802" s="634"/>
      <c r="F802" s="634"/>
      <c r="G802" s="634"/>
      <c r="H802" s="634"/>
      <c r="I802" s="634"/>
      <c r="J802" s="634"/>
      <c r="K802" s="634"/>
      <c r="L802" s="634"/>
      <c r="M802" s="634"/>
      <c r="N802" s="634"/>
      <c r="O802" s="634">
        <v>728395</v>
      </c>
      <c r="P802" s="634">
        <v>239008</v>
      </c>
      <c r="Q802" s="634">
        <v>358906</v>
      </c>
      <c r="R802" s="634"/>
      <c r="S802" s="634">
        <v>0</v>
      </c>
      <c r="T802" s="634">
        <v>1355528</v>
      </c>
      <c r="U802" s="634"/>
      <c r="V802" s="634">
        <v>83898</v>
      </c>
      <c r="W802" s="634">
        <v>3396</v>
      </c>
      <c r="X802" s="634">
        <v>3000</v>
      </c>
      <c r="Y802" s="634"/>
      <c r="Z802" s="634"/>
      <c r="AA802" s="634"/>
      <c r="AB802" s="634"/>
      <c r="AC802" s="634"/>
      <c r="AD802" s="634"/>
      <c r="AE802" s="634"/>
      <c r="AF802" s="634"/>
      <c r="AG802" s="634"/>
      <c r="AH802" s="634"/>
      <c r="AI802" s="634"/>
      <c r="AJ802" s="634"/>
      <c r="AK802" s="634"/>
      <c r="AL802" s="634"/>
      <c r="AM802" s="634"/>
      <c r="AN802" s="634"/>
      <c r="AO802" s="634"/>
      <c r="AP802" s="634"/>
      <c r="AQ802" s="634"/>
      <c r="AR802" s="634"/>
      <c r="AS802" s="634"/>
      <c r="AT802" s="634"/>
      <c r="AU802" s="634"/>
      <c r="AV802" s="634"/>
      <c r="AW802" s="634"/>
      <c r="AX802" s="634"/>
      <c r="AY802" s="634"/>
      <c r="AZ802" s="634"/>
      <c r="BA802" s="634"/>
      <c r="BB802" s="634"/>
      <c r="BC802" s="634"/>
      <c r="BD802" s="634"/>
      <c r="BE802" s="634"/>
      <c r="BF802" s="634"/>
      <c r="BG802" s="634">
        <v>17124</v>
      </c>
      <c r="BH802" s="634">
        <v>7524</v>
      </c>
      <c r="BI802" s="634">
        <v>54396</v>
      </c>
      <c r="BJ802" s="634">
        <v>3620</v>
      </c>
      <c r="BK802" s="634">
        <v>20040</v>
      </c>
      <c r="BL802" s="634">
        <v>5016</v>
      </c>
      <c r="BM802" s="634">
        <v>0</v>
      </c>
      <c r="BN802" s="634">
        <v>0</v>
      </c>
      <c r="BO802" s="634">
        <v>0</v>
      </c>
      <c r="BP802" s="634">
        <v>6948</v>
      </c>
      <c r="BQ802" s="634">
        <v>7776</v>
      </c>
      <c r="BR802" s="634">
        <v>0</v>
      </c>
    </row>
    <row r="803" s="440" customFormat="1" ht="18" customHeight="1" spans="1:70">
      <c r="A803" s="634"/>
      <c r="B803" s="635"/>
      <c r="C803" s="636"/>
      <c r="D803" s="634"/>
      <c r="E803" s="634"/>
      <c r="F803" s="634"/>
      <c r="G803" s="634"/>
      <c r="H803" s="634"/>
      <c r="I803" s="634"/>
      <c r="J803" s="634"/>
      <c r="K803" s="634"/>
      <c r="L803" s="634"/>
      <c r="M803" s="634"/>
      <c r="N803" s="634"/>
      <c r="O803" s="634">
        <f>O802-O798</f>
        <v>-140847</v>
      </c>
      <c r="P803" s="634">
        <f t="shared" ref="P803:X803" si="6">P802-P798</f>
        <v>-11706</v>
      </c>
      <c r="Q803" s="634">
        <f t="shared" si="6"/>
        <v>-29131</v>
      </c>
      <c r="R803" s="634">
        <f t="shared" si="6"/>
        <v>0</v>
      </c>
      <c r="S803" s="634">
        <f t="shared" si="6"/>
        <v>0</v>
      </c>
      <c r="T803" s="634">
        <f t="shared" si="6"/>
        <v>-260970</v>
      </c>
      <c r="U803" s="634">
        <f t="shared" si="6"/>
        <v>0</v>
      </c>
      <c r="V803" s="634">
        <f t="shared" si="6"/>
        <v>-126422</v>
      </c>
      <c r="W803" s="634">
        <f t="shared" si="6"/>
        <v>-2568</v>
      </c>
      <c r="X803" s="634">
        <f t="shared" si="6"/>
        <v>-8190</v>
      </c>
      <c r="Y803" s="634"/>
      <c r="Z803" s="634"/>
      <c r="AA803" s="634"/>
      <c r="AB803" s="634"/>
      <c r="AC803" s="634"/>
      <c r="AD803" s="634"/>
      <c r="AE803" s="634"/>
      <c r="AF803" s="634"/>
      <c r="AG803" s="634"/>
      <c r="AH803" s="634"/>
      <c r="AI803" s="634"/>
      <c r="AJ803" s="634"/>
      <c r="AK803" s="634"/>
      <c r="AL803" s="634"/>
      <c r="AM803" s="634"/>
      <c r="AN803" s="634"/>
      <c r="AO803" s="634"/>
      <c r="AP803" s="634"/>
      <c r="AQ803" s="634"/>
      <c r="AR803" s="634"/>
      <c r="AS803" s="634"/>
      <c r="AT803" s="634"/>
      <c r="AU803" s="634"/>
      <c r="AV803" s="634"/>
      <c r="AW803" s="634"/>
      <c r="AX803" s="634"/>
      <c r="AY803" s="634"/>
      <c r="AZ803" s="634"/>
      <c r="BA803" s="634"/>
      <c r="BB803" s="634"/>
      <c r="BC803" s="634"/>
      <c r="BD803" s="634"/>
      <c r="BE803" s="634"/>
      <c r="BF803" s="634"/>
      <c r="BG803" s="634">
        <f>BG802-BG798</f>
        <v>-18432</v>
      </c>
      <c r="BH803" s="634">
        <f t="shared" ref="BH803:BR803" si="7">BH802-BH798</f>
        <v>-23466</v>
      </c>
      <c r="BI803" s="634">
        <f t="shared" si="7"/>
        <v>-62688</v>
      </c>
      <c r="BJ803" s="634">
        <f t="shared" si="7"/>
        <v>-2807</v>
      </c>
      <c r="BK803" s="634">
        <f t="shared" si="7"/>
        <v>-21520</v>
      </c>
      <c r="BL803" s="634">
        <f t="shared" si="7"/>
        <v>-21520</v>
      </c>
      <c r="BM803" s="634">
        <f t="shared" si="7"/>
        <v>0</v>
      </c>
      <c r="BN803" s="634">
        <f t="shared" si="7"/>
        <v>0</v>
      </c>
      <c r="BO803" s="634">
        <f t="shared" si="7"/>
        <v>0</v>
      </c>
      <c r="BP803" s="634">
        <f t="shared" si="7"/>
        <v>-2484</v>
      </c>
      <c r="BQ803" s="634">
        <f t="shared" si="7"/>
        <v>-18306</v>
      </c>
      <c r="BR803" s="634">
        <f t="shared" si="7"/>
        <v>0</v>
      </c>
    </row>
    <row r="804" s="440" customFormat="1" ht="18" customHeight="1" spans="1:70">
      <c r="A804" s="634"/>
      <c r="B804" s="635"/>
      <c r="C804" s="636"/>
      <c r="D804" s="634"/>
      <c r="E804" s="634"/>
      <c r="F804" s="634"/>
      <c r="G804" s="634"/>
      <c r="H804" s="634"/>
      <c r="I804" s="634"/>
      <c r="J804" s="634"/>
      <c r="K804" s="634"/>
      <c r="L804" s="634"/>
      <c r="M804" s="634"/>
      <c r="N804" s="634"/>
      <c r="O804" s="634"/>
      <c r="P804" s="634"/>
      <c r="Q804" s="634"/>
      <c r="R804" s="634"/>
      <c r="S804" s="634"/>
      <c r="T804" s="634"/>
      <c r="U804" s="634"/>
      <c r="V804" s="634"/>
      <c r="W804" s="634"/>
      <c r="X804" s="634"/>
      <c r="Y804" s="634"/>
      <c r="Z804" s="634"/>
      <c r="AA804" s="634"/>
      <c r="AB804" s="634"/>
      <c r="AC804" s="634"/>
      <c r="AD804" s="634"/>
      <c r="AE804" s="634"/>
      <c r="AF804" s="634"/>
      <c r="AG804" s="634"/>
      <c r="AH804" s="634"/>
      <c r="AI804" s="634"/>
      <c r="AJ804" s="634"/>
      <c r="AK804" s="634"/>
      <c r="AL804" s="634"/>
      <c r="AM804" s="634"/>
      <c r="AN804" s="634"/>
      <c r="AO804" s="634">
        <v>100000</v>
      </c>
      <c r="AP804" s="634"/>
      <c r="AQ804" s="634"/>
      <c r="AR804" s="634"/>
      <c r="AS804" s="634"/>
      <c r="AT804" s="634"/>
      <c r="AU804" s="634"/>
      <c r="AV804" s="634"/>
      <c r="AW804" s="634"/>
      <c r="AX804" s="634"/>
      <c r="AY804" s="634"/>
      <c r="AZ804" s="634"/>
      <c r="BA804" s="634"/>
      <c r="BB804" s="634"/>
      <c r="BC804" s="634"/>
      <c r="BD804" s="634"/>
      <c r="BE804" s="634"/>
      <c r="BF804" s="634"/>
      <c r="BG804" s="634"/>
      <c r="BH804" s="670"/>
      <c r="BI804" s="634"/>
      <c r="BJ804" s="634"/>
      <c r="BK804" s="634"/>
      <c r="BL804" s="634"/>
      <c r="BM804" s="634"/>
      <c r="BN804" s="634"/>
      <c r="BO804" s="634"/>
      <c r="BP804" s="634"/>
      <c r="BQ804" s="634"/>
      <c r="BR804" s="634"/>
    </row>
    <row r="805" s="440" customFormat="1" ht="18" customHeight="1" spans="1:70">
      <c r="A805" s="634"/>
      <c r="B805" s="635"/>
      <c r="C805" s="636"/>
      <c r="D805" s="634"/>
      <c r="E805" s="634"/>
      <c r="F805" s="634"/>
      <c r="G805" s="634"/>
      <c r="H805" s="634"/>
      <c r="I805" s="634"/>
      <c r="J805" s="634"/>
      <c r="K805" s="634"/>
      <c r="L805" s="634"/>
      <c r="M805" s="634"/>
      <c r="N805" s="634"/>
      <c r="O805" s="634"/>
      <c r="P805" s="634"/>
      <c r="Q805" s="634"/>
      <c r="R805" s="634"/>
      <c r="S805" s="634">
        <f>SUM(S14:S419)-13500+AB805</f>
        <v>276500</v>
      </c>
      <c r="T805" s="634"/>
      <c r="U805" s="634"/>
      <c r="V805" s="634"/>
      <c r="W805" s="634"/>
      <c r="X805" s="634"/>
      <c r="Y805" s="634"/>
      <c r="Z805" s="634"/>
      <c r="AA805" s="634"/>
      <c r="AB805" s="634"/>
      <c r="AC805" s="634"/>
      <c r="AD805" s="634"/>
      <c r="AE805" s="634"/>
      <c r="AF805" s="634"/>
      <c r="AG805" s="634"/>
      <c r="AH805" s="634"/>
      <c r="AI805" s="634"/>
      <c r="AJ805" s="634"/>
      <c r="AK805" s="634"/>
      <c r="AL805" s="634"/>
      <c r="AM805" s="634"/>
      <c r="AN805" s="634"/>
      <c r="AO805" s="634"/>
      <c r="AP805" s="634"/>
      <c r="AQ805" s="634"/>
      <c r="AR805" s="634"/>
      <c r="AS805" s="634"/>
      <c r="AT805" s="634"/>
      <c r="AU805" s="634"/>
      <c r="AV805" s="634"/>
      <c r="AW805" s="634"/>
      <c r="AX805" s="634"/>
      <c r="AY805" s="634"/>
      <c r="AZ805" s="634"/>
      <c r="BA805" s="634"/>
      <c r="BB805" s="634"/>
      <c r="BC805" s="634"/>
      <c r="BD805" s="634"/>
      <c r="BE805" s="634"/>
      <c r="BF805" s="634"/>
      <c r="BG805" s="634"/>
      <c r="BH805" s="634"/>
      <c r="BI805" s="634"/>
      <c r="BJ805" s="634"/>
      <c r="BK805" s="634"/>
      <c r="BL805" s="634"/>
      <c r="BM805" s="634"/>
      <c r="BN805" s="634"/>
      <c r="BO805" s="634"/>
      <c r="BP805" s="634"/>
      <c r="BQ805" s="634"/>
      <c r="BR805" s="634"/>
    </row>
    <row r="809" spans="6:70">
      <c r="F809" s="453" t="s">
        <v>3980</v>
      </c>
      <c r="G809" s="453" t="s">
        <v>3981</v>
      </c>
      <c r="H809" s="453" t="s">
        <v>3982</v>
      </c>
      <c r="I809" s="453" t="s">
        <v>3980</v>
      </c>
      <c r="J809" s="453" t="s">
        <v>3981</v>
      </c>
      <c r="K809" s="453" t="s">
        <v>3982</v>
      </c>
      <c r="L809" s="453" t="s">
        <v>3980</v>
      </c>
      <c r="M809" s="453" t="s">
        <v>3981</v>
      </c>
      <c r="N809" s="453" t="s">
        <v>3982</v>
      </c>
      <c r="BG809" s="671"/>
      <c r="BH809" s="671"/>
      <c r="BI809" s="671"/>
      <c r="BJ809" s="671"/>
      <c r="BK809" s="671"/>
      <c r="BL809" s="671"/>
      <c r="BM809" s="687" t="s">
        <v>1446</v>
      </c>
      <c r="BN809" s="687"/>
      <c r="BO809" s="687"/>
      <c r="BP809" s="687"/>
      <c r="BQ809" s="688"/>
      <c r="BR809" s="688"/>
    </row>
    <row r="810" ht="25.5" spans="6:70">
      <c r="F810" s="453" t="s">
        <v>3986</v>
      </c>
      <c r="G810" s="453" t="s">
        <v>3987</v>
      </c>
      <c r="H810" s="453" t="s">
        <v>3988</v>
      </c>
      <c r="I810" s="453" t="s">
        <v>3986</v>
      </c>
      <c r="J810" s="453" t="s">
        <v>3987</v>
      </c>
      <c r="K810" s="453" t="s">
        <v>3988</v>
      </c>
      <c r="L810" s="453" t="s">
        <v>3986</v>
      </c>
      <c r="M810" s="453" t="s">
        <v>3987</v>
      </c>
      <c r="N810" s="453" t="s">
        <v>3988</v>
      </c>
      <c r="BG810" s="474"/>
      <c r="BH810" s="474"/>
      <c r="BI810" s="474"/>
      <c r="BJ810" s="474" t="s">
        <v>1467</v>
      </c>
      <c r="BK810" s="474" t="s">
        <v>1468</v>
      </c>
      <c r="BL810" s="474" t="s">
        <v>4012</v>
      </c>
      <c r="BM810" s="474" t="s">
        <v>1470</v>
      </c>
      <c r="BN810" s="474" t="s">
        <v>4131</v>
      </c>
      <c r="BO810" s="474" t="s">
        <v>4131</v>
      </c>
      <c r="BP810" s="687" t="s">
        <v>4132</v>
      </c>
      <c r="BQ810" s="688"/>
      <c r="BR810" s="688"/>
    </row>
    <row r="811" ht="14.25" spans="6:70">
      <c r="F811" s="453" t="s">
        <v>4015</v>
      </c>
      <c r="G811" s="453" t="s">
        <v>4016</v>
      </c>
      <c r="H811" s="453" t="s">
        <v>4017</v>
      </c>
      <c r="I811" s="453" t="s">
        <v>4015</v>
      </c>
      <c r="J811" s="453" t="s">
        <v>4016</v>
      </c>
      <c r="K811" s="453" t="s">
        <v>4017</v>
      </c>
      <c r="L811" s="453" t="s">
        <v>4015</v>
      </c>
      <c r="M811" s="453" t="s">
        <v>4016</v>
      </c>
      <c r="N811" s="453" t="s">
        <v>4017</v>
      </c>
      <c r="BG811" s="402"/>
      <c r="BH811" s="402"/>
      <c r="BI811" s="402"/>
      <c r="BJ811" s="402">
        <v>233208</v>
      </c>
      <c r="BK811" s="402">
        <v>2400</v>
      </c>
      <c r="BL811" s="402">
        <v>0</v>
      </c>
      <c r="BM811" s="402">
        <v>83540</v>
      </c>
      <c r="BN811" s="402">
        <v>84820</v>
      </c>
      <c r="BO811" s="402">
        <v>84820</v>
      </c>
      <c r="BP811" s="402">
        <v>9450</v>
      </c>
      <c r="BQ811" s="78"/>
      <c r="BR811" s="78"/>
    </row>
    <row r="812" ht="14.25" spans="6:70">
      <c r="F812" s="402">
        <v>78427</v>
      </c>
      <c r="G812" s="402">
        <v>43711</v>
      </c>
      <c r="H812" s="402">
        <v>72706</v>
      </c>
      <c r="I812" s="402">
        <v>305314</v>
      </c>
      <c r="J812" s="402">
        <v>146763</v>
      </c>
      <c r="K812" s="402">
        <v>200475</v>
      </c>
      <c r="L812" s="402">
        <v>383741</v>
      </c>
      <c r="M812" s="402">
        <v>190474</v>
      </c>
      <c r="N812" s="402">
        <v>273181</v>
      </c>
      <c r="BG812" s="637"/>
      <c r="BH812" s="637"/>
      <c r="BI812" s="637"/>
      <c r="BJ812" s="637">
        <v>218208</v>
      </c>
      <c r="BK812" s="637">
        <v>2400</v>
      </c>
      <c r="BL812" s="637">
        <v>0</v>
      </c>
      <c r="BM812" s="637">
        <v>78420</v>
      </c>
      <c r="BN812" s="637">
        <v>79700</v>
      </c>
      <c r="BO812" s="637">
        <v>79700</v>
      </c>
      <c r="BP812" s="637">
        <v>2988</v>
      </c>
      <c r="BQ812" s="689"/>
      <c r="BR812" s="689"/>
    </row>
    <row r="813" ht="13.5" spans="6:70">
      <c r="F813" s="637">
        <v>78427</v>
      </c>
      <c r="G813" s="637">
        <v>43711</v>
      </c>
      <c r="H813" s="637">
        <v>72706</v>
      </c>
      <c r="I813" s="637">
        <v>276782</v>
      </c>
      <c r="J813" s="637">
        <v>140251</v>
      </c>
      <c r="K813" s="637">
        <v>190351</v>
      </c>
      <c r="L813" s="637">
        <v>355209</v>
      </c>
      <c r="M813" s="637">
        <v>183962</v>
      </c>
      <c r="N813" s="637">
        <v>263057</v>
      </c>
      <c r="BG813" s="638"/>
      <c r="BH813" s="638"/>
      <c r="BI813" s="638"/>
      <c r="BJ813" s="638">
        <v>15000</v>
      </c>
      <c r="BK813" s="638">
        <v>0</v>
      </c>
      <c r="BL813" s="638">
        <v>0</v>
      </c>
      <c r="BM813" s="638">
        <v>5120</v>
      </c>
      <c r="BN813" s="638">
        <v>5120</v>
      </c>
      <c r="BO813" s="638">
        <v>5120</v>
      </c>
      <c r="BP813" s="638">
        <v>6462</v>
      </c>
      <c r="BQ813" s="690"/>
      <c r="BR813" s="690"/>
    </row>
    <row r="814" ht="13.5" spans="6:70">
      <c r="F814" s="638">
        <v>0</v>
      </c>
      <c r="G814" s="638">
        <v>0</v>
      </c>
      <c r="H814" s="638">
        <v>0</v>
      </c>
      <c r="I814" s="638">
        <v>28532</v>
      </c>
      <c r="J814" s="638">
        <v>6512</v>
      </c>
      <c r="K814" s="638">
        <v>10124</v>
      </c>
      <c r="L814" s="638">
        <v>28532</v>
      </c>
      <c r="M814" s="638">
        <v>6512</v>
      </c>
      <c r="N814" s="638">
        <v>10124</v>
      </c>
      <c r="BG814" s="639"/>
      <c r="BH814" s="639"/>
      <c r="BI814" s="639"/>
      <c r="BJ814" s="639">
        <f t="shared" ref="BJ814:BP814" si="8">SUM(BJ812:BJ813)</f>
        <v>233208</v>
      </c>
      <c r="BK814" s="639">
        <f t="shared" si="8"/>
        <v>2400</v>
      </c>
      <c r="BL814" s="639">
        <f t="shared" si="8"/>
        <v>0</v>
      </c>
      <c r="BM814" s="639">
        <f t="shared" si="8"/>
        <v>83540</v>
      </c>
      <c r="BN814" s="639">
        <f t="shared" si="8"/>
        <v>84820</v>
      </c>
      <c r="BO814" s="639">
        <f t="shared" si="8"/>
        <v>84820</v>
      </c>
      <c r="BP814" s="639">
        <f t="shared" si="8"/>
        <v>9450</v>
      </c>
      <c r="BQ814" s="691"/>
      <c r="BR814" s="691"/>
    </row>
    <row r="815" ht="13.5" spans="6:70">
      <c r="F815" s="639"/>
      <c r="G815" s="639"/>
      <c r="H815" s="639"/>
      <c r="I815" s="639"/>
      <c r="J815" s="639"/>
      <c r="K815" s="639"/>
      <c r="L815" s="639"/>
      <c r="M815" s="639"/>
      <c r="N815" s="639"/>
      <c r="BG815" s="639"/>
      <c r="BH815" s="639"/>
      <c r="BI815" s="639"/>
      <c r="BJ815" s="639">
        <f t="shared" ref="BJ815:BP815" si="9">BJ811-BJ814</f>
        <v>0</v>
      </c>
      <c r="BK815" s="639">
        <f t="shared" si="9"/>
        <v>0</v>
      </c>
      <c r="BL815" s="639">
        <f t="shared" si="9"/>
        <v>0</v>
      </c>
      <c r="BM815" s="639">
        <f t="shared" si="9"/>
        <v>0</v>
      </c>
      <c r="BN815" s="639">
        <f t="shared" si="9"/>
        <v>0</v>
      </c>
      <c r="BO815" s="639">
        <f t="shared" si="9"/>
        <v>0</v>
      </c>
      <c r="BP815" s="639">
        <f t="shared" si="9"/>
        <v>0</v>
      </c>
      <c r="BQ815" s="691"/>
      <c r="BR815" s="691"/>
    </row>
    <row r="816" ht="13.5" spans="6:14">
      <c r="F816" s="639">
        <f t="shared" ref="F816:P816" si="10">SUM(F813:F814)-F815</f>
        <v>78427</v>
      </c>
      <c r="G816" s="639">
        <f t="shared" si="10"/>
        <v>43711</v>
      </c>
      <c r="H816" s="639">
        <f t="shared" si="10"/>
        <v>72706</v>
      </c>
      <c r="I816" s="639">
        <f t="shared" si="10"/>
        <v>305314</v>
      </c>
      <c r="J816" s="639">
        <f t="shared" si="10"/>
        <v>146763</v>
      </c>
      <c r="K816" s="639">
        <f t="shared" si="10"/>
        <v>200475</v>
      </c>
      <c r="L816" s="639">
        <f t="shared" si="10"/>
        <v>383741</v>
      </c>
      <c r="M816" s="639">
        <f t="shared" si="10"/>
        <v>190474</v>
      </c>
      <c r="N816" s="639">
        <f t="shared" si="10"/>
        <v>273181</v>
      </c>
    </row>
    <row r="817" ht="13.5" spans="6:14">
      <c r="F817" s="639">
        <f t="shared" ref="F817:P817" si="11">F812-F816</f>
        <v>0</v>
      </c>
      <c r="G817" s="639">
        <f t="shared" si="11"/>
        <v>0</v>
      </c>
      <c r="H817" s="639">
        <f t="shared" si="11"/>
        <v>0</v>
      </c>
      <c r="I817" s="639">
        <f t="shared" si="11"/>
        <v>0</v>
      </c>
      <c r="J817" s="639">
        <f t="shared" si="11"/>
        <v>0</v>
      </c>
      <c r="K817" s="639">
        <f t="shared" si="11"/>
        <v>0</v>
      </c>
      <c r="L817" s="639">
        <f t="shared" si="11"/>
        <v>0</v>
      </c>
      <c r="M817" s="639">
        <f t="shared" si="11"/>
        <v>0</v>
      </c>
      <c r="N817" s="639">
        <f t="shared" si="11"/>
        <v>0</v>
      </c>
    </row>
  </sheetData>
  <autoFilter xmlns:etc="http://www.wps.cn/officeDocument/2017/etCustomData" ref="A3:BU789" etc:filterBottomFollowUsedRange="0">
    <extLst/>
  </autoFilter>
  <mergeCells count="25">
    <mergeCell ref="A1:BT1"/>
    <mergeCell ref="AB2:BA2"/>
    <mergeCell ref="BC2:BF2"/>
    <mergeCell ref="BG2:BM2"/>
    <mergeCell ref="BP2:BR2"/>
    <mergeCell ref="BS2:BT2"/>
    <mergeCell ref="V3:X3"/>
    <mergeCell ref="AB3:AF3"/>
    <mergeCell ref="AG3:AK3"/>
    <mergeCell ref="AL3:AO3"/>
    <mergeCell ref="AP3:AR3"/>
    <mergeCell ref="AS3:AU3"/>
    <mergeCell ref="AB4:BA4"/>
    <mergeCell ref="F5:H5"/>
    <mergeCell ref="I5:K5"/>
    <mergeCell ref="L5:N5"/>
    <mergeCell ref="O5:Q5"/>
    <mergeCell ref="AZ796:BB796"/>
    <mergeCell ref="AL800:AT800"/>
    <mergeCell ref="BM809:BN809"/>
    <mergeCell ref="A2:A4"/>
    <mergeCell ref="B2:B4"/>
    <mergeCell ref="C2:C4"/>
    <mergeCell ref="D2:D4"/>
    <mergeCell ref="E2:E4"/>
  </mergeCells>
  <pageMargins left="0.39" right="0.39" top="0.98" bottom="0.98" header="0.51" footer="0.51"/>
  <pageSetup paperSize="9" orientation="portrait"/>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204"/>
  <sheetViews>
    <sheetView zoomScale="85" zoomScaleNormal="85" workbookViewId="0">
      <pane ySplit="4" topLeftCell="A159" activePane="bottomLeft" state="frozen"/>
      <selection/>
      <selection pane="bottomLeft" activeCell="J199" sqref="J199"/>
    </sheetView>
  </sheetViews>
  <sheetFormatPr defaultColWidth="9" defaultRowHeight="14.25"/>
  <cols>
    <col min="1" max="1" width="14.225" style="322" customWidth="1"/>
    <col min="2" max="2" width="14.75" style="322" customWidth="1"/>
    <col min="3" max="3" width="10.25" style="322" customWidth="1"/>
    <col min="4" max="4" width="15.875" style="322" customWidth="1"/>
    <col min="5" max="5" width="10.25" style="322" customWidth="1"/>
    <col min="6" max="6" width="8.125" style="322" customWidth="1"/>
    <col min="7" max="9" width="10.25" style="322" customWidth="1"/>
    <col min="10" max="14" width="10.125" style="322" customWidth="1"/>
    <col min="15" max="15" width="10.4916666666667" style="322" customWidth="1"/>
    <col min="16" max="16" width="1.125" style="322" customWidth="1"/>
    <col min="17" max="17" width="21.6416666666667" style="322" customWidth="1"/>
    <col min="18" max="18" width="14.75" style="322" customWidth="1"/>
    <col min="19" max="19" width="13.3" style="322"/>
    <col min="20" max="21" width="9.5" style="322" customWidth="1"/>
    <col min="22" max="22" width="11" style="322" customWidth="1"/>
    <col min="23" max="23" width="9" style="322"/>
    <col min="24" max="24" width="17.175" style="322" customWidth="1"/>
    <col min="25" max="25" width="28.4666666666667" style="322" customWidth="1"/>
    <col min="26" max="26" width="23.575" style="322" customWidth="1"/>
    <col min="27" max="27" width="9" style="322"/>
    <col min="28" max="28" width="10.2166666666667" style="322" customWidth="1"/>
    <col min="29" max="29" width="15.8916666666667" style="322" customWidth="1"/>
    <col min="30" max="16384" width="9" style="322"/>
  </cols>
  <sheetData>
    <row r="1" ht="30" customHeight="1" spans="1:24">
      <c r="A1" s="324" t="s">
        <v>4133</v>
      </c>
      <c r="B1" s="325"/>
      <c r="C1" s="325"/>
      <c r="D1" s="325"/>
      <c r="E1" s="325"/>
      <c r="F1" s="325"/>
      <c r="G1" s="325"/>
      <c r="H1" s="325"/>
      <c r="I1" s="325"/>
      <c r="J1" s="325"/>
      <c r="K1" s="325"/>
      <c r="L1" s="340"/>
      <c r="M1" s="340"/>
      <c r="N1" s="340"/>
      <c r="O1" s="341"/>
      <c r="Q1" s="355" t="s">
        <v>4134</v>
      </c>
      <c r="R1" s="355"/>
      <c r="S1" s="355"/>
      <c r="T1" s="355"/>
      <c r="U1" s="355"/>
      <c r="V1" s="355"/>
      <c r="W1" s="355"/>
      <c r="X1" s="355"/>
    </row>
    <row r="2" ht="12" customHeight="1" spans="1:24">
      <c r="A2" s="326" t="s">
        <v>4135</v>
      </c>
      <c r="B2" s="327" t="s">
        <v>4136</v>
      </c>
      <c r="C2" s="326" t="s">
        <v>3980</v>
      </c>
      <c r="D2" s="326" t="s">
        <v>3981</v>
      </c>
      <c r="E2" s="326" t="s">
        <v>3982</v>
      </c>
      <c r="F2" s="328" t="s">
        <v>4137</v>
      </c>
      <c r="G2" s="329" t="s">
        <v>3983</v>
      </c>
      <c r="H2" s="330"/>
      <c r="I2" s="342"/>
      <c r="J2" s="343" t="s">
        <v>4138</v>
      </c>
      <c r="K2" s="326" t="s">
        <v>3984</v>
      </c>
      <c r="L2" s="326">
        <v>7163</v>
      </c>
      <c r="M2" s="326"/>
      <c r="N2" s="326"/>
      <c r="O2" s="344" t="s">
        <v>4139</v>
      </c>
      <c r="Q2" s="356" t="s">
        <v>4135</v>
      </c>
      <c r="R2" s="357" t="s">
        <v>4136</v>
      </c>
      <c r="S2" s="356" t="s">
        <v>4140</v>
      </c>
      <c r="T2" s="356" t="s">
        <v>3982</v>
      </c>
      <c r="U2" s="356" t="s">
        <v>3983</v>
      </c>
      <c r="V2" s="322" t="s">
        <v>3984</v>
      </c>
      <c r="W2" s="322" t="s">
        <v>3984</v>
      </c>
      <c r="X2" s="322">
        <v>7163</v>
      </c>
    </row>
    <row r="3" ht="27" spans="1:24">
      <c r="A3" s="326"/>
      <c r="B3" s="326"/>
      <c r="C3" s="331" t="s">
        <v>4141</v>
      </c>
      <c r="D3" s="331" t="s">
        <v>4142</v>
      </c>
      <c r="E3" s="331" t="s">
        <v>4143</v>
      </c>
      <c r="F3" s="328"/>
      <c r="G3" s="332" t="s">
        <v>3141</v>
      </c>
      <c r="H3" s="332" t="s">
        <v>2042</v>
      </c>
      <c r="I3" s="332" t="s">
        <v>2063</v>
      </c>
      <c r="J3" s="345"/>
      <c r="K3" s="332" t="s">
        <v>3247</v>
      </c>
      <c r="L3" s="332" t="s">
        <v>4144</v>
      </c>
      <c r="M3" s="332" t="s">
        <v>4145</v>
      </c>
      <c r="N3" s="332" t="s">
        <v>4146</v>
      </c>
      <c r="O3" s="346"/>
      <c r="Q3" s="326"/>
      <c r="R3" s="326"/>
      <c r="S3" s="332" t="s">
        <v>4147</v>
      </c>
      <c r="T3" s="331" t="s">
        <v>4143</v>
      </c>
      <c r="U3" s="331" t="s">
        <v>2119</v>
      </c>
      <c r="V3" s="358" t="s">
        <v>4148</v>
      </c>
      <c r="W3" s="358" t="s">
        <v>4149</v>
      </c>
      <c r="X3" s="358" t="s">
        <v>4149</v>
      </c>
    </row>
    <row r="4" ht="28.5" spans="1:21">
      <c r="A4" s="326"/>
      <c r="B4" s="326"/>
      <c r="C4" s="331" t="s">
        <v>3986</v>
      </c>
      <c r="D4" s="331" t="s">
        <v>3987</v>
      </c>
      <c r="E4" s="331" t="s">
        <v>3988</v>
      </c>
      <c r="F4" s="328"/>
      <c r="G4" s="333" t="s">
        <v>4150</v>
      </c>
      <c r="H4" s="334"/>
      <c r="I4" s="347"/>
      <c r="J4" s="345"/>
      <c r="K4" s="348" t="s">
        <v>4151</v>
      </c>
      <c r="L4" s="349"/>
      <c r="M4" s="349"/>
      <c r="N4" s="350"/>
      <c r="O4" s="346"/>
      <c r="Q4" s="326"/>
      <c r="R4" s="326"/>
      <c r="S4" s="331" t="s">
        <v>4152</v>
      </c>
      <c r="T4" s="331" t="s">
        <v>3988</v>
      </c>
      <c r="U4" s="331" t="s">
        <v>4153</v>
      </c>
    </row>
    <row r="5" ht="22.5" customHeight="1" spans="1:21">
      <c r="A5" s="326" t="s">
        <v>4154</v>
      </c>
      <c r="B5" s="335">
        <v>42702</v>
      </c>
      <c r="C5" s="326">
        <v>7000</v>
      </c>
      <c r="D5" s="326">
        <v>7000</v>
      </c>
      <c r="E5" s="326">
        <v>7000</v>
      </c>
      <c r="F5" s="336">
        <f>SUM(C5:E5)</f>
        <v>21000</v>
      </c>
      <c r="G5" s="326"/>
      <c r="H5" s="326"/>
      <c r="I5" s="326"/>
      <c r="J5" s="71"/>
      <c r="K5" s="71"/>
      <c r="L5" s="71"/>
      <c r="M5" s="71"/>
      <c r="N5" s="71"/>
      <c r="O5" s="339">
        <v>42755</v>
      </c>
      <c r="Q5" s="326" t="s">
        <v>4155</v>
      </c>
      <c r="R5" s="335">
        <v>42643</v>
      </c>
      <c r="S5" s="326">
        <v>47000</v>
      </c>
      <c r="T5" s="326">
        <v>53000</v>
      </c>
      <c r="U5" s="326"/>
    </row>
    <row r="6" ht="22.5" customHeight="1" spans="1:21">
      <c r="A6" s="326" t="s">
        <v>4154</v>
      </c>
      <c r="B6" s="335">
        <v>42752</v>
      </c>
      <c r="C6" s="326"/>
      <c r="D6" s="326"/>
      <c r="E6" s="326">
        <v>3000</v>
      </c>
      <c r="F6" s="336">
        <f t="shared" ref="F6:F26" si="0">SUM(C6:E6)</f>
        <v>3000</v>
      </c>
      <c r="G6" s="326"/>
      <c r="H6" s="326"/>
      <c r="I6" s="326"/>
      <c r="J6" s="71"/>
      <c r="K6" s="71"/>
      <c r="L6" s="71"/>
      <c r="M6" s="71"/>
      <c r="N6" s="71"/>
      <c r="O6" s="339">
        <v>42794</v>
      </c>
      <c r="Q6" s="326" t="s">
        <v>4156</v>
      </c>
      <c r="R6" s="335">
        <v>42816</v>
      </c>
      <c r="S6" s="326">
        <v>47000</v>
      </c>
      <c r="T6" s="326"/>
      <c r="U6" s="326"/>
    </row>
    <row r="7" ht="22.5" customHeight="1" spans="1:21">
      <c r="A7" s="326" t="s">
        <v>4157</v>
      </c>
      <c r="B7" s="335">
        <v>42781</v>
      </c>
      <c r="C7" s="326">
        <v>13000</v>
      </c>
      <c r="D7" s="326">
        <v>13000</v>
      </c>
      <c r="E7" s="326">
        <v>10000</v>
      </c>
      <c r="F7" s="336">
        <f t="shared" si="0"/>
        <v>36000</v>
      </c>
      <c r="G7" s="326"/>
      <c r="H7" s="326"/>
      <c r="I7" s="326"/>
      <c r="J7" s="71"/>
      <c r="K7" s="71"/>
      <c r="L7" s="71"/>
      <c r="M7" s="71"/>
      <c r="N7" s="71"/>
      <c r="O7" s="339">
        <v>42818</v>
      </c>
      <c r="Q7" s="326" t="s">
        <v>4158</v>
      </c>
      <c r="R7" s="335">
        <v>43082</v>
      </c>
      <c r="S7" s="326">
        <v>47000</v>
      </c>
      <c r="T7" s="326"/>
      <c r="U7" s="326"/>
    </row>
    <row r="8" ht="22.5" customHeight="1" spans="1:21">
      <c r="A8" s="326" t="s">
        <v>4159</v>
      </c>
      <c r="B8" s="335">
        <v>42810</v>
      </c>
      <c r="C8" s="326">
        <v>10000</v>
      </c>
      <c r="D8" s="326"/>
      <c r="E8" s="326">
        <v>10000</v>
      </c>
      <c r="F8" s="336">
        <f t="shared" si="0"/>
        <v>20000</v>
      </c>
      <c r="G8" s="326"/>
      <c r="H8" s="326"/>
      <c r="I8" s="326"/>
      <c r="J8" s="71"/>
      <c r="K8" s="71"/>
      <c r="L8" s="71"/>
      <c r="M8" s="71"/>
      <c r="N8" s="71"/>
      <c r="O8" s="339">
        <v>42833</v>
      </c>
      <c r="Q8" s="326" t="s">
        <v>4160</v>
      </c>
      <c r="R8" s="335">
        <v>43165</v>
      </c>
      <c r="S8" s="326">
        <v>47000</v>
      </c>
      <c r="T8" s="326"/>
      <c r="U8" s="326"/>
    </row>
    <row r="9" ht="22.5" customHeight="1" spans="1:21">
      <c r="A9" s="326" t="s">
        <v>4161</v>
      </c>
      <c r="B9" s="335">
        <v>42940</v>
      </c>
      <c r="C9" s="326"/>
      <c r="D9" s="326">
        <v>10000</v>
      </c>
      <c r="E9" s="326"/>
      <c r="F9" s="336">
        <f t="shared" si="0"/>
        <v>10000</v>
      </c>
      <c r="G9" s="326"/>
      <c r="H9" s="326"/>
      <c r="I9" s="326"/>
      <c r="J9" s="71"/>
      <c r="K9" s="71"/>
      <c r="L9" s="71"/>
      <c r="M9" s="71"/>
      <c r="N9" s="71"/>
      <c r="O9" s="339">
        <v>42982</v>
      </c>
      <c r="Q9" s="326" t="s">
        <v>4162</v>
      </c>
      <c r="R9" s="335">
        <v>43176</v>
      </c>
      <c r="S9" s="326"/>
      <c r="T9" s="326">
        <v>53000</v>
      </c>
      <c r="U9" s="326"/>
    </row>
    <row r="10" ht="22.5" customHeight="1" spans="1:21">
      <c r="A10" s="326" t="s">
        <v>4163</v>
      </c>
      <c r="B10" s="335">
        <v>42992</v>
      </c>
      <c r="C10" s="326">
        <v>11000</v>
      </c>
      <c r="D10" s="326">
        <v>4100</v>
      </c>
      <c r="E10" s="326">
        <v>6700</v>
      </c>
      <c r="F10" s="336">
        <f t="shared" si="0"/>
        <v>21800</v>
      </c>
      <c r="G10" s="326"/>
      <c r="H10" s="326"/>
      <c r="I10" s="326"/>
      <c r="J10" s="71"/>
      <c r="K10" s="71"/>
      <c r="L10" s="71"/>
      <c r="M10" s="71"/>
      <c r="N10" s="71"/>
      <c r="O10" s="339">
        <v>43042</v>
      </c>
      <c r="Q10" s="326" t="s">
        <v>4164</v>
      </c>
      <c r="R10" s="335">
        <v>43249</v>
      </c>
      <c r="S10" s="326">
        <v>47000</v>
      </c>
      <c r="T10" s="326"/>
      <c r="U10" s="326"/>
    </row>
    <row r="11" ht="22.5" customHeight="1" spans="1:21">
      <c r="A11" s="326" t="s">
        <v>4165</v>
      </c>
      <c r="B11" s="335">
        <v>43046</v>
      </c>
      <c r="C11" s="326">
        <v>10000</v>
      </c>
      <c r="D11" s="326">
        <v>5000</v>
      </c>
      <c r="E11" s="326"/>
      <c r="F11" s="336">
        <f t="shared" si="0"/>
        <v>15000</v>
      </c>
      <c r="G11" s="326"/>
      <c r="H11" s="326"/>
      <c r="I11" s="326"/>
      <c r="J11" s="71"/>
      <c r="K11" s="71"/>
      <c r="L11" s="71"/>
      <c r="M11" s="71"/>
      <c r="N11" s="71"/>
      <c r="O11" s="339">
        <v>43081</v>
      </c>
      <c r="Q11" s="359" t="s">
        <v>4166</v>
      </c>
      <c r="R11" s="360"/>
      <c r="S11" s="338">
        <f>-34000</f>
        <v>-34000</v>
      </c>
      <c r="T11" s="338">
        <f>-3500-100-4400</f>
        <v>-8000</v>
      </c>
      <c r="U11" s="338"/>
    </row>
    <row r="12" ht="22.5" customHeight="1" spans="1:21">
      <c r="A12" s="326" t="s">
        <v>4167</v>
      </c>
      <c r="B12" s="335">
        <v>43082</v>
      </c>
      <c r="C12" s="326">
        <v>10000</v>
      </c>
      <c r="D12" s="326">
        <v>4900</v>
      </c>
      <c r="E12" s="326">
        <v>7300</v>
      </c>
      <c r="F12" s="336">
        <f t="shared" si="0"/>
        <v>22200</v>
      </c>
      <c r="G12" s="326"/>
      <c r="H12" s="326"/>
      <c r="I12" s="326"/>
      <c r="J12" s="71"/>
      <c r="K12" s="71"/>
      <c r="L12" s="71"/>
      <c r="M12" s="71"/>
      <c r="N12" s="71"/>
      <c r="O12" s="339">
        <v>43134</v>
      </c>
      <c r="Q12" s="326" t="s">
        <v>4168</v>
      </c>
      <c r="R12" s="335">
        <v>43356</v>
      </c>
      <c r="S12" s="326">
        <v>60000</v>
      </c>
      <c r="T12" s="326">
        <v>60000</v>
      </c>
      <c r="U12" s="326"/>
    </row>
    <row r="13" ht="22.5" customHeight="1" spans="1:22">
      <c r="A13" s="326" t="s">
        <v>4169</v>
      </c>
      <c r="B13" s="335">
        <v>43165</v>
      </c>
      <c r="C13" s="326">
        <v>23000</v>
      </c>
      <c r="D13" s="326">
        <v>20000</v>
      </c>
      <c r="E13" s="326">
        <v>9000</v>
      </c>
      <c r="F13" s="336">
        <f t="shared" si="0"/>
        <v>52000</v>
      </c>
      <c r="G13" s="326"/>
      <c r="H13" s="326"/>
      <c r="I13" s="326"/>
      <c r="J13" s="71"/>
      <c r="K13" s="71"/>
      <c r="L13" s="71"/>
      <c r="M13" s="71"/>
      <c r="N13" s="71"/>
      <c r="O13" s="339">
        <v>43210</v>
      </c>
      <c r="Q13" s="339" t="s">
        <v>4170</v>
      </c>
      <c r="R13" s="335">
        <v>43532</v>
      </c>
      <c r="S13" s="326"/>
      <c r="T13" s="326"/>
      <c r="U13" s="326">
        <v>100000</v>
      </c>
      <c r="V13" s="361" t="s">
        <v>4171</v>
      </c>
    </row>
    <row r="14" ht="22.5" customHeight="1" spans="1:22">
      <c r="A14" s="326" t="s">
        <v>4162</v>
      </c>
      <c r="B14" s="335">
        <v>43176</v>
      </c>
      <c r="C14" s="326"/>
      <c r="D14" s="326"/>
      <c r="E14" s="326">
        <v>20000</v>
      </c>
      <c r="F14" s="336">
        <f t="shared" si="0"/>
        <v>20000</v>
      </c>
      <c r="G14" s="326"/>
      <c r="H14" s="326"/>
      <c r="I14" s="326"/>
      <c r="J14" s="71"/>
      <c r="K14" s="71"/>
      <c r="L14" s="71"/>
      <c r="M14" s="71"/>
      <c r="N14" s="71"/>
      <c r="O14" s="339">
        <v>43218</v>
      </c>
      <c r="Q14" s="339" t="s">
        <v>4172</v>
      </c>
      <c r="R14" s="335">
        <v>43542</v>
      </c>
      <c r="S14" s="326">
        <v>47000</v>
      </c>
      <c r="T14" s="326"/>
      <c r="U14" s="326">
        <v>250000</v>
      </c>
      <c r="V14" s="362" t="s">
        <v>4173</v>
      </c>
    </row>
    <row r="15" s="56" customFormat="1" ht="22.5" customHeight="1" spans="1:21">
      <c r="A15" s="326" t="s">
        <v>4174</v>
      </c>
      <c r="B15" s="335">
        <v>43248</v>
      </c>
      <c r="C15" s="326">
        <v>23000</v>
      </c>
      <c r="D15" s="326">
        <v>20000</v>
      </c>
      <c r="E15" s="326">
        <v>20000</v>
      </c>
      <c r="F15" s="336">
        <f t="shared" si="0"/>
        <v>63000</v>
      </c>
      <c r="G15" s="326"/>
      <c r="H15" s="326"/>
      <c r="I15" s="326"/>
      <c r="J15" s="71"/>
      <c r="K15" s="71"/>
      <c r="L15" s="71"/>
      <c r="M15" s="71"/>
      <c r="N15" s="71"/>
      <c r="O15" s="339">
        <v>43281</v>
      </c>
      <c r="Q15" s="339" t="s">
        <v>4175</v>
      </c>
      <c r="R15" s="335">
        <v>43549</v>
      </c>
      <c r="S15" s="326"/>
      <c r="T15" s="326"/>
      <c r="U15" s="326">
        <v>300000</v>
      </c>
    </row>
    <row r="16" s="56" customFormat="1" ht="22.5" customHeight="1" spans="1:21">
      <c r="A16" s="326" t="s">
        <v>4176</v>
      </c>
      <c r="B16" s="335">
        <v>43342</v>
      </c>
      <c r="C16" s="326">
        <v>10000</v>
      </c>
      <c r="D16" s="326"/>
      <c r="E16" s="326">
        <v>9500</v>
      </c>
      <c r="F16" s="336">
        <f t="shared" si="0"/>
        <v>19500</v>
      </c>
      <c r="G16" s="326"/>
      <c r="H16" s="326"/>
      <c r="I16" s="326"/>
      <c r="J16" s="71"/>
      <c r="K16" s="71"/>
      <c r="L16" s="71"/>
      <c r="M16" s="71"/>
      <c r="N16" s="71"/>
      <c r="O16" s="339">
        <v>43379</v>
      </c>
      <c r="Q16" s="339" t="s">
        <v>4177</v>
      </c>
      <c r="R16" s="335">
        <v>43601</v>
      </c>
      <c r="S16" s="326"/>
      <c r="T16" s="326"/>
      <c r="U16" s="326">
        <v>200000</v>
      </c>
    </row>
    <row r="17" s="56" customFormat="1" ht="22.5" customHeight="1" spans="1:21">
      <c r="A17" s="326" t="s">
        <v>4178</v>
      </c>
      <c r="B17" s="335">
        <v>43431</v>
      </c>
      <c r="C17" s="326">
        <v>20000</v>
      </c>
      <c r="D17" s="326"/>
      <c r="E17" s="326">
        <v>20000</v>
      </c>
      <c r="F17" s="336">
        <f t="shared" si="0"/>
        <v>40000</v>
      </c>
      <c r="G17" s="326"/>
      <c r="H17" s="326"/>
      <c r="I17" s="326"/>
      <c r="J17" s="71"/>
      <c r="K17" s="71"/>
      <c r="L17" s="71"/>
      <c r="M17" s="71"/>
      <c r="N17" s="71"/>
      <c r="O17" s="339">
        <v>43159</v>
      </c>
      <c r="Q17" s="363" t="s">
        <v>4179</v>
      </c>
      <c r="R17" s="335"/>
      <c r="S17" s="326">
        <v>2000</v>
      </c>
      <c r="T17" s="326"/>
      <c r="U17" s="326">
        <v>150000</v>
      </c>
    </row>
    <row r="18" s="56" customFormat="1" ht="22.5" customHeight="1" spans="1:21">
      <c r="A18" s="326" t="s">
        <v>4180</v>
      </c>
      <c r="B18" s="335">
        <v>43542</v>
      </c>
      <c r="C18" s="326">
        <v>20000</v>
      </c>
      <c r="D18" s="326">
        <v>20000</v>
      </c>
      <c r="E18" s="326">
        <v>20000</v>
      </c>
      <c r="F18" s="336">
        <f t="shared" si="0"/>
        <v>60000</v>
      </c>
      <c r="G18" s="326"/>
      <c r="H18" s="326"/>
      <c r="I18" s="326"/>
      <c r="J18" s="71"/>
      <c r="K18" s="71"/>
      <c r="L18" s="71"/>
      <c r="M18" s="71"/>
      <c r="N18" s="71"/>
      <c r="O18" s="339">
        <v>43585</v>
      </c>
      <c r="Q18" s="339" t="s">
        <v>4181</v>
      </c>
      <c r="R18" s="335">
        <v>43651</v>
      </c>
      <c r="S18" s="326"/>
      <c r="T18" s="326"/>
      <c r="U18" s="326">
        <v>150000</v>
      </c>
    </row>
    <row r="19" s="56" customFormat="1" ht="22.5" customHeight="1" spans="1:21">
      <c r="A19" s="326" t="s">
        <v>4180</v>
      </c>
      <c r="B19" s="335">
        <v>43542</v>
      </c>
      <c r="C19" s="326"/>
      <c r="D19" s="326"/>
      <c r="E19" s="326"/>
      <c r="F19" s="336"/>
      <c r="G19" s="326">
        <v>174000</v>
      </c>
      <c r="H19" s="337">
        <v>64000</v>
      </c>
      <c r="I19" s="337">
        <v>112000</v>
      </c>
      <c r="J19" s="71">
        <f t="shared" ref="J19:J30" si="1">SUM(G19:I19)</f>
        <v>350000</v>
      </c>
      <c r="K19" s="71"/>
      <c r="L19" s="71"/>
      <c r="M19" s="71"/>
      <c r="N19" s="71"/>
      <c r="O19" s="339">
        <v>43636</v>
      </c>
      <c r="Q19" s="339" t="s">
        <v>4182</v>
      </c>
      <c r="R19" s="335">
        <v>43662</v>
      </c>
      <c r="S19" s="326"/>
      <c r="T19" s="326"/>
      <c r="U19" s="326">
        <v>150000</v>
      </c>
    </row>
    <row r="20" s="56" customFormat="1" ht="22.5" customHeight="1" spans="1:21">
      <c r="A20" s="326" t="s">
        <v>4183</v>
      </c>
      <c r="B20" s="335">
        <v>43556</v>
      </c>
      <c r="C20" s="326"/>
      <c r="D20" s="326"/>
      <c r="E20" s="326"/>
      <c r="F20" s="336"/>
      <c r="G20" s="326">
        <v>85000</v>
      </c>
      <c r="H20" s="337">
        <v>32000</v>
      </c>
      <c r="I20" s="337">
        <v>50000</v>
      </c>
      <c r="J20" s="71">
        <f t="shared" si="1"/>
        <v>167000</v>
      </c>
      <c r="K20" s="71"/>
      <c r="L20" s="71"/>
      <c r="M20" s="71"/>
      <c r="N20" s="71"/>
      <c r="O20" s="339">
        <v>43655</v>
      </c>
      <c r="Q20" s="339" t="s">
        <v>4184</v>
      </c>
      <c r="R20" s="335">
        <v>43676</v>
      </c>
      <c r="S20" s="326"/>
      <c r="T20" s="326"/>
      <c r="U20" s="326">
        <v>100000</v>
      </c>
    </row>
    <row r="21" s="56" customFormat="1" ht="22.5" customHeight="1" spans="1:21">
      <c r="A21" s="326" t="s">
        <v>4185</v>
      </c>
      <c r="B21" s="335">
        <v>43584</v>
      </c>
      <c r="C21" s="326"/>
      <c r="D21" s="326"/>
      <c r="E21" s="326"/>
      <c r="F21" s="336"/>
      <c r="G21" s="326"/>
      <c r="H21" s="337">
        <v>20000</v>
      </c>
      <c r="I21" s="337">
        <v>8000</v>
      </c>
      <c r="J21" s="71">
        <f t="shared" si="1"/>
        <v>28000</v>
      </c>
      <c r="K21" s="71"/>
      <c r="L21" s="71"/>
      <c r="M21" s="71"/>
      <c r="N21" s="71"/>
      <c r="O21" s="339">
        <v>43662</v>
      </c>
      <c r="Q21" s="339" t="s">
        <v>4186</v>
      </c>
      <c r="R21" s="335">
        <v>43699</v>
      </c>
      <c r="S21" s="326"/>
      <c r="T21" s="326"/>
      <c r="U21" s="326">
        <v>200000</v>
      </c>
    </row>
    <row r="22" s="56" customFormat="1" ht="22.5" customHeight="1" spans="1:21">
      <c r="A22" s="326" t="s">
        <v>4187</v>
      </c>
      <c r="B22" s="335">
        <v>43627</v>
      </c>
      <c r="C22" s="326"/>
      <c r="D22" s="326"/>
      <c r="E22" s="326"/>
      <c r="F22" s="336"/>
      <c r="G22" s="326">
        <v>122000</v>
      </c>
      <c r="H22" s="326">
        <v>57000</v>
      </c>
      <c r="I22" s="326">
        <v>76000</v>
      </c>
      <c r="J22" s="71">
        <f t="shared" si="1"/>
        <v>255000</v>
      </c>
      <c r="K22" s="71"/>
      <c r="L22" s="71"/>
      <c r="M22" s="71"/>
      <c r="N22" s="71"/>
      <c r="O22" s="339">
        <v>43680</v>
      </c>
      <c r="Q22" s="339" t="s">
        <v>4188</v>
      </c>
      <c r="R22" s="335">
        <v>43706</v>
      </c>
      <c r="S22" s="326"/>
      <c r="T22" s="326"/>
      <c r="U22" s="326">
        <v>100000</v>
      </c>
    </row>
    <row r="23" s="56" customFormat="1" ht="22.5" customHeight="1" spans="1:21">
      <c r="A23" s="326" t="s">
        <v>4189</v>
      </c>
      <c r="B23" s="335">
        <v>43644</v>
      </c>
      <c r="C23" s="326"/>
      <c r="D23" s="326"/>
      <c r="E23" s="326"/>
      <c r="F23" s="336"/>
      <c r="G23" s="326">
        <v>65000</v>
      </c>
      <c r="H23" s="326">
        <v>12000</v>
      </c>
      <c r="I23" s="326">
        <v>23000</v>
      </c>
      <c r="J23" s="71">
        <f t="shared" si="1"/>
        <v>100000</v>
      </c>
      <c r="K23" s="71"/>
      <c r="L23" s="71"/>
      <c r="M23" s="71"/>
      <c r="N23" s="71"/>
      <c r="O23" s="339">
        <v>43687</v>
      </c>
      <c r="Q23" s="339" t="s">
        <v>4190</v>
      </c>
      <c r="R23" s="335">
        <v>43714</v>
      </c>
      <c r="S23" s="326"/>
      <c r="T23" s="326"/>
      <c r="U23" s="326">
        <v>100000</v>
      </c>
    </row>
    <row r="24" s="56" customFormat="1" ht="22.5" customHeight="1" spans="1:21">
      <c r="A24" s="326" t="s">
        <v>4191</v>
      </c>
      <c r="B24" s="335">
        <v>43651</v>
      </c>
      <c r="C24" s="326"/>
      <c r="D24" s="326"/>
      <c r="E24" s="326"/>
      <c r="F24" s="336"/>
      <c r="G24" s="326">
        <v>100000</v>
      </c>
      <c r="H24" s="326"/>
      <c r="I24" s="326"/>
      <c r="J24" s="71">
        <f t="shared" si="1"/>
        <v>100000</v>
      </c>
      <c r="K24" s="71"/>
      <c r="L24" s="71"/>
      <c r="M24" s="71"/>
      <c r="N24" s="71"/>
      <c r="O24" s="339">
        <v>43697</v>
      </c>
      <c r="Q24" s="339" t="s">
        <v>4192</v>
      </c>
      <c r="R24" s="335">
        <v>43732</v>
      </c>
      <c r="S24" s="326"/>
      <c r="T24" s="326"/>
      <c r="U24" s="326">
        <v>150000</v>
      </c>
    </row>
    <row r="25" s="56" customFormat="1" ht="22.5" customHeight="1" spans="1:21">
      <c r="A25" s="326" t="s">
        <v>4193</v>
      </c>
      <c r="B25" s="335">
        <v>43662</v>
      </c>
      <c r="C25" s="326"/>
      <c r="D25" s="326"/>
      <c r="E25" s="326"/>
      <c r="F25" s="336"/>
      <c r="G25" s="326">
        <v>76000</v>
      </c>
      <c r="H25" s="326">
        <v>29000</v>
      </c>
      <c r="I25" s="326">
        <v>45000</v>
      </c>
      <c r="J25" s="71">
        <f t="shared" si="1"/>
        <v>150000</v>
      </c>
      <c r="K25" s="71"/>
      <c r="L25" s="71"/>
      <c r="M25" s="71"/>
      <c r="N25" s="71"/>
      <c r="O25" s="339">
        <v>43701</v>
      </c>
      <c r="Q25" s="339" t="s">
        <v>4194</v>
      </c>
      <c r="R25" s="335">
        <v>43738</v>
      </c>
      <c r="S25" s="326"/>
      <c r="T25" s="326"/>
      <c r="U25" s="326">
        <v>150000</v>
      </c>
    </row>
    <row r="26" s="56" customFormat="1" ht="22.5" customHeight="1" spans="1:24">
      <c r="A26" s="326" t="s">
        <v>4195</v>
      </c>
      <c r="B26" s="335">
        <v>43684</v>
      </c>
      <c r="C26" s="326"/>
      <c r="D26" s="326"/>
      <c r="E26" s="326"/>
      <c r="F26" s="336"/>
      <c r="G26" s="337">
        <v>12000</v>
      </c>
      <c r="H26" s="337">
        <v>50000</v>
      </c>
      <c r="I26" s="337">
        <v>93000</v>
      </c>
      <c r="J26" s="71">
        <f t="shared" si="1"/>
        <v>155000</v>
      </c>
      <c r="K26" s="71"/>
      <c r="L26" s="71"/>
      <c r="M26" s="71"/>
      <c r="N26" s="71"/>
      <c r="O26" s="339">
        <v>43722</v>
      </c>
      <c r="Q26" s="339" t="s">
        <v>4196</v>
      </c>
      <c r="R26" s="335">
        <v>43761</v>
      </c>
      <c r="S26" s="326"/>
      <c r="T26" s="326"/>
      <c r="U26" s="326">
        <v>150000</v>
      </c>
      <c r="V26" s="71"/>
      <c r="W26" s="71"/>
      <c r="X26" s="71"/>
    </row>
    <row r="27" s="56" customFormat="1" ht="22.5" customHeight="1" spans="1:24">
      <c r="A27" s="326" t="s">
        <v>4197</v>
      </c>
      <c r="B27" s="335">
        <v>43700</v>
      </c>
      <c r="C27" s="326"/>
      <c r="D27" s="326"/>
      <c r="E27" s="326"/>
      <c r="F27" s="336"/>
      <c r="G27" s="326">
        <v>49000</v>
      </c>
      <c r="H27" s="326">
        <v>76000</v>
      </c>
      <c r="I27" s="326">
        <v>70000</v>
      </c>
      <c r="J27" s="71">
        <f t="shared" si="1"/>
        <v>195000</v>
      </c>
      <c r="K27" s="71"/>
      <c r="L27" s="71"/>
      <c r="M27" s="71"/>
      <c r="N27" s="71"/>
      <c r="O27" s="339">
        <v>43760</v>
      </c>
      <c r="Q27" s="339" t="s">
        <v>4198</v>
      </c>
      <c r="R27" s="335">
        <v>43768</v>
      </c>
      <c r="S27" s="326"/>
      <c r="T27" s="326"/>
      <c r="U27" s="326">
        <v>50000</v>
      </c>
      <c r="V27" s="71"/>
      <c r="W27" s="71"/>
      <c r="X27" s="71"/>
    </row>
    <row r="28" s="56" customFormat="1" ht="22.5" customHeight="1" spans="1:24">
      <c r="A28" s="326" t="s">
        <v>4199</v>
      </c>
      <c r="B28" s="335">
        <v>43724</v>
      </c>
      <c r="C28" s="326"/>
      <c r="D28" s="326"/>
      <c r="E28" s="326"/>
      <c r="F28" s="336"/>
      <c r="G28" s="337">
        <v>58000</v>
      </c>
      <c r="H28" s="337">
        <v>86000</v>
      </c>
      <c r="I28" s="337">
        <v>68000</v>
      </c>
      <c r="J28" s="71">
        <f t="shared" si="1"/>
        <v>212000</v>
      </c>
      <c r="K28" s="71"/>
      <c r="L28" s="71"/>
      <c r="M28" s="71"/>
      <c r="N28" s="71"/>
      <c r="O28" s="339">
        <v>43778</v>
      </c>
      <c r="Q28" s="339" t="s">
        <v>4200</v>
      </c>
      <c r="R28" s="335">
        <v>43781</v>
      </c>
      <c r="S28" s="326"/>
      <c r="T28" s="326"/>
      <c r="U28" s="326">
        <v>100000</v>
      </c>
      <c r="V28" s="71"/>
      <c r="W28" s="71"/>
      <c r="X28" s="71"/>
    </row>
    <row r="29" s="56" customFormat="1" ht="22.5" customHeight="1" spans="1:24">
      <c r="A29" s="326" t="s">
        <v>4201</v>
      </c>
      <c r="B29" s="335">
        <v>43732</v>
      </c>
      <c r="C29" s="326"/>
      <c r="D29" s="326"/>
      <c r="E29" s="326"/>
      <c r="F29" s="336"/>
      <c r="G29" s="326">
        <v>38000</v>
      </c>
      <c r="H29" s="326">
        <v>35000</v>
      </c>
      <c r="I29" s="326">
        <v>35000</v>
      </c>
      <c r="J29" s="71">
        <f t="shared" si="1"/>
        <v>108000</v>
      </c>
      <c r="K29" s="71"/>
      <c r="L29" s="71"/>
      <c r="M29" s="71"/>
      <c r="N29" s="71"/>
      <c r="O29" s="339">
        <v>43788</v>
      </c>
      <c r="Q29" s="339" t="s">
        <v>4202</v>
      </c>
      <c r="R29" s="335">
        <v>43795</v>
      </c>
      <c r="S29" s="326"/>
      <c r="T29" s="326"/>
      <c r="U29" s="326">
        <v>100000</v>
      </c>
      <c r="V29" s="71"/>
      <c r="W29" s="71"/>
      <c r="X29" s="71"/>
    </row>
    <row r="30" s="56" customFormat="1" ht="22.5" customHeight="1" spans="1:24">
      <c r="A30" s="326" t="s">
        <v>4203</v>
      </c>
      <c r="B30" s="335">
        <v>43738</v>
      </c>
      <c r="C30" s="326"/>
      <c r="D30" s="326"/>
      <c r="E30" s="326"/>
      <c r="F30" s="336"/>
      <c r="G30" s="326">
        <v>39000</v>
      </c>
      <c r="H30" s="326">
        <v>45500</v>
      </c>
      <c r="I30" s="326">
        <v>45500</v>
      </c>
      <c r="J30" s="71">
        <f t="shared" si="1"/>
        <v>130000</v>
      </c>
      <c r="K30" s="71"/>
      <c r="L30" s="71"/>
      <c r="M30" s="71"/>
      <c r="N30" s="71"/>
      <c r="O30" s="339">
        <v>43799</v>
      </c>
      <c r="Q30" s="339" t="s">
        <v>4204</v>
      </c>
      <c r="R30" s="335">
        <v>43844</v>
      </c>
      <c r="S30" s="326"/>
      <c r="T30" s="326"/>
      <c r="U30" s="326">
        <v>100000</v>
      </c>
      <c r="V30" s="71">
        <v>65000</v>
      </c>
      <c r="W30" s="71">
        <v>100000</v>
      </c>
      <c r="X30" s="71"/>
    </row>
    <row r="31" s="56" customFormat="1" ht="22.5" customHeight="1" spans="1:24">
      <c r="A31" s="326" t="s">
        <v>4205</v>
      </c>
      <c r="B31" s="335">
        <v>43752</v>
      </c>
      <c r="C31" s="326">
        <v>20000</v>
      </c>
      <c r="D31" s="326"/>
      <c r="E31" s="326"/>
      <c r="F31" s="336">
        <f>SUM(C31:E31)</f>
        <v>20000</v>
      </c>
      <c r="G31" s="326"/>
      <c r="H31" s="326"/>
      <c r="I31" s="326"/>
      <c r="J31" s="71"/>
      <c r="K31" s="71"/>
      <c r="L31" s="71"/>
      <c r="M31" s="71"/>
      <c r="N31" s="71"/>
      <c r="O31" s="326"/>
      <c r="Q31" s="339" t="s">
        <v>4206</v>
      </c>
      <c r="R31" s="335">
        <v>43879</v>
      </c>
      <c r="S31" s="326"/>
      <c r="T31" s="326"/>
      <c r="U31" s="326">
        <v>150000</v>
      </c>
      <c r="V31" s="71"/>
      <c r="W31" s="71"/>
      <c r="X31" s="71"/>
    </row>
    <row r="32" s="56" customFormat="1" ht="22.5" customHeight="1" spans="1:24">
      <c r="A32" s="326" t="s">
        <v>4207</v>
      </c>
      <c r="B32" s="335">
        <v>43761</v>
      </c>
      <c r="C32" s="326"/>
      <c r="D32" s="326"/>
      <c r="E32" s="326"/>
      <c r="F32" s="336"/>
      <c r="G32" s="326">
        <v>50000</v>
      </c>
      <c r="H32" s="326">
        <v>50000</v>
      </c>
      <c r="I32" s="326">
        <v>50000</v>
      </c>
      <c r="J32" s="71">
        <f t="shared" ref="J32:J41" si="2">SUM(G32:I32)</f>
        <v>150000</v>
      </c>
      <c r="K32" s="71"/>
      <c r="L32" s="71"/>
      <c r="M32" s="71"/>
      <c r="N32" s="71"/>
      <c r="O32" s="339">
        <v>43820</v>
      </c>
      <c r="Q32" s="339" t="s">
        <v>4208</v>
      </c>
      <c r="R32" s="335">
        <v>43886</v>
      </c>
      <c r="S32" s="326"/>
      <c r="T32" s="326"/>
      <c r="U32" s="326">
        <v>150000</v>
      </c>
      <c r="V32" s="71"/>
      <c r="W32" s="71"/>
      <c r="X32" s="71"/>
    </row>
    <row r="33" s="56" customFormat="1" ht="22.5" customHeight="1" spans="1:24">
      <c r="A33" s="326" t="s">
        <v>4209</v>
      </c>
      <c r="B33" s="335">
        <v>43781</v>
      </c>
      <c r="C33" s="326"/>
      <c r="D33" s="326"/>
      <c r="E33" s="326"/>
      <c r="F33" s="336"/>
      <c r="G33" s="326">
        <v>53000</v>
      </c>
      <c r="H33" s="326">
        <v>48000</v>
      </c>
      <c r="I33" s="326">
        <v>49000</v>
      </c>
      <c r="J33" s="71">
        <f t="shared" si="2"/>
        <v>150000</v>
      </c>
      <c r="K33" s="71"/>
      <c r="L33" s="71"/>
      <c r="M33" s="71"/>
      <c r="N33" s="71"/>
      <c r="O33" s="339">
        <v>43841</v>
      </c>
      <c r="Q33" s="339" t="s">
        <v>4210</v>
      </c>
      <c r="R33" s="335">
        <v>43902</v>
      </c>
      <c r="S33" s="326"/>
      <c r="T33" s="326"/>
      <c r="U33" s="326">
        <v>150000</v>
      </c>
      <c r="V33" s="71">
        <v>33000</v>
      </c>
      <c r="W33" s="71"/>
      <c r="X33" s="71"/>
    </row>
    <row r="34" s="56" customFormat="1" ht="22.5" customHeight="1" spans="1:24">
      <c r="A34" s="326" t="s">
        <v>4211</v>
      </c>
      <c r="B34" s="335">
        <v>43795</v>
      </c>
      <c r="C34" s="326"/>
      <c r="D34" s="338">
        <v>0</v>
      </c>
      <c r="E34" s="338">
        <v>0</v>
      </c>
      <c r="F34" s="336"/>
      <c r="G34" s="326">
        <v>45100</v>
      </c>
      <c r="H34" s="326">
        <v>12400</v>
      </c>
      <c r="I34" s="326">
        <v>12500</v>
      </c>
      <c r="J34" s="71">
        <f t="shared" si="2"/>
        <v>70000</v>
      </c>
      <c r="K34" s="71"/>
      <c r="L34" s="71"/>
      <c r="M34" s="71"/>
      <c r="N34" s="71"/>
      <c r="O34" s="339">
        <v>43844</v>
      </c>
      <c r="Q34" s="339" t="s">
        <v>4212</v>
      </c>
      <c r="R34" s="335">
        <v>43903</v>
      </c>
      <c r="S34" s="326"/>
      <c r="T34" s="326"/>
      <c r="U34" s="326">
        <v>100000</v>
      </c>
      <c r="V34" s="71"/>
      <c r="W34" s="71"/>
      <c r="X34" s="71"/>
    </row>
    <row r="35" s="56" customFormat="1" ht="22.5" customHeight="1" spans="1:24">
      <c r="A35" s="326" t="s">
        <v>4213</v>
      </c>
      <c r="B35" s="335">
        <v>43805</v>
      </c>
      <c r="C35" s="326"/>
      <c r="D35" s="326"/>
      <c r="E35" s="326"/>
      <c r="F35" s="336"/>
      <c r="G35" s="326">
        <v>14800</v>
      </c>
      <c r="H35" s="326">
        <v>36500</v>
      </c>
      <c r="I35" s="326">
        <v>28700</v>
      </c>
      <c r="J35" s="71">
        <f t="shared" si="2"/>
        <v>80000</v>
      </c>
      <c r="K35" s="71"/>
      <c r="L35" s="71"/>
      <c r="M35" s="71"/>
      <c r="N35" s="71"/>
      <c r="O35" s="339"/>
      <c r="Q35" s="339" t="s">
        <v>4214</v>
      </c>
      <c r="R35" s="335">
        <v>43959</v>
      </c>
      <c r="S35" s="326"/>
      <c r="T35" s="326"/>
      <c r="U35" s="364">
        <v>50000</v>
      </c>
      <c r="V35" s="71"/>
      <c r="W35" s="71"/>
      <c r="X35" s="71"/>
    </row>
    <row r="36" s="56" customFormat="1" ht="22.5" customHeight="1" spans="1:24">
      <c r="A36" s="326" t="s">
        <v>4215</v>
      </c>
      <c r="B36" s="335">
        <v>43824</v>
      </c>
      <c r="C36" s="326"/>
      <c r="D36" s="326"/>
      <c r="E36" s="326"/>
      <c r="F36" s="336"/>
      <c r="G36" s="326">
        <v>14200</v>
      </c>
      <c r="H36" s="326">
        <v>13000</v>
      </c>
      <c r="I36" s="326">
        <v>12800</v>
      </c>
      <c r="J36" s="71">
        <f t="shared" si="2"/>
        <v>40000</v>
      </c>
      <c r="K36" s="71"/>
      <c r="L36" s="71"/>
      <c r="M36" s="71"/>
      <c r="N36" s="71"/>
      <c r="O36" s="339"/>
      <c r="Q36" s="339" t="s">
        <v>4216</v>
      </c>
      <c r="R36" s="335">
        <v>44006</v>
      </c>
      <c r="S36" s="326"/>
      <c r="T36" s="326"/>
      <c r="U36" s="364">
        <v>200000</v>
      </c>
      <c r="V36" s="71"/>
      <c r="W36" s="71"/>
      <c r="X36" s="71"/>
    </row>
    <row r="37" s="56" customFormat="1" ht="22.5" customHeight="1" spans="1:24">
      <c r="A37" s="326" t="s">
        <v>4217</v>
      </c>
      <c r="B37" s="335">
        <v>43844</v>
      </c>
      <c r="C37" s="326"/>
      <c r="D37" s="326"/>
      <c r="E37" s="326"/>
      <c r="F37" s="336"/>
      <c r="G37" s="326">
        <v>27500</v>
      </c>
      <c r="H37" s="326">
        <v>16500</v>
      </c>
      <c r="I37" s="326">
        <v>16000</v>
      </c>
      <c r="J37" s="71">
        <f t="shared" si="2"/>
        <v>60000</v>
      </c>
      <c r="K37" s="71"/>
      <c r="L37" s="71"/>
      <c r="M37" s="71"/>
      <c r="N37" s="71"/>
      <c r="O37" s="339">
        <v>43482</v>
      </c>
      <c r="Q37" s="339" t="s">
        <v>4218</v>
      </c>
      <c r="R37" s="335">
        <v>44021</v>
      </c>
      <c r="S37" s="326"/>
      <c r="T37" s="326"/>
      <c r="U37" s="364">
        <v>200000</v>
      </c>
      <c r="V37" s="71"/>
      <c r="W37" s="71"/>
      <c r="X37" s="71"/>
    </row>
    <row r="38" s="56" customFormat="1" ht="22.5" customHeight="1" spans="1:24">
      <c r="A38" s="326" t="s">
        <v>4219</v>
      </c>
      <c r="B38" s="335">
        <v>43879</v>
      </c>
      <c r="C38" s="326"/>
      <c r="D38" s="326"/>
      <c r="E38" s="326"/>
      <c r="F38" s="336"/>
      <c r="G38" s="337">
        <v>117900</v>
      </c>
      <c r="H38" s="337">
        <v>54100</v>
      </c>
      <c r="I38" s="337">
        <v>78000</v>
      </c>
      <c r="J38" s="71">
        <f t="shared" si="2"/>
        <v>250000</v>
      </c>
      <c r="K38" s="71"/>
      <c r="L38" s="71"/>
      <c r="M38" s="71"/>
      <c r="N38" s="71"/>
      <c r="O38" s="339">
        <v>43876</v>
      </c>
      <c r="Q38" s="339" t="s">
        <v>4220</v>
      </c>
      <c r="R38" s="335">
        <v>44034</v>
      </c>
      <c r="S38" s="326"/>
      <c r="T38" s="326"/>
      <c r="U38" s="364">
        <v>200000</v>
      </c>
      <c r="V38" s="71"/>
      <c r="W38" s="71"/>
      <c r="X38" s="71"/>
    </row>
    <row r="39" s="56" customFormat="1" ht="22.5" customHeight="1" spans="1:24">
      <c r="A39" s="326" t="s">
        <v>4219</v>
      </c>
      <c r="B39" s="335">
        <v>43881</v>
      </c>
      <c r="C39" s="326">
        <v>12000</v>
      </c>
      <c r="D39" s="326">
        <v>17000</v>
      </c>
      <c r="E39" s="326">
        <v>15500</v>
      </c>
      <c r="F39" s="336">
        <f>SUM(C39:E39)</f>
        <v>44500</v>
      </c>
      <c r="G39" s="326"/>
      <c r="H39" s="326"/>
      <c r="I39" s="326"/>
      <c r="J39" s="71">
        <f t="shared" si="2"/>
        <v>0</v>
      </c>
      <c r="K39" s="71"/>
      <c r="L39" s="71"/>
      <c r="M39" s="71"/>
      <c r="N39" s="71"/>
      <c r="O39" s="339">
        <v>43883</v>
      </c>
      <c r="Q39" s="326" t="s">
        <v>4221</v>
      </c>
      <c r="R39" s="335">
        <v>44046</v>
      </c>
      <c r="S39" s="326"/>
      <c r="T39" s="326"/>
      <c r="U39" s="364">
        <v>50000</v>
      </c>
      <c r="V39" s="71">
        <v>33000</v>
      </c>
      <c r="W39" s="71">
        <v>100000</v>
      </c>
      <c r="X39" s="71"/>
    </row>
    <row r="40" ht="22" customHeight="1" spans="1:31">
      <c r="A40" s="326" t="s">
        <v>4222</v>
      </c>
      <c r="B40" s="335">
        <v>43910</v>
      </c>
      <c r="C40" s="326"/>
      <c r="D40" s="326"/>
      <c r="E40" s="326"/>
      <c r="F40" s="336"/>
      <c r="G40" s="326">
        <v>77500</v>
      </c>
      <c r="H40" s="326">
        <v>35000</v>
      </c>
      <c r="I40" s="326">
        <v>37500</v>
      </c>
      <c r="J40" s="71">
        <f t="shared" si="2"/>
        <v>150000</v>
      </c>
      <c r="K40" s="71"/>
      <c r="L40" s="71"/>
      <c r="M40" s="71"/>
      <c r="N40" s="71"/>
      <c r="O40" s="339">
        <v>43939</v>
      </c>
      <c r="Q40" s="326" t="s">
        <v>4223</v>
      </c>
      <c r="R40" s="335">
        <v>44063</v>
      </c>
      <c r="S40" s="326"/>
      <c r="T40" s="326"/>
      <c r="U40" s="364">
        <v>250000</v>
      </c>
      <c r="V40" s="326"/>
      <c r="W40" s="326"/>
      <c r="X40" s="326"/>
      <c r="Z40" s="56"/>
      <c r="AA40" s="56"/>
      <c r="AB40" s="56"/>
      <c r="AC40" s="56"/>
      <c r="AD40" s="56"/>
      <c r="AE40" s="56"/>
    </row>
    <row r="41" spans="1:31">
      <c r="A41" s="326" t="s">
        <v>4224</v>
      </c>
      <c r="B41" s="335">
        <v>43938</v>
      </c>
      <c r="C41" s="326"/>
      <c r="D41" s="326"/>
      <c r="E41" s="326"/>
      <c r="F41" s="336"/>
      <c r="G41" s="326">
        <v>33500</v>
      </c>
      <c r="H41" s="326">
        <v>39000</v>
      </c>
      <c r="I41" s="326">
        <v>42500</v>
      </c>
      <c r="J41" s="71">
        <f t="shared" si="2"/>
        <v>115000</v>
      </c>
      <c r="K41" s="326"/>
      <c r="L41" s="326"/>
      <c r="M41" s="326"/>
      <c r="N41" s="326"/>
      <c r="O41" s="339">
        <v>43961</v>
      </c>
      <c r="Q41" s="339" t="s">
        <v>4225</v>
      </c>
      <c r="R41" s="335">
        <v>44081</v>
      </c>
      <c r="S41" s="326"/>
      <c r="T41" s="326"/>
      <c r="U41" s="364">
        <v>100000</v>
      </c>
      <c r="V41" s="364"/>
      <c r="W41" s="364"/>
      <c r="X41" s="364"/>
      <c r="Z41" s="56"/>
      <c r="AA41" s="56"/>
      <c r="AB41" s="56"/>
      <c r="AC41" s="56"/>
      <c r="AD41" s="56"/>
      <c r="AE41" s="56"/>
    </row>
    <row r="42" spans="1:31">
      <c r="A42" s="326" t="s">
        <v>4226</v>
      </c>
      <c r="B42" s="335">
        <v>43950</v>
      </c>
      <c r="C42" s="326"/>
      <c r="D42" s="326"/>
      <c r="E42" s="326"/>
      <c r="F42" s="336"/>
      <c r="G42" s="326"/>
      <c r="H42" s="326"/>
      <c r="I42" s="326"/>
      <c r="J42" s="71"/>
      <c r="K42" s="71">
        <v>50000</v>
      </c>
      <c r="L42" s="71"/>
      <c r="M42" s="71"/>
      <c r="N42" s="71"/>
      <c r="O42" s="351">
        <v>43995</v>
      </c>
      <c r="Q42" s="326" t="s">
        <v>4227</v>
      </c>
      <c r="R42" s="335">
        <v>44099</v>
      </c>
      <c r="S42" s="364"/>
      <c r="T42" s="364"/>
      <c r="U42" s="364">
        <v>50000</v>
      </c>
      <c r="V42" s="364"/>
      <c r="W42" s="364"/>
      <c r="X42" s="364"/>
      <c r="Z42" s="56"/>
      <c r="AA42" s="56"/>
      <c r="AB42" s="56"/>
      <c r="AC42" s="56"/>
      <c r="AD42" s="56"/>
      <c r="AE42" s="56"/>
    </row>
    <row r="43" spans="1:31">
      <c r="A43" s="326" t="s">
        <v>4228</v>
      </c>
      <c r="B43" s="335">
        <v>43969</v>
      </c>
      <c r="C43" s="326"/>
      <c r="D43" s="326"/>
      <c r="E43" s="326"/>
      <c r="F43" s="336"/>
      <c r="G43" s="326">
        <v>17000</v>
      </c>
      <c r="H43" s="326">
        <v>23000</v>
      </c>
      <c r="I43" s="326">
        <v>25000</v>
      </c>
      <c r="J43" s="71">
        <f t="shared" ref="J43:J67" si="3">SUM(G43:I43)</f>
        <v>65000</v>
      </c>
      <c r="K43" s="326"/>
      <c r="L43" s="326"/>
      <c r="M43" s="326"/>
      <c r="N43" s="326"/>
      <c r="O43" s="339">
        <v>44009</v>
      </c>
      <c r="Q43" s="364" t="s">
        <v>4229</v>
      </c>
      <c r="R43" s="335">
        <v>44118</v>
      </c>
      <c r="S43" s="364">
        <v>47236</v>
      </c>
      <c r="T43" s="364">
        <v>60000</v>
      </c>
      <c r="U43" s="364"/>
      <c r="V43" s="364"/>
      <c r="W43" s="364"/>
      <c r="X43" s="364"/>
      <c r="Z43" s="56"/>
      <c r="AA43" s="56"/>
      <c r="AB43" s="56"/>
      <c r="AC43" s="56"/>
      <c r="AD43" s="56"/>
      <c r="AE43" s="56"/>
    </row>
    <row r="44" spans="1:24">
      <c r="A44" s="326" t="s">
        <v>4230</v>
      </c>
      <c r="B44" s="335">
        <v>44006</v>
      </c>
      <c r="C44" s="326"/>
      <c r="D44" s="338"/>
      <c r="E44" s="338"/>
      <c r="F44" s="336"/>
      <c r="G44" s="326">
        <v>26000</v>
      </c>
      <c r="H44" s="326">
        <v>55500</v>
      </c>
      <c r="I44" s="326">
        <v>38500</v>
      </c>
      <c r="J44" s="71">
        <f t="shared" si="3"/>
        <v>120000</v>
      </c>
      <c r="K44" s="71"/>
      <c r="L44" s="56"/>
      <c r="M44" s="56"/>
      <c r="N44" s="56"/>
      <c r="O44" s="352">
        <v>44058</v>
      </c>
      <c r="Q44" s="364" t="s">
        <v>4231</v>
      </c>
      <c r="R44" s="335">
        <v>44119</v>
      </c>
      <c r="S44" s="364"/>
      <c r="T44" s="364"/>
      <c r="U44" s="364">
        <v>250000</v>
      </c>
      <c r="V44" s="364"/>
      <c r="W44" s="364"/>
      <c r="X44" s="364"/>
    </row>
    <row r="45" spans="1:24">
      <c r="A45" s="326" t="s">
        <v>4232</v>
      </c>
      <c r="B45" s="335">
        <v>44021</v>
      </c>
      <c r="C45" s="326"/>
      <c r="D45" s="338"/>
      <c r="E45" s="338"/>
      <c r="F45" s="336"/>
      <c r="G45" s="326">
        <v>100000</v>
      </c>
      <c r="H45" s="326">
        <v>40000</v>
      </c>
      <c r="I45" s="326">
        <v>60000</v>
      </c>
      <c r="J45" s="71">
        <f t="shared" si="3"/>
        <v>200000</v>
      </c>
      <c r="K45" s="71">
        <v>48000</v>
      </c>
      <c r="L45" s="56"/>
      <c r="M45" s="56"/>
      <c r="N45" s="56"/>
      <c r="O45" s="352">
        <v>44072</v>
      </c>
      <c r="Q45" s="364" t="s">
        <v>4233</v>
      </c>
      <c r="R45" s="335">
        <v>44130</v>
      </c>
      <c r="S45" s="364"/>
      <c r="T45" s="364"/>
      <c r="U45" s="364">
        <v>100000</v>
      </c>
      <c r="V45" s="364"/>
      <c r="W45" s="364"/>
      <c r="X45" s="364"/>
    </row>
    <row r="46" spans="1:24">
      <c r="A46" s="326" t="s">
        <v>4234</v>
      </c>
      <c r="B46" s="335">
        <v>44034</v>
      </c>
      <c r="C46" s="326"/>
      <c r="D46" s="338"/>
      <c r="E46" s="338"/>
      <c r="F46" s="336"/>
      <c r="G46" s="326">
        <v>59000</v>
      </c>
      <c r="H46" s="326">
        <v>79300</v>
      </c>
      <c r="I46" s="326">
        <v>61700</v>
      </c>
      <c r="J46" s="71">
        <f t="shared" si="3"/>
        <v>200000</v>
      </c>
      <c r="K46" s="71"/>
      <c r="L46" s="71"/>
      <c r="M46" s="71"/>
      <c r="N46" s="71"/>
      <c r="O46" s="339">
        <v>44100</v>
      </c>
      <c r="Q46" s="364" t="s">
        <v>4235</v>
      </c>
      <c r="R46" s="335">
        <v>44159</v>
      </c>
      <c r="S46" s="364"/>
      <c r="T46" s="364"/>
      <c r="U46" s="364">
        <v>100000</v>
      </c>
      <c r="V46" s="364">
        <v>33000</v>
      </c>
      <c r="W46" s="364"/>
      <c r="X46" s="364"/>
    </row>
    <row r="47" spans="1:24">
      <c r="A47" s="326" t="s">
        <v>4236</v>
      </c>
      <c r="B47" s="335">
        <v>44047</v>
      </c>
      <c r="C47" s="326"/>
      <c r="D47" s="326"/>
      <c r="E47" s="326"/>
      <c r="F47" s="326"/>
      <c r="G47" s="326">
        <v>40000</v>
      </c>
      <c r="H47" s="326">
        <v>29000</v>
      </c>
      <c r="I47" s="326">
        <v>31000</v>
      </c>
      <c r="J47" s="71">
        <f t="shared" si="3"/>
        <v>100000</v>
      </c>
      <c r="K47" s="326">
        <v>33000</v>
      </c>
      <c r="L47" s="326"/>
      <c r="M47" s="326"/>
      <c r="N47" s="326"/>
      <c r="O47" s="351">
        <v>44104</v>
      </c>
      <c r="Q47" s="326" t="s">
        <v>4237</v>
      </c>
      <c r="R47" s="335">
        <v>44165</v>
      </c>
      <c r="S47" s="326"/>
      <c r="T47" s="326"/>
      <c r="U47" s="326">
        <v>100000</v>
      </c>
      <c r="V47" s="364">
        <v>33000</v>
      </c>
      <c r="W47" s="364"/>
      <c r="X47" s="364"/>
    </row>
    <row r="48" s="322" customFormat="1" spans="1:24">
      <c r="A48" s="326" t="s">
        <v>4238</v>
      </c>
      <c r="B48" s="339">
        <v>44063</v>
      </c>
      <c r="C48" s="326"/>
      <c r="D48" s="326"/>
      <c r="E48" s="326"/>
      <c r="F48" s="326"/>
      <c r="G48" s="326">
        <v>31000</v>
      </c>
      <c r="H48" s="326">
        <v>40000</v>
      </c>
      <c r="I48" s="326">
        <v>29000</v>
      </c>
      <c r="J48" s="71">
        <f t="shared" si="3"/>
        <v>100000</v>
      </c>
      <c r="K48" s="326"/>
      <c r="L48" s="326"/>
      <c r="M48" s="326"/>
      <c r="N48" s="326"/>
      <c r="O48" s="339">
        <v>44121</v>
      </c>
      <c r="Q48" s="364" t="s">
        <v>4239</v>
      </c>
      <c r="R48" s="335">
        <v>44207</v>
      </c>
      <c r="S48" s="364">
        <v>47236</v>
      </c>
      <c r="T48" s="364"/>
      <c r="U48" s="364">
        <v>150000</v>
      </c>
      <c r="V48" s="364"/>
      <c r="W48" s="364"/>
      <c r="X48" s="364"/>
    </row>
    <row r="49" s="322" customFormat="1" spans="1:24">
      <c r="A49" s="326" t="s">
        <v>4238</v>
      </c>
      <c r="B49" s="339">
        <v>44063</v>
      </c>
      <c r="C49" s="326"/>
      <c r="D49" s="326"/>
      <c r="E49" s="326"/>
      <c r="F49" s="326"/>
      <c r="G49" s="326">
        <v>55000</v>
      </c>
      <c r="H49" s="326">
        <v>51000</v>
      </c>
      <c r="I49" s="326">
        <v>51000</v>
      </c>
      <c r="J49" s="71">
        <f t="shared" si="3"/>
        <v>157000</v>
      </c>
      <c r="K49" s="326"/>
      <c r="L49" s="326"/>
      <c r="M49" s="326"/>
      <c r="N49" s="326"/>
      <c r="O49" s="339">
        <v>44121</v>
      </c>
      <c r="Q49" s="364" t="s">
        <v>4240</v>
      </c>
      <c r="R49" s="335">
        <v>44252</v>
      </c>
      <c r="S49" s="364">
        <v>47236</v>
      </c>
      <c r="T49" s="364"/>
      <c r="U49" s="364">
        <v>250000</v>
      </c>
      <c r="V49" s="364"/>
      <c r="W49" s="364"/>
      <c r="X49" s="364"/>
    </row>
    <row r="50" spans="1:24">
      <c r="A50" s="326" t="s">
        <v>4241</v>
      </c>
      <c r="B50" s="339">
        <v>44081</v>
      </c>
      <c r="C50" s="326"/>
      <c r="D50" s="326"/>
      <c r="E50" s="326"/>
      <c r="F50" s="326"/>
      <c r="G50" s="326">
        <v>6000</v>
      </c>
      <c r="H50" s="326">
        <v>12000</v>
      </c>
      <c r="I50" s="326">
        <v>10000</v>
      </c>
      <c r="J50" s="71">
        <f t="shared" si="3"/>
        <v>28000</v>
      </c>
      <c r="K50" s="326"/>
      <c r="L50" s="326"/>
      <c r="M50" s="326"/>
      <c r="N50" s="326"/>
      <c r="O50" s="339">
        <v>44135</v>
      </c>
      <c r="Q50" s="364" t="s">
        <v>4242</v>
      </c>
      <c r="R50" s="335">
        <v>44271</v>
      </c>
      <c r="S50" s="364"/>
      <c r="T50" s="364"/>
      <c r="U50" s="364">
        <v>200000</v>
      </c>
      <c r="V50" s="364"/>
      <c r="W50" s="364"/>
      <c r="X50" s="364"/>
    </row>
    <row r="51" s="322" customFormat="1" spans="1:25">
      <c r="A51" s="326" t="s">
        <v>4243</v>
      </c>
      <c r="B51" s="335">
        <v>44099</v>
      </c>
      <c r="C51" s="326"/>
      <c r="D51" s="326"/>
      <c r="E51" s="326"/>
      <c r="F51" s="336"/>
      <c r="G51" s="326">
        <v>25000</v>
      </c>
      <c r="H51" s="326">
        <v>30000</v>
      </c>
      <c r="I51" s="326">
        <v>25000</v>
      </c>
      <c r="J51" s="71">
        <f t="shared" si="3"/>
        <v>80000</v>
      </c>
      <c r="K51" s="71"/>
      <c r="L51" s="71"/>
      <c r="M51" s="71"/>
      <c r="N51" s="71"/>
      <c r="O51" s="339">
        <v>44139</v>
      </c>
      <c r="Q51" s="364" t="s">
        <v>4244</v>
      </c>
      <c r="R51" s="335">
        <v>44286</v>
      </c>
      <c r="S51" s="364">
        <v>38612</v>
      </c>
      <c r="T51" s="364">
        <v>68700</v>
      </c>
      <c r="U51" s="364">
        <v>400000</v>
      </c>
      <c r="V51" s="364"/>
      <c r="W51" s="364"/>
      <c r="X51" s="364"/>
      <c r="Y51" s="365" t="s">
        <v>4245</v>
      </c>
    </row>
    <row r="52" s="322" customFormat="1" spans="1:25">
      <c r="A52" s="326" t="s">
        <v>4246</v>
      </c>
      <c r="B52" s="335">
        <v>44113</v>
      </c>
      <c r="C52" s="326"/>
      <c r="D52" s="326"/>
      <c r="E52" s="326">
        <v>20000</v>
      </c>
      <c r="F52" s="336">
        <f>SUM(C52:E52)</f>
        <v>20000</v>
      </c>
      <c r="G52" s="326"/>
      <c r="H52" s="326"/>
      <c r="I52" s="326"/>
      <c r="J52" s="71">
        <f t="shared" si="3"/>
        <v>0</v>
      </c>
      <c r="K52" s="71"/>
      <c r="L52" s="71"/>
      <c r="M52" s="71"/>
      <c r="N52" s="71"/>
      <c r="O52" s="339">
        <v>44191</v>
      </c>
      <c r="Q52" s="364" t="s">
        <v>4247</v>
      </c>
      <c r="R52" s="335">
        <v>44299</v>
      </c>
      <c r="S52" s="364">
        <v>47236</v>
      </c>
      <c r="T52" s="364"/>
      <c r="U52" s="337">
        <v>1138000</v>
      </c>
      <c r="V52" s="364"/>
      <c r="W52" s="364"/>
      <c r="X52" s="364"/>
      <c r="Y52" s="366" t="s">
        <v>4248</v>
      </c>
    </row>
    <row r="53" s="322" customFormat="1" spans="1:25">
      <c r="A53" s="326" t="s">
        <v>4249</v>
      </c>
      <c r="B53" s="335">
        <v>44119</v>
      </c>
      <c r="C53" s="326"/>
      <c r="D53" s="326"/>
      <c r="E53" s="326"/>
      <c r="F53" s="336"/>
      <c r="G53" s="326">
        <v>62000</v>
      </c>
      <c r="H53" s="326">
        <v>59500</v>
      </c>
      <c r="I53" s="326">
        <v>63500</v>
      </c>
      <c r="J53" s="71">
        <f t="shared" si="3"/>
        <v>185000</v>
      </c>
      <c r="K53" s="71"/>
      <c r="L53" s="71"/>
      <c r="M53" s="71"/>
      <c r="N53" s="71"/>
      <c r="O53" s="339">
        <v>44165</v>
      </c>
      <c r="Q53" s="326" t="s">
        <v>4250</v>
      </c>
      <c r="R53" s="335">
        <v>44329</v>
      </c>
      <c r="S53" s="364">
        <v>42000</v>
      </c>
      <c r="T53" s="326"/>
      <c r="U53" s="326">
        <v>1088000</v>
      </c>
      <c r="V53" s="364"/>
      <c r="W53" s="364"/>
      <c r="X53" s="364"/>
      <c r="Y53" s="366" t="s">
        <v>4248</v>
      </c>
    </row>
    <row r="54" s="322" customFormat="1" spans="1:24">
      <c r="A54" s="326" t="s">
        <v>4249</v>
      </c>
      <c r="B54" s="335">
        <v>44119</v>
      </c>
      <c r="C54" s="326">
        <v>20000</v>
      </c>
      <c r="D54" s="326">
        <v>20000</v>
      </c>
      <c r="E54" s="326"/>
      <c r="F54" s="336">
        <f>SUM(C54:E54)</f>
        <v>40000</v>
      </c>
      <c r="G54" s="326"/>
      <c r="H54" s="326"/>
      <c r="I54" s="326"/>
      <c r="J54" s="71">
        <f t="shared" si="3"/>
        <v>0</v>
      </c>
      <c r="K54" s="71"/>
      <c r="L54" s="71"/>
      <c r="M54" s="71"/>
      <c r="N54" s="71"/>
      <c r="O54" s="339">
        <v>44196</v>
      </c>
      <c r="Q54" s="326" t="s">
        <v>4251</v>
      </c>
      <c r="R54" s="335">
        <v>44356</v>
      </c>
      <c r="S54" s="364">
        <v>80000</v>
      </c>
      <c r="T54" s="364"/>
      <c r="U54" s="364"/>
      <c r="V54" s="364"/>
      <c r="W54" s="364"/>
      <c r="X54" s="364"/>
    </row>
    <row r="55" s="322" customFormat="1" spans="1:29">
      <c r="A55" s="326" t="s">
        <v>4252</v>
      </c>
      <c r="B55" s="335">
        <v>44140</v>
      </c>
      <c r="C55" s="326"/>
      <c r="D55" s="326"/>
      <c r="E55" s="326"/>
      <c r="F55" s="336"/>
      <c r="G55" s="326">
        <v>53000</v>
      </c>
      <c r="H55" s="326">
        <v>48000</v>
      </c>
      <c r="I55" s="326">
        <v>49000</v>
      </c>
      <c r="J55" s="71">
        <f t="shared" si="3"/>
        <v>150000</v>
      </c>
      <c r="K55" s="71"/>
      <c r="L55" s="71"/>
      <c r="M55" s="71"/>
      <c r="N55" s="71"/>
      <c r="O55" s="339">
        <v>44196</v>
      </c>
      <c r="Q55" s="326" t="s">
        <v>4253</v>
      </c>
      <c r="R55" s="335">
        <v>44384</v>
      </c>
      <c r="S55" s="364"/>
      <c r="T55" s="364"/>
      <c r="U55" s="364"/>
      <c r="V55" s="364">
        <v>93888</v>
      </c>
      <c r="W55" s="364">
        <v>4338</v>
      </c>
      <c r="X55" s="337">
        <v>105662</v>
      </c>
      <c r="Y55" s="361" t="s">
        <v>4254</v>
      </c>
      <c r="AC55" s="358" t="s">
        <v>4255</v>
      </c>
    </row>
    <row r="56" s="322" customFormat="1" spans="1:29">
      <c r="A56" s="326" t="s">
        <v>4256</v>
      </c>
      <c r="B56" s="335">
        <v>44159</v>
      </c>
      <c r="C56" s="326"/>
      <c r="D56" s="326"/>
      <c r="E56" s="326"/>
      <c r="F56" s="336"/>
      <c r="G56" s="326">
        <v>30000</v>
      </c>
      <c r="H56" s="326">
        <v>36000</v>
      </c>
      <c r="I56" s="326">
        <v>34000</v>
      </c>
      <c r="J56" s="71">
        <f t="shared" si="3"/>
        <v>100000</v>
      </c>
      <c r="K56" s="71"/>
      <c r="L56" s="71"/>
      <c r="M56" s="71"/>
      <c r="N56" s="71"/>
      <c r="O56" s="353">
        <v>44219</v>
      </c>
      <c r="Q56" s="326" t="s">
        <v>4257</v>
      </c>
      <c r="R56" s="335">
        <v>44495</v>
      </c>
      <c r="S56" s="364"/>
      <c r="T56" s="364"/>
      <c r="U56" s="364"/>
      <c r="V56" s="364"/>
      <c r="W56" s="364"/>
      <c r="X56" s="337">
        <v>110000</v>
      </c>
      <c r="Y56" s="358" t="s">
        <v>4258</v>
      </c>
      <c r="AC56" s="358" t="s">
        <v>4255</v>
      </c>
    </row>
    <row r="57" s="322" customFormat="1" spans="1:24">
      <c r="A57" s="326" t="s">
        <v>4259</v>
      </c>
      <c r="B57" s="335">
        <v>44207</v>
      </c>
      <c r="C57" s="326"/>
      <c r="D57" s="326"/>
      <c r="E57" s="326"/>
      <c r="F57" s="336"/>
      <c r="G57" s="326">
        <v>37000</v>
      </c>
      <c r="H57" s="326">
        <v>30000</v>
      </c>
      <c r="I57" s="326">
        <v>33000</v>
      </c>
      <c r="J57" s="71">
        <f t="shared" si="3"/>
        <v>100000</v>
      </c>
      <c r="K57" s="71"/>
      <c r="L57" s="71"/>
      <c r="M57" s="71"/>
      <c r="N57" s="71"/>
      <c r="O57" s="354">
        <v>44268</v>
      </c>
      <c r="Q57" s="326" t="s">
        <v>4260</v>
      </c>
      <c r="R57" s="335">
        <v>44502</v>
      </c>
      <c r="S57" s="364"/>
      <c r="T57" s="364">
        <v>68700</v>
      </c>
      <c r="U57" s="364"/>
      <c r="V57" s="364"/>
      <c r="W57" s="364"/>
      <c r="X57" s="364"/>
    </row>
    <row r="58" s="322" customFormat="1" spans="1:29">
      <c r="A58" s="326" t="s">
        <v>4261</v>
      </c>
      <c r="B58" s="335">
        <v>44230</v>
      </c>
      <c r="C58" s="326">
        <v>20000</v>
      </c>
      <c r="D58" s="326"/>
      <c r="E58" s="326"/>
      <c r="F58" s="336">
        <f>SUM(C58:E58)</f>
        <v>20000</v>
      </c>
      <c r="G58" s="326"/>
      <c r="H58" s="326"/>
      <c r="I58" s="326"/>
      <c r="J58" s="71">
        <f t="shared" si="3"/>
        <v>0</v>
      </c>
      <c r="K58" s="71"/>
      <c r="L58" s="71"/>
      <c r="M58" s="71"/>
      <c r="N58" s="71"/>
      <c r="O58" s="339">
        <v>44282</v>
      </c>
      <c r="Q58" s="326" t="s">
        <v>4262</v>
      </c>
      <c r="R58" s="335">
        <v>44532</v>
      </c>
      <c r="S58" s="364"/>
      <c r="T58" s="364"/>
      <c r="U58" s="364"/>
      <c r="V58" s="364"/>
      <c r="W58" s="364"/>
      <c r="X58" s="337">
        <v>219303</v>
      </c>
      <c r="Y58" s="362" t="s">
        <v>4263</v>
      </c>
      <c r="AC58" s="358" t="s">
        <v>4264</v>
      </c>
    </row>
    <row r="59" s="322" customFormat="1" spans="1:29">
      <c r="A59" s="326" t="s">
        <v>4265</v>
      </c>
      <c r="B59" s="335">
        <v>44252</v>
      </c>
      <c r="C59" s="326">
        <v>20000</v>
      </c>
      <c r="D59" s="326">
        <v>20000</v>
      </c>
      <c r="E59" s="326">
        <v>20000</v>
      </c>
      <c r="F59" s="336">
        <f t="shared" ref="F59:F63" si="4">SUM(C59:E59)</f>
        <v>60000</v>
      </c>
      <c r="G59" s="326">
        <v>97000</v>
      </c>
      <c r="H59" s="326">
        <v>78000</v>
      </c>
      <c r="I59" s="326">
        <v>75000</v>
      </c>
      <c r="J59" s="71">
        <f t="shared" si="3"/>
        <v>250000</v>
      </c>
      <c r="K59" s="71">
        <v>20000</v>
      </c>
      <c r="L59" s="71"/>
      <c r="M59" s="71"/>
      <c r="N59" s="71"/>
      <c r="O59" s="339">
        <v>44303</v>
      </c>
      <c r="Q59" s="326" t="s">
        <v>4262</v>
      </c>
      <c r="R59" s="335">
        <v>44532</v>
      </c>
      <c r="S59" s="364"/>
      <c r="T59" s="364"/>
      <c r="U59" s="364"/>
      <c r="V59" s="364"/>
      <c r="W59" s="364"/>
      <c r="X59" s="364">
        <v>71925</v>
      </c>
      <c r="Y59" s="358" t="s">
        <v>4258</v>
      </c>
      <c r="AC59" s="358" t="s">
        <v>4266</v>
      </c>
    </row>
    <row r="60" s="322" customFormat="1" spans="1:29">
      <c r="A60" s="326" t="s">
        <v>4267</v>
      </c>
      <c r="B60" s="335">
        <v>44271</v>
      </c>
      <c r="C60" s="326"/>
      <c r="D60" s="326"/>
      <c r="E60" s="326"/>
      <c r="F60" s="336"/>
      <c r="G60" s="326">
        <v>81000</v>
      </c>
      <c r="H60" s="326">
        <v>35000</v>
      </c>
      <c r="I60" s="326">
        <v>34000</v>
      </c>
      <c r="J60" s="71">
        <f t="shared" si="3"/>
        <v>150000</v>
      </c>
      <c r="K60" s="71"/>
      <c r="L60" s="71"/>
      <c r="M60" s="71"/>
      <c r="N60" s="71"/>
      <c r="O60" s="339">
        <v>44331</v>
      </c>
      <c r="Q60" s="326" t="s">
        <v>4268</v>
      </c>
      <c r="R60" s="335">
        <v>44547</v>
      </c>
      <c r="S60" s="364"/>
      <c r="T60" s="364"/>
      <c r="U60" s="364"/>
      <c r="V60" s="364"/>
      <c r="W60" s="364"/>
      <c r="X60" s="364">
        <v>300014</v>
      </c>
      <c r="Y60" s="358" t="s">
        <v>4258</v>
      </c>
      <c r="AC60" s="322" t="s">
        <v>4269</v>
      </c>
    </row>
    <row r="61" s="322" customFormat="1" spans="1:29">
      <c r="A61" s="326" t="s">
        <v>4270</v>
      </c>
      <c r="B61" s="335">
        <v>44299</v>
      </c>
      <c r="C61" s="326">
        <v>20000</v>
      </c>
      <c r="D61" s="326">
        <v>20000</v>
      </c>
      <c r="E61" s="326">
        <v>20000</v>
      </c>
      <c r="F61" s="336">
        <f t="shared" si="4"/>
        <v>60000</v>
      </c>
      <c r="G61" s="326">
        <v>159000</v>
      </c>
      <c r="H61" s="326">
        <v>99000</v>
      </c>
      <c r="I61" s="326">
        <v>102000</v>
      </c>
      <c r="J61" s="71">
        <f t="shared" si="3"/>
        <v>360000</v>
      </c>
      <c r="K61" s="71"/>
      <c r="L61" s="71"/>
      <c r="M61" s="71"/>
      <c r="N61" s="71"/>
      <c r="O61" s="339">
        <v>44359</v>
      </c>
      <c r="Q61" s="326" t="s">
        <v>4268</v>
      </c>
      <c r="R61" s="335">
        <v>44547</v>
      </c>
      <c r="S61" s="364"/>
      <c r="T61" s="364"/>
      <c r="U61" s="364"/>
      <c r="V61" s="364"/>
      <c r="W61" s="364"/>
      <c r="X61" s="337">
        <v>9000</v>
      </c>
      <c r="Y61" s="362" t="s">
        <v>4271</v>
      </c>
      <c r="AC61" s="358" t="s">
        <v>4255</v>
      </c>
    </row>
    <row r="62" s="322" customFormat="1" spans="1:29">
      <c r="A62" s="326" t="s">
        <v>4272</v>
      </c>
      <c r="B62" s="335">
        <v>44333</v>
      </c>
      <c r="C62" s="326"/>
      <c r="D62" s="326"/>
      <c r="E62" s="326">
        <v>20000</v>
      </c>
      <c r="F62" s="336">
        <f t="shared" si="4"/>
        <v>20000</v>
      </c>
      <c r="G62" s="326">
        <v>172500</v>
      </c>
      <c r="H62" s="326">
        <v>86000</v>
      </c>
      <c r="I62" s="326">
        <v>81500</v>
      </c>
      <c r="J62" s="71">
        <f t="shared" si="3"/>
        <v>340000</v>
      </c>
      <c r="K62" s="71"/>
      <c r="L62" s="71"/>
      <c r="M62" s="71"/>
      <c r="N62" s="71"/>
      <c r="O62" s="339">
        <v>44408</v>
      </c>
      <c r="Q62" s="326" t="s">
        <v>4273</v>
      </c>
      <c r="R62" s="335">
        <v>44561</v>
      </c>
      <c r="S62" s="364"/>
      <c r="T62" s="364"/>
      <c r="U62" s="364">
        <v>200000</v>
      </c>
      <c r="V62" s="364"/>
      <c r="W62" s="364"/>
      <c r="X62" s="364">
        <v>141000</v>
      </c>
      <c r="Y62" s="358" t="s">
        <v>4274</v>
      </c>
      <c r="AC62" s="358" t="s">
        <v>4255</v>
      </c>
    </row>
    <row r="63" s="322" customFormat="1" spans="1:29">
      <c r="A63" s="326" t="s">
        <v>4275</v>
      </c>
      <c r="B63" s="335">
        <v>44364</v>
      </c>
      <c r="C63" s="326">
        <v>20000</v>
      </c>
      <c r="D63" s="326">
        <v>20000</v>
      </c>
      <c r="E63" s="326"/>
      <c r="F63" s="336">
        <f t="shared" si="4"/>
        <v>40000</v>
      </c>
      <c r="G63" s="326">
        <v>57500</v>
      </c>
      <c r="H63" s="326">
        <v>52000</v>
      </c>
      <c r="I63" s="326">
        <v>40500</v>
      </c>
      <c r="J63" s="71">
        <f t="shared" si="3"/>
        <v>150000</v>
      </c>
      <c r="K63" s="71"/>
      <c r="L63" s="71"/>
      <c r="M63" s="71"/>
      <c r="N63" s="71"/>
      <c r="O63" s="339">
        <v>44443</v>
      </c>
      <c r="Q63" s="326" t="s">
        <v>4276</v>
      </c>
      <c r="R63" s="335">
        <v>44587</v>
      </c>
      <c r="S63" s="364">
        <v>94000</v>
      </c>
      <c r="T63" s="364"/>
      <c r="U63" s="364">
        <v>300000</v>
      </c>
      <c r="V63" s="364"/>
      <c r="W63" s="364"/>
      <c r="X63" s="364">
        <v>235000</v>
      </c>
      <c r="AC63" s="358" t="s">
        <v>4255</v>
      </c>
    </row>
    <row r="64" s="322" customFormat="1" spans="1:25">
      <c r="A64" s="326" t="s">
        <v>4277</v>
      </c>
      <c r="B64" s="335">
        <v>44396</v>
      </c>
      <c r="C64" s="326"/>
      <c r="D64" s="326"/>
      <c r="E64" s="326"/>
      <c r="F64" s="336"/>
      <c r="G64" s="326">
        <v>78500</v>
      </c>
      <c r="H64" s="326">
        <v>58500</v>
      </c>
      <c r="I64" s="326">
        <v>63000</v>
      </c>
      <c r="J64" s="71">
        <f t="shared" si="3"/>
        <v>200000</v>
      </c>
      <c r="K64" s="71">
        <v>46000</v>
      </c>
      <c r="L64" s="71"/>
      <c r="M64" s="71"/>
      <c r="N64" s="71"/>
      <c r="O64" s="339">
        <v>44492</v>
      </c>
      <c r="Q64" s="364" t="s">
        <v>4278</v>
      </c>
      <c r="R64" s="335">
        <v>44624</v>
      </c>
      <c r="S64" s="364"/>
      <c r="T64" s="364"/>
      <c r="U64" s="364">
        <v>304000</v>
      </c>
      <c r="V64" s="364"/>
      <c r="W64" s="364"/>
      <c r="X64" s="364">
        <v>0</v>
      </c>
      <c r="Y64" s="362" t="s">
        <v>4279</v>
      </c>
    </row>
    <row r="65" s="322" customFormat="1" spans="1:25">
      <c r="A65" s="326" t="s">
        <v>4280</v>
      </c>
      <c r="B65" s="335">
        <v>44440</v>
      </c>
      <c r="C65" s="326">
        <v>20000</v>
      </c>
      <c r="D65" s="326"/>
      <c r="E65" s="326"/>
      <c r="F65" s="336">
        <f t="shared" ref="F65:F69" si="5">SUM(C65:E65)</f>
        <v>20000</v>
      </c>
      <c r="G65" s="326">
        <v>163000</v>
      </c>
      <c r="H65" s="326">
        <v>46000</v>
      </c>
      <c r="I65" s="326">
        <v>41000</v>
      </c>
      <c r="J65" s="71">
        <f t="shared" si="3"/>
        <v>250000</v>
      </c>
      <c r="K65" s="71"/>
      <c r="L65" s="71">
        <v>30000</v>
      </c>
      <c r="M65" s="71">
        <v>30000</v>
      </c>
      <c r="N65" s="71">
        <v>30000</v>
      </c>
      <c r="O65" s="339">
        <v>44506</v>
      </c>
      <c r="Q65" s="364" t="s">
        <v>4281</v>
      </c>
      <c r="R65" s="335">
        <v>44629</v>
      </c>
      <c r="S65" s="364">
        <v>47000</v>
      </c>
      <c r="T65" s="364"/>
      <c r="U65" s="364"/>
      <c r="V65" s="364"/>
      <c r="W65" s="364"/>
      <c r="X65" s="364">
        <v>0</v>
      </c>
      <c r="Y65" s="362" t="s">
        <v>4282</v>
      </c>
    </row>
    <row r="66" s="322" customFormat="1" spans="1:29">
      <c r="A66" s="326" t="s">
        <v>4283</v>
      </c>
      <c r="B66" s="335">
        <v>44463</v>
      </c>
      <c r="C66" s="326"/>
      <c r="D66" s="326"/>
      <c r="E66" s="326"/>
      <c r="F66" s="336"/>
      <c r="G66" s="326">
        <v>19000</v>
      </c>
      <c r="H66" s="326">
        <v>71000</v>
      </c>
      <c r="I66" s="326">
        <v>80000</v>
      </c>
      <c r="J66" s="71">
        <f t="shared" si="3"/>
        <v>170000</v>
      </c>
      <c r="K66" s="71"/>
      <c r="L66" s="71"/>
      <c r="M66" s="71"/>
      <c r="N66" s="71"/>
      <c r="O66" s="339">
        <v>44534</v>
      </c>
      <c r="Q66" s="364" t="s">
        <v>4284</v>
      </c>
      <c r="R66" s="335">
        <v>44644</v>
      </c>
      <c r="S66" s="364"/>
      <c r="T66" s="364"/>
      <c r="U66" s="364"/>
      <c r="V66" s="364"/>
      <c r="W66" s="364"/>
      <c r="X66" s="364">
        <v>160000</v>
      </c>
      <c r="Y66" s="322" t="s">
        <v>4285</v>
      </c>
      <c r="AC66" s="322" t="s">
        <v>4286</v>
      </c>
    </row>
    <row r="67" s="322" customFormat="1" spans="1:29">
      <c r="A67" s="326" t="s">
        <v>4287</v>
      </c>
      <c r="B67" s="335">
        <v>44531</v>
      </c>
      <c r="C67" s="71">
        <v>25000</v>
      </c>
      <c r="D67" s="326"/>
      <c r="E67" s="71">
        <v>20000</v>
      </c>
      <c r="F67" s="336">
        <f t="shared" si="5"/>
        <v>45000</v>
      </c>
      <c r="G67" s="326">
        <v>123000</v>
      </c>
      <c r="H67" s="326">
        <v>52000</v>
      </c>
      <c r="I67" s="326">
        <v>55000</v>
      </c>
      <c r="J67" s="71">
        <f t="shared" si="3"/>
        <v>230000</v>
      </c>
      <c r="K67" s="337">
        <v>7338</v>
      </c>
      <c r="L67" s="71">
        <v>16500</v>
      </c>
      <c r="M67" s="71">
        <v>16500</v>
      </c>
      <c r="N67" s="71">
        <v>16500</v>
      </c>
      <c r="O67" s="339">
        <v>44211</v>
      </c>
      <c r="Q67" s="364" t="s">
        <v>4288</v>
      </c>
      <c r="R67" s="335">
        <v>44676</v>
      </c>
      <c r="S67" s="364"/>
      <c r="T67" s="364"/>
      <c r="U67" s="364"/>
      <c r="V67" s="364"/>
      <c r="W67" s="364"/>
      <c r="X67" s="364">
        <v>64000</v>
      </c>
      <c r="Y67" s="322" t="s">
        <v>4285</v>
      </c>
      <c r="AC67" s="362" t="s">
        <v>4289</v>
      </c>
    </row>
    <row r="68" s="322" customFormat="1" spans="1:25">
      <c r="A68" s="326" t="s">
        <v>4290</v>
      </c>
      <c r="B68" s="335">
        <v>44532</v>
      </c>
      <c r="C68" s="71"/>
      <c r="D68" s="326"/>
      <c r="E68" s="71"/>
      <c r="F68" s="336"/>
      <c r="G68" s="326"/>
      <c r="H68" s="326"/>
      <c r="I68" s="326"/>
      <c r="J68" s="71"/>
      <c r="K68" s="71"/>
      <c r="L68" s="71">
        <v>20000</v>
      </c>
      <c r="M68" s="71">
        <v>20000</v>
      </c>
      <c r="N68" s="71">
        <v>20000</v>
      </c>
      <c r="O68" s="339">
        <v>44618</v>
      </c>
      <c r="Q68" s="364" t="s">
        <v>4288</v>
      </c>
      <c r="R68" s="335">
        <v>44676</v>
      </c>
      <c r="S68" s="364"/>
      <c r="T68" s="364"/>
      <c r="U68" s="364"/>
      <c r="V68" s="364"/>
      <c r="W68" s="364"/>
      <c r="X68" s="364">
        <v>188000</v>
      </c>
      <c r="Y68" s="361" t="s">
        <v>4291</v>
      </c>
    </row>
    <row r="69" s="322" customFormat="1" spans="1:25">
      <c r="A69" s="326" t="s">
        <v>4292</v>
      </c>
      <c r="B69" s="335">
        <v>44540</v>
      </c>
      <c r="C69" s="71">
        <v>20000</v>
      </c>
      <c r="D69" s="326"/>
      <c r="E69" s="71">
        <v>20000</v>
      </c>
      <c r="F69" s="336">
        <f t="shared" si="5"/>
        <v>40000</v>
      </c>
      <c r="G69" s="326">
        <v>100000</v>
      </c>
      <c r="H69" s="326">
        <v>102000</v>
      </c>
      <c r="I69" s="326">
        <v>103000</v>
      </c>
      <c r="J69" s="71">
        <f t="shared" ref="J69:J74" si="6">SUM(G69:I69)</f>
        <v>305000</v>
      </c>
      <c r="K69" s="71"/>
      <c r="L69" s="71"/>
      <c r="M69" s="71"/>
      <c r="N69" s="71"/>
      <c r="O69" s="339">
        <v>44269</v>
      </c>
      <c r="Q69" s="71" t="s">
        <v>4293</v>
      </c>
      <c r="R69" s="367">
        <v>44843</v>
      </c>
      <c r="S69" s="71"/>
      <c r="T69" s="71"/>
      <c r="U69" s="71">
        <v>240000</v>
      </c>
      <c r="V69" s="71"/>
      <c r="W69" s="71"/>
      <c r="X69" s="71"/>
      <c r="Y69" s="352">
        <v>44879</v>
      </c>
    </row>
    <row r="70" s="322" customFormat="1" spans="1:26">
      <c r="A70" s="326" t="s">
        <v>4294</v>
      </c>
      <c r="B70" s="335">
        <v>44547</v>
      </c>
      <c r="C70" s="71"/>
      <c r="D70" s="326"/>
      <c r="E70" s="71"/>
      <c r="F70" s="336"/>
      <c r="G70" s="326"/>
      <c r="H70" s="326"/>
      <c r="I70" s="326"/>
      <c r="J70" s="71"/>
      <c r="K70" s="71"/>
      <c r="L70" s="71">
        <v>90000</v>
      </c>
      <c r="M70" s="71">
        <v>70000</v>
      </c>
      <c r="N70" s="71">
        <v>70000</v>
      </c>
      <c r="O70" s="339">
        <v>44299</v>
      </c>
      <c r="Q70" s="71" t="s">
        <v>4295</v>
      </c>
      <c r="R70" s="367">
        <v>44984</v>
      </c>
      <c r="S70" s="71"/>
      <c r="T70" s="71"/>
      <c r="U70" s="71">
        <v>300000</v>
      </c>
      <c r="V70" s="71"/>
      <c r="W70" s="71"/>
      <c r="X70" s="71"/>
      <c r="Y70" s="387" t="s">
        <v>4296</v>
      </c>
      <c r="Z70" s="388" t="s">
        <v>4297</v>
      </c>
    </row>
    <row r="71" s="322" customFormat="1" spans="1:25">
      <c r="A71" s="326" t="s">
        <v>4298</v>
      </c>
      <c r="B71" s="335">
        <v>44567</v>
      </c>
      <c r="C71" s="71"/>
      <c r="D71" s="326"/>
      <c r="E71" s="71"/>
      <c r="F71" s="336"/>
      <c r="G71" s="326">
        <v>44000</v>
      </c>
      <c r="H71" s="326">
        <v>32000</v>
      </c>
      <c r="I71" s="326">
        <v>29000</v>
      </c>
      <c r="J71" s="71">
        <f t="shared" si="6"/>
        <v>105000</v>
      </c>
      <c r="K71" s="71"/>
      <c r="L71" s="71"/>
      <c r="M71" s="71"/>
      <c r="N71" s="71"/>
      <c r="O71" s="339">
        <v>44660</v>
      </c>
      <c r="Q71" s="71" t="s">
        <v>4299</v>
      </c>
      <c r="R71" s="367">
        <v>45016</v>
      </c>
      <c r="S71" s="71"/>
      <c r="T71" s="71"/>
      <c r="U71" s="71">
        <v>300000</v>
      </c>
      <c r="V71" s="71"/>
      <c r="W71" s="71"/>
      <c r="X71" s="71"/>
      <c r="Y71" s="389" t="s">
        <v>4300</v>
      </c>
    </row>
    <row r="72" s="322" customFormat="1" ht="15" spans="1:25">
      <c r="A72" s="326" t="s">
        <v>4301</v>
      </c>
      <c r="B72" s="335">
        <v>44603</v>
      </c>
      <c r="C72" s="71">
        <v>40000</v>
      </c>
      <c r="D72" s="326">
        <v>20000</v>
      </c>
      <c r="E72" s="71">
        <v>20000</v>
      </c>
      <c r="F72" s="336">
        <f>SUM(C72:E72)</f>
        <v>80000</v>
      </c>
      <c r="G72" s="326">
        <v>60000</v>
      </c>
      <c r="H72" s="326">
        <v>60000</v>
      </c>
      <c r="I72" s="326">
        <v>60000</v>
      </c>
      <c r="J72" s="71">
        <f t="shared" si="6"/>
        <v>180000</v>
      </c>
      <c r="K72" s="71"/>
      <c r="L72" s="71">
        <v>110000</v>
      </c>
      <c r="M72" s="71">
        <v>90000</v>
      </c>
      <c r="N72" s="71">
        <v>90000</v>
      </c>
      <c r="O72" s="339">
        <v>44688</v>
      </c>
      <c r="Q72" s="71" t="s">
        <v>4299</v>
      </c>
      <c r="R72" s="367">
        <v>45016</v>
      </c>
      <c r="S72" s="88">
        <v>47000</v>
      </c>
      <c r="T72" s="71"/>
      <c r="U72" s="372"/>
      <c r="V72" s="71"/>
      <c r="W72" s="71"/>
      <c r="X72" s="71"/>
      <c r="Y72" s="389" t="s">
        <v>4300</v>
      </c>
    </row>
    <row r="73" s="322" customFormat="1" spans="1:25">
      <c r="A73" s="326" t="s">
        <v>4302</v>
      </c>
      <c r="B73" s="335">
        <v>44641</v>
      </c>
      <c r="C73" s="71">
        <v>25000</v>
      </c>
      <c r="D73" s="326">
        <v>20000</v>
      </c>
      <c r="E73" s="71">
        <v>20000</v>
      </c>
      <c r="F73" s="336">
        <f>SUM(C73:E73)</f>
        <v>65000</v>
      </c>
      <c r="G73" s="326">
        <f>143000-63000</f>
        <v>80000</v>
      </c>
      <c r="H73" s="326">
        <v>90000</v>
      </c>
      <c r="I73" s="326">
        <f>87000-7000</f>
        <v>80000</v>
      </c>
      <c r="J73" s="71">
        <f t="shared" si="6"/>
        <v>250000</v>
      </c>
      <c r="K73" s="71"/>
      <c r="L73" s="71">
        <v>61000</v>
      </c>
      <c r="M73" s="71">
        <v>49000</v>
      </c>
      <c r="N73" s="71">
        <v>49000</v>
      </c>
      <c r="O73" s="339">
        <v>44709</v>
      </c>
      <c r="Q73" s="56" t="s">
        <v>4303</v>
      </c>
      <c r="R73" s="367">
        <v>45083</v>
      </c>
      <c r="S73" s="88">
        <v>47000</v>
      </c>
      <c r="T73" s="71"/>
      <c r="U73" s="71"/>
      <c r="V73" s="71"/>
      <c r="W73" s="71"/>
      <c r="X73" s="71"/>
      <c r="Y73" s="389" t="s">
        <v>4304</v>
      </c>
    </row>
    <row r="74" s="56" customFormat="1" spans="1:25">
      <c r="A74" s="71" t="s">
        <v>4302</v>
      </c>
      <c r="B74" s="367">
        <v>44641</v>
      </c>
      <c r="C74" s="71"/>
      <c r="D74" s="71"/>
      <c r="E74" s="71"/>
      <c r="F74" s="71"/>
      <c r="G74" s="71">
        <v>63000</v>
      </c>
      <c r="H74" s="71">
        <v>0</v>
      </c>
      <c r="I74" s="71">
        <v>7000</v>
      </c>
      <c r="J74" s="71">
        <v>70000</v>
      </c>
      <c r="K74" s="71"/>
      <c r="L74" s="71"/>
      <c r="M74" s="71"/>
      <c r="N74" s="71"/>
      <c r="O74" s="369"/>
      <c r="Q74" s="71" t="s">
        <v>4305</v>
      </c>
      <c r="R74" s="367">
        <v>45112</v>
      </c>
      <c r="S74" s="71"/>
      <c r="T74" s="71"/>
      <c r="U74" s="71">
        <v>100000</v>
      </c>
      <c r="V74" s="71"/>
      <c r="W74" s="71"/>
      <c r="X74" s="71"/>
      <c r="Y74" s="390" t="s">
        <v>4306</v>
      </c>
    </row>
    <row r="75" s="56" customFormat="1" spans="1:25">
      <c r="A75" s="71" t="s">
        <v>4307</v>
      </c>
      <c r="B75" s="367">
        <v>44676</v>
      </c>
      <c r="C75" s="71"/>
      <c r="D75" s="71"/>
      <c r="E75" s="71"/>
      <c r="F75" s="71"/>
      <c r="G75" s="71"/>
      <c r="H75" s="71"/>
      <c r="I75" s="71"/>
      <c r="J75" s="71"/>
      <c r="K75" s="71"/>
      <c r="L75" s="71">
        <v>150000</v>
      </c>
      <c r="M75" s="71">
        <v>69000</v>
      </c>
      <c r="N75" s="71">
        <v>94000</v>
      </c>
      <c r="O75" s="369">
        <v>44765</v>
      </c>
      <c r="Q75" s="71" t="s">
        <v>4305</v>
      </c>
      <c r="R75" s="367">
        <v>45112</v>
      </c>
      <c r="S75" s="71">
        <v>47000</v>
      </c>
      <c r="T75" s="71"/>
      <c r="U75" s="71"/>
      <c r="V75" s="71"/>
      <c r="W75" s="71"/>
      <c r="X75" s="71"/>
      <c r="Y75" s="390" t="s">
        <v>4306</v>
      </c>
    </row>
    <row r="76" s="322" customFormat="1" spans="1:25">
      <c r="A76" s="71" t="s">
        <v>4308</v>
      </c>
      <c r="B76" s="367">
        <v>44693</v>
      </c>
      <c r="C76" s="71"/>
      <c r="D76" s="71"/>
      <c r="E76" s="71"/>
      <c r="F76" s="71"/>
      <c r="G76" s="71">
        <v>94000</v>
      </c>
      <c r="H76" s="71">
        <v>102600</v>
      </c>
      <c r="I76" s="71">
        <v>153400</v>
      </c>
      <c r="J76" s="71">
        <v>350000</v>
      </c>
      <c r="K76" s="71"/>
      <c r="L76" s="71"/>
      <c r="M76" s="71"/>
      <c r="N76" s="71"/>
      <c r="O76" s="369">
        <v>44758</v>
      </c>
      <c r="Q76" s="71" t="s">
        <v>4309</v>
      </c>
      <c r="R76" s="367">
        <v>45229</v>
      </c>
      <c r="S76" s="71"/>
      <c r="T76" s="71">
        <v>68700</v>
      </c>
      <c r="U76" s="71"/>
      <c r="V76" s="71"/>
      <c r="W76" s="71"/>
      <c r="X76" s="71"/>
      <c r="Y76" s="322">
        <v>45289</v>
      </c>
    </row>
    <row r="77" s="56" customFormat="1" spans="1:24">
      <c r="A77" s="71" t="s">
        <v>4310</v>
      </c>
      <c r="B77" s="367">
        <v>44721</v>
      </c>
      <c r="C77" s="71"/>
      <c r="D77" s="71"/>
      <c r="E77" s="71"/>
      <c r="F77" s="71"/>
      <c r="G77" s="71"/>
      <c r="H77" s="71"/>
      <c r="J77" s="71"/>
      <c r="K77" s="71"/>
      <c r="L77" s="71">
        <v>10000</v>
      </c>
      <c r="M77" s="71">
        <v>31800</v>
      </c>
      <c r="N77" s="71">
        <v>22800</v>
      </c>
      <c r="O77" s="369">
        <v>44779</v>
      </c>
      <c r="Q77" s="71" t="s">
        <v>4311</v>
      </c>
      <c r="R77" s="367">
        <v>45266</v>
      </c>
      <c r="S77" s="71">
        <v>47000</v>
      </c>
      <c r="T77" s="71"/>
      <c r="U77" s="71"/>
      <c r="V77" s="71"/>
      <c r="W77" s="71"/>
      <c r="X77" s="71"/>
    </row>
    <row r="78" s="322" customFormat="1" spans="1:24">
      <c r="A78" s="71" t="s">
        <v>4312</v>
      </c>
      <c r="B78" s="367">
        <v>44755</v>
      </c>
      <c r="C78" s="71">
        <v>40000</v>
      </c>
      <c r="D78" s="71"/>
      <c r="E78" s="71"/>
      <c r="F78" s="71"/>
      <c r="G78" s="71"/>
      <c r="H78" s="71"/>
      <c r="I78" s="326"/>
      <c r="J78" s="71"/>
      <c r="K78" s="71"/>
      <c r="L78" s="71"/>
      <c r="M78" s="71"/>
      <c r="N78" s="71"/>
      <c r="O78" s="369">
        <v>44800</v>
      </c>
      <c r="Q78" s="71" t="s">
        <v>4313</v>
      </c>
      <c r="R78" s="367">
        <v>45285</v>
      </c>
      <c r="S78" s="71"/>
      <c r="T78" s="71"/>
      <c r="U78" s="71">
        <v>30000</v>
      </c>
      <c r="V78" s="71"/>
      <c r="W78" s="71"/>
      <c r="X78" s="71"/>
    </row>
    <row r="79" spans="1:25">
      <c r="A79" s="71" t="s">
        <v>4314</v>
      </c>
      <c r="B79" s="367">
        <v>44823</v>
      </c>
      <c r="C79" s="71"/>
      <c r="D79" s="71"/>
      <c r="E79" s="71"/>
      <c r="F79" s="71"/>
      <c r="G79" s="71">
        <v>30000</v>
      </c>
      <c r="H79" s="71">
        <v>98000</v>
      </c>
      <c r="I79" s="71">
        <v>55000</v>
      </c>
      <c r="J79" s="71">
        <f>SUM(G79:I79)</f>
        <v>183000</v>
      </c>
      <c r="K79" s="71"/>
      <c r="L79" s="71"/>
      <c r="M79" s="368"/>
      <c r="N79" s="368"/>
      <c r="O79" s="369">
        <v>44877</v>
      </c>
      <c r="Q79" s="71" t="s">
        <v>4315</v>
      </c>
      <c r="R79" s="367">
        <v>45299</v>
      </c>
      <c r="S79" s="71"/>
      <c r="T79" s="71"/>
      <c r="U79" s="71">
        <v>70000</v>
      </c>
      <c r="V79" s="71"/>
      <c r="W79" s="71"/>
      <c r="X79" s="371"/>
      <c r="Y79" s="391" t="s">
        <v>4316</v>
      </c>
    </row>
    <row r="80" spans="1:25">
      <c r="A80" s="71" t="s">
        <v>4314</v>
      </c>
      <c r="B80" s="367">
        <v>44823</v>
      </c>
      <c r="C80" s="71"/>
      <c r="D80" s="71"/>
      <c r="E80" s="71"/>
      <c r="F80" s="71"/>
      <c r="G80" s="71"/>
      <c r="H80" s="71"/>
      <c r="I80" s="71"/>
      <c r="J80" s="71"/>
      <c r="K80" s="71"/>
      <c r="L80" s="370">
        <v>25000</v>
      </c>
      <c r="M80" s="370">
        <v>15000</v>
      </c>
      <c r="N80" s="370">
        <v>10000</v>
      </c>
      <c r="O80" s="369">
        <v>44863</v>
      </c>
      <c r="Q80" s="71" t="s">
        <v>4317</v>
      </c>
      <c r="R80" s="367">
        <v>45315</v>
      </c>
      <c r="S80" s="71"/>
      <c r="T80" s="71"/>
      <c r="U80" s="71">
        <v>100000</v>
      </c>
      <c r="V80" s="71"/>
      <c r="W80" s="71"/>
      <c r="X80" s="71"/>
      <c r="Y80" s="392" t="s">
        <v>4318</v>
      </c>
    </row>
    <row r="81" s="56" customFormat="1" spans="1:25">
      <c r="A81" s="71" t="s">
        <v>4319</v>
      </c>
      <c r="B81" s="367">
        <v>44867</v>
      </c>
      <c r="C81" s="71"/>
      <c r="D81" s="71"/>
      <c r="E81" s="71"/>
      <c r="F81" s="71"/>
      <c r="G81" s="71">
        <v>14000</v>
      </c>
      <c r="H81" s="71">
        <v>16000</v>
      </c>
      <c r="I81" s="71">
        <v>18000</v>
      </c>
      <c r="J81" s="71">
        <f>SUM(G81:I81)</f>
        <v>48000</v>
      </c>
      <c r="K81" s="71"/>
      <c r="L81" s="71"/>
      <c r="M81" s="71"/>
      <c r="N81" s="71"/>
      <c r="O81" s="369">
        <v>44925</v>
      </c>
      <c r="Q81" s="71" t="s">
        <v>4320</v>
      </c>
      <c r="R81" s="367">
        <v>45350</v>
      </c>
      <c r="S81" s="71"/>
      <c r="T81" s="71"/>
      <c r="U81" s="71">
        <v>200000</v>
      </c>
      <c r="V81" s="71"/>
      <c r="W81" s="71"/>
      <c r="X81" s="71"/>
      <c r="Y81" s="393" t="s">
        <v>4321</v>
      </c>
    </row>
    <row r="82" spans="1:24">
      <c r="A82" s="326" t="s">
        <v>4322</v>
      </c>
      <c r="B82" s="335">
        <v>44889</v>
      </c>
      <c r="C82" s="368">
        <v>30000</v>
      </c>
      <c r="D82" s="338"/>
      <c r="E82" s="368">
        <v>20000</v>
      </c>
      <c r="F82" s="368"/>
      <c r="G82" s="338"/>
      <c r="H82" s="338"/>
      <c r="I82" s="338"/>
      <c r="J82" s="368"/>
      <c r="K82" s="368"/>
      <c r="L82" s="368"/>
      <c r="M82" s="368"/>
      <c r="N82" s="368"/>
      <c r="O82" s="371">
        <v>44925</v>
      </c>
      <c r="Q82" s="71" t="s">
        <v>4320</v>
      </c>
      <c r="R82" s="367">
        <v>45350</v>
      </c>
      <c r="S82" s="71">
        <v>47000</v>
      </c>
      <c r="T82" s="71"/>
      <c r="U82" s="71"/>
      <c r="V82" s="71"/>
      <c r="W82" s="71"/>
      <c r="X82" s="71"/>
    </row>
    <row r="83" spans="1:25">
      <c r="A83" s="326" t="s">
        <v>4322</v>
      </c>
      <c r="B83" s="335">
        <v>44889</v>
      </c>
      <c r="C83" s="338"/>
      <c r="D83" s="338"/>
      <c r="E83" s="338"/>
      <c r="F83" s="368"/>
      <c r="G83" s="338"/>
      <c r="H83" s="338"/>
      <c r="I83" s="338"/>
      <c r="J83" s="368"/>
      <c r="K83" s="368"/>
      <c r="L83" s="368"/>
      <c r="M83" s="368">
        <v>17900</v>
      </c>
      <c r="N83" s="368">
        <v>15900</v>
      </c>
      <c r="O83" s="371">
        <v>44925</v>
      </c>
      <c r="Q83" s="71" t="s">
        <v>4323</v>
      </c>
      <c r="R83" s="367">
        <v>45380</v>
      </c>
      <c r="S83" s="71"/>
      <c r="T83" s="71"/>
      <c r="U83" s="71">
        <v>90000</v>
      </c>
      <c r="V83" s="71"/>
      <c r="W83" s="71"/>
      <c r="X83" s="71"/>
      <c r="Y83" s="393" t="s">
        <v>4324</v>
      </c>
    </row>
    <row r="84" spans="1:25">
      <c r="A84" s="71" t="s">
        <v>4325</v>
      </c>
      <c r="B84" s="367">
        <v>44897</v>
      </c>
      <c r="C84" s="368"/>
      <c r="D84" s="368"/>
      <c r="E84" s="368"/>
      <c r="F84" s="368"/>
      <c r="G84" s="71">
        <v>100000</v>
      </c>
      <c r="H84" s="71">
        <v>57000</v>
      </c>
      <c r="I84" s="71">
        <v>60000</v>
      </c>
      <c r="J84" s="71">
        <f t="shared" ref="J84:J89" si="7">SUM(G84:I84)</f>
        <v>217000</v>
      </c>
      <c r="K84" s="368"/>
      <c r="L84" s="368"/>
      <c r="M84" s="368"/>
      <c r="N84" s="368"/>
      <c r="O84" s="371">
        <v>44925</v>
      </c>
      <c r="Q84" s="71" t="s">
        <v>4326</v>
      </c>
      <c r="R84" s="367">
        <v>45389</v>
      </c>
      <c r="S84" s="71"/>
      <c r="T84" s="71"/>
      <c r="U84" s="71">
        <v>180000</v>
      </c>
      <c r="V84" s="71"/>
      <c r="W84" s="71"/>
      <c r="X84" s="71"/>
      <c r="Y84" s="393"/>
    </row>
    <row r="85" spans="1:25">
      <c r="A85" s="71" t="s">
        <v>4327</v>
      </c>
      <c r="B85" s="367">
        <v>44911</v>
      </c>
      <c r="C85" s="368"/>
      <c r="D85" s="368"/>
      <c r="E85" s="368"/>
      <c r="F85" s="368"/>
      <c r="G85" s="71">
        <v>39000</v>
      </c>
      <c r="H85" s="71">
        <v>37000</v>
      </c>
      <c r="I85" s="71">
        <v>37000</v>
      </c>
      <c r="J85" s="71">
        <f t="shared" si="7"/>
        <v>113000</v>
      </c>
      <c r="K85" s="368"/>
      <c r="L85" s="368"/>
      <c r="M85" s="368"/>
      <c r="N85" s="368"/>
      <c r="O85" s="371">
        <v>44982</v>
      </c>
      <c r="Q85" s="71" t="s">
        <v>4328</v>
      </c>
      <c r="R85" s="367">
        <v>45410</v>
      </c>
      <c r="S85" s="71"/>
      <c r="T85" s="71"/>
      <c r="U85" s="71">
        <v>60000</v>
      </c>
      <c r="V85" s="71"/>
      <c r="W85" s="71"/>
      <c r="X85" s="71"/>
      <c r="Y85" s="393" t="s">
        <v>4329</v>
      </c>
    </row>
    <row r="86" spans="1:25">
      <c r="A86" s="71" t="s">
        <v>4330</v>
      </c>
      <c r="B86" s="367">
        <v>44938</v>
      </c>
      <c r="C86" s="368"/>
      <c r="D86" s="368"/>
      <c r="E86" s="368"/>
      <c r="F86" s="368"/>
      <c r="G86" s="71">
        <v>40000</v>
      </c>
      <c r="H86" s="71">
        <v>40000</v>
      </c>
      <c r="I86" s="71">
        <v>40000</v>
      </c>
      <c r="J86" s="71">
        <f t="shared" si="7"/>
        <v>120000</v>
      </c>
      <c r="K86" s="368"/>
      <c r="L86" s="368"/>
      <c r="M86" s="368"/>
      <c r="N86" s="368"/>
      <c r="O86" s="371">
        <v>44996</v>
      </c>
      <c r="Q86" s="71" t="s">
        <v>4328</v>
      </c>
      <c r="R86" s="367">
        <v>45410</v>
      </c>
      <c r="S86" s="71">
        <v>47000</v>
      </c>
      <c r="T86" s="71"/>
      <c r="U86" s="71"/>
      <c r="V86" s="71"/>
      <c r="W86" s="71"/>
      <c r="X86" s="71"/>
      <c r="Y86" s="394" t="s">
        <v>4331</v>
      </c>
    </row>
    <row r="87" spans="1:25">
      <c r="A87" s="71" t="s">
        <v>4332</v>
      </c>
      <c r="B87" s="367">
        <v>44980</v>
      </c>
      <c r="C87" s="368"/>
      <c r="D87" s="368"/>
      <c r="E87" s="368"/>
      <c r="F87" s="368"/>
      <c r="G87" s="71">
        <v>110000</v>
      </c>
      <c r="H87" s="71">
        <v>20000</v>
      </c>
      <c r="I87" s="71">
        <v>15000</v>
      </c>
      <c r="J87" s="71">
        <f t="shared" si="7"/>
        <v>145000</v>
      </c>
      <c r="K87" s="368"/>
      <c r="L87" s="368"/>
      <c r="M87" s="368"/>
      <c r="N87" s="368"/>
      <c r="O87" s="371">
        <v>45038</v>
      </c>
      <c r="Q87" s="71" t="s">
        <v>4333</v>
      </c>
      <c r="R87" s="367">
        <v>45450</v>
      </c>
      <c r="S87" s="71">
        <v>47000</v>
      </c>
      <c r="T87" s="71"/>
      <c r="U87" s="71"/>
      <c r="V87" s="71"/>
      <c r="W87" s="71"/>
      <c r="X87" s="71"/>
      <c r="Y87" s="395" t="s">
        <v>4334</v>
      </c>
    </row>
    <row r="88" spans="1:25">
      <c r="A88" s="71" t="s">
        <v>4335</v>
      </c>
      <c r="B88" s="367">
        <v>45009</v>
      </c>
      <c r="C88" s="368"/>
      <c r="D88" s="368"/>
      <c r="E88" s="368"/>
      <c r="F88" s="368"/>
      <c r="G88" s="71">
        <v>10000</v>
      </c>
      <c r="H88" s="71">
        <v>33000</v>
      </c>
      <c r="I88" s="71">
        <v>30000</v>
      </c>
      <c r="J88" s="71">
        <f t="shared" si="7"/>
        <v>73000</v>
      </c>
      <c r="K88" s="368"/>
      <c r="L88" s="368"/>
      <c r="M88" s="368"/>
      <c r="N88" s="368"/>
      <c r="O88" s="371">
        <v>45059</v>
      </c>
      <c r="Q88" s="71" t="s">
        <v>4336</v>
      </c>
      <c r="R88" s="367">
        <v>45474</v>
      </c>
      <c r="S88" s="71">
        <v>47000</v>
      </c>
      <c r="T88" s="71"/>
      <c r="U88" s="71"/>
      <c r="V88" s="71"/>
      <c r="W88" s="71"/>
      <c r="X88" s="71"/>
      <c r="Y88" s="367">
        <v>45494</v>
      </c>
    </row>
    <row r="89" spans="1:25">
      <c r="A89" s="71" t="s">
        <v>4337</v>
      </c>
      <c r="B89" s="367">
        <v>45016</v>
      </c>
      <c r="C89" s="368"/>
      <c r="D89" s="368"/>
      <c r="E89" s="368"/>
      <c r="F89" s="368"/>
      <c r="G89" s="71">
        <v>35000</v>
      </c>
      <c r="H89" s="71">
        <v>40000</v>
      </c>
      <c r="I89" s="71">
        <v>40000</v>
      </c>
      <c r="J89" s="71">
        <f t="shared" si="7"/>
        <v>115000</v>
      </c>
      <c r="K89" s="368"/>
      <c r="L89" s="368"/>
      <c r="M89" s="368"/>
      <c r="N89" s="368"/>
      <c r="O89" s="371">
        <v>45080</v>
      </c>
      <c r="Q89" s="71" t="s">
        <v>4338</v>
      </c>
      <c r="R89" s="367">
        <v>45504</v>
      </c>
      <c r="S89" s="71">
        <v>47000</v>
      </c>
      <c r="T89" s="71"/>
      <c r="U89" s="71"/>
      <c r="V89" s="71"/>
      <c r="W89" s="71"/>
      <c r="X89" s="71"/>
      <c r="Y89" s="56"/>
    </row>
    <row r="90" spans="1:25">
      <c r="A90" s="71" t="s">
        <v>4337</v>
      </c>
      <c r="B90" s="367">
        <v>45016</v>
      </c>
      <c r="C90" s="368">
        <v>30000</v>
      </c>
      <c r="D90" s="368"/>
      <c r="E90" s="368"/>
      <c r="F90" s="368"/>
      <c r="G90" s="368"/>
      <c r="H90" s="368"/>
      <c r="I90" s="368"/>
      <c r="J90" s="368"/>
      <c r="K90" s="368"/>
      <c r="L90" s="368"/>
      <c r="M90" s="368"/>
      <c r="N90" s="368"/>
      <c r="O90" s="371">
        <v>45080</v>
      </c>
      <c r="Q90" s="71" t="s">
        <v>4339</v>
      </c>
      <c r="R90" s="367">
        <v>45583</v>
      </c>
      <c r="S90" s="71">
        <v>47000</v>
      </c>
      <c r="T90" s="71"/>
      <c r="U90" s="71"/>
      <c r="V90" s="71"/>
      <c r="W90" s="71"/>
      <c r="X90" s="373"/>
      <c r="Y90" s="367">
        <v>45618</v>
      </c>
    </row>
    <row r="91" spans="1:26">
      <c r="A91" s="71" t="s">
        <v>4340</v>
      </c>
      <c r="B91" s="367">
        <v>45029</v>
      </c>
      <c r="C91" s="368"/>
      <c r="D91" s="368"/>
      <c r="E91" s="368"/>
      <c r="F91" s="368"/>
      <c r="G91" s="368">
        <v>50000</v>
      </c>
      <c r="H91" s="368">
        <v>42000</v>
      </c>
      <c r="I91" s="368">
        <v>41000</v>
      </c>
      <c r="J91" s="368">
        <f>SUM(G91:I91)</f>
        <v>133000</v>
      </c>
      <c r="K91" s="368"/>
      <c r="L91" s="368"/>
      <c r="M91" s="368"/>
      <c r="N91" s="368"/>
      <c r="O91" s="371">
        <v>45080</v>
      </c>
      <c r="Q91" s="71" t="s">
        <v>4341</v>
      </c>
      <c r="R91" s="367">
        <v>45621</v>
      </c>
      <c r="S91" s="71">
        <v>48000</v>
      </c>
      <c r="T91" s="71"/>
      <c r="U91" s="71"/>
      <c r="V91" s="71"/>
      <c r="W91" s="71"/>
      <c r="X91" s="373"/>
      <c r="Y91" s="367">
        <v>45636</v>
      </c>
      <c r="Z91" s="394" t="s">
        <v>4342</v>
      </c>
    </row>
    <row r="92" spans="1:25">
      <c r="A92" s="71" t="s">
        <v>4340</v>
      </c>
      <c r="B92" s="367">
        <v>45029</v>
      </c>
      <c r="C92" s="368">
        <v>70000</v>
      </c>
      <c r="D92" s="368"/>
      <c r="E92" s="368"/>
      <c r="F92" s="368"/>
      <c r="G92" s="368"/>
      <c r="H92" s="368"/>
      <c r="I92" s="368"/>
      <c r="J92" s="368"/>
      <c r="K92" s="368"/>
      <c r="L92" s="368"/>
      <c r="M92" s="368"/>
      <c r="N92" s="368"/>
      <c r="O92" s="371">
        <v>45080</v>
      </c>
      <c r="Q92" s="71" t="s">
        <v>4341</v>
      </c>
      <c r="R92" s="367">
        <v>45621</v>
      </c>
      <c r="S92" s="71"/>
      <c r="T92" s="71">
        <v>68700</v>
      </c>
      <c r="U92" s="71"/>
      <c r="V92" s="71"/>
      <c r="W92" s="71"/>
      <c r="X92" s="373"/>
      <c r="Y92" s="367">
        <v>45636</v>
      </c>
    </row>
    <row r="93" spans="1:26">
      <c r="A93" s="71" t="s">
        <v>4340</v>
      </c>
      <c r="B93" s="367">
        <v>45029</v>
      </c>
      <c r="C93" s="368"/>
      <c r="D93" s="368">
        <v>10000</v>
      </c>
      <c r="E93" s="368"/>
      <c r="F93" s="368"/>
      <c r="G93" s="368"/>
      <c r="H93" s="368"/>
      <c r="I93" s="368"/>
      <c r="J93" s="368"/>
      <c r="K93" s="368"/>
      <c r="L93" s="368"/>
      <c r="M93" s="368"/>
      <c r="N93" s="368"/>
      <c r="O93" s="371">
        <v>45080</v>
      </c>
      <c r="Q93" s="71" t="s">
        <v>4343</v>
      </c>
      <c r="R93" s="367">
        <v>45625</v>
      </c>
      <c r="S93" s="71">
        <v>28000</v>
      </c>
      <c r="T93" s="71"/>
      <c r="U93" s="71"/>
      <c r="V93" s="71"/>
      <c r="W93" s="71"/>
      <c r="X93" s="373"/>
      <c r="Y93" s="396">
        <v>45640</v>
      </c>
      <c r="Z93" s="394" t="s">
        <v>4342</v>
      </c>
    </row>
    <row r="94" spans="1:25">
      <c r="A94" s="71" t="s">
        <v>4344</v>
      </c>
      <c r="B94" s="367">
        <v>45064</v>
      </c>
      <c r="C94" s="368"/>
      <c r="D94" s="368"/>
      <c r="E94" s="368"/>
      <c r="F94" s="368"/>
      <c r="G94" s="368">
        <v>35000</v>
      </c>
      <c r="H94" s="368">
        <v>35000</v>
      </c>
      <c r="I94" s="368">
        <v>30000</v>
      </c>
      <c r="J94" s="368">
        <f>SUM(G94:I94)</f>
        <v>100000</v>
      </c>
      <c r="K94" s="368"/>
      <c r="L94" s="368"/>
      <c r="M94" s="368"/>
      <c r="N94" s="368"/>
      <c r="O94" s="371">
        <v>45101</v>
      </c>
      <c r="Q94" s="71" t="s">
        <v>4345</v>
      </c>
      <c r="R94" s="367">
        <v>45677</v>
      </c>
      <c r="S94" s="71"/>
      <c r="T94" s="71"/>
      <c r="U94" s="71">
        <v>60000</v>
      </c>
      <c r="V94" s="71"/>
      <c r="W94" s="71"/>
      <c r="X94" s="373"/>
      <c r="Y94" s="396">
        <v>45737</v>
      </c>
    </row>
    <row r="95" spans="1:26">
      <c r="A95" s="71" t="s">
        <v>4346</v>
      </c>
      <c r="B95" s="367">
        <v>45092</v>
      </c>
      <c r="C95" s="368"/>
      <c r="D95" s="368"/>
      <c r="E95" s="368">
        <v>10000</v>
      </c>
      <c r="F95" s="368"/>
      <c r="G95" s="368"/>
      <c r="H95" s="368"/>
      <c r="I95" s="368"/>
      <c r="J95" s="368"/>
      <c r="K95" s="368"/>
      <c r="L95" s="368"/>
      <c r="M95" s="368"/>
      <c r="N95" s="368"/>
      <c r="O95" s="371">
        <v>45122</v>
      </c>
      <c r="Q95" s="71" t="s">
        <v>4347</v>
      </c>
      <c r="R95" s="367">
        <v>45733</v>
      </c>
      <c r="S95" s="71"/>
      <c r="T95" s="71"/>
      <c r="U95" s="71">
        <v>60000</v>
      </c>
      <c r="V95" s="71"/>
      <c r="W95" s="71"/>
      <c r="X95" s="373"/>
      <c r="Y95" s="396">
        <v>45778</v>
      </c>
      <c r="Z95" s="56"/>
    </row>
    <row r="96" spans="1:26">
      <c r="A96" s="71" t="s">
        <v>4348</v>
      </c>
      <c r="B96" s="367">
        <v>45139</v>
      </c>
      <c r="C96" s="368"/>
      <c r="D96" s="368"/>
      <c r="E96" s="368"/>
      <c r="F96" s="368"/>
      <c r="G96" s="368">
        <v>40000</v>
      </c>
      <c r="H96" s="368">
        <v>10000</v>
      </c>
      <c r="I96" s="368">
        <v>10000</v>
      </c>
      <c r="J96" s="368">
        <f>SUM(G96:I96)</f>
        <v>60000</v>
      </c>
      <c r="K96" s="368"/>
      <c r="L96" s="368"/>
      <c r="M96" s="368"/>
      <c r="N96" s="368"/>
      <c r="O96" s="371" t="s">
        <v>4349</v>
      </c>
      <c r="Q96" s="71" t="s">
        <v>4350</v>
      </c>
      <c r="R96" s="367">
        <v>45804</v>
      </c>
      <c r="S96" s="71">
        <v>20000</v>
      </c>
      <c r="T96" s="71"/>
      <c r="U96" s="71"/>
      <c r="V96" s="71"/>
      <c r="W96" s="71"/>
      <c r="X96" s="373"/>
      <c r="Y96" s="396">
        <v>45825</v>
      </c>
      <c r="Z96" s="394" t="s">
        <v>4342</v>
      </c>
    </row>
    <row r="97" s="56" customFormat="1" spans="1:26">
      <c r="A97" s="71" t="s">
        <v>4351</v>
      </c>
      <c r="B97" s="367">
        <v>45173</v>
      </c>
      <c r="C97" s="368">
        <v>20000</v>
      </c>
      <c r="D97" s="368"/>
      <c r="E97" s="368"/>
      <c r="F97" s="368"/>
      <c r="G97" s="368"/>
      <c r="H97" s="368"/>
      <c r="I97" s="368"/>
      <c r="J97" s="368"/>
      <c r="K97" s="368"/>
      <c r="L97" s="368"/>
      <c r="M97" s="368"/>
      <c r="N97" s="368"/>
      <c r="O97" s="371">
        <v>45216</v>
      </c>
      <c r="Q97" s="71" t="s">
        <v>4350</v>
      </c>
      <c r="R97" s="367">
        <v>45804</v>
      </c>
      <c r="S97" s="71"/>
      <c r="T97" s="71"/>
      <c r="U97" s="71">
        <v>30000</v>
      </c>
      <c r="V97" s="71"/>
      <c r="W97" s="71"/>
      <c r="X97" s="373"/>
      <c r="Y97" s="396">
        <v>45825</v>
      </c>
      <c r="Z97" s="322"/>
    </row>
    <row r="98" s="56" customFormat="1" spans="1:26">
      <c r="A98" s="71" t="s">
        <v>4351</v>
      </c>
      <c r="B98" s="367">
        <v>45173</v>
      </c>
      <c r="C98" s="368"/>
      <c r="D98" s="368"/>
      <c r="E98" s="368"/>
      <c r="F98" s="368"/>
      <c r="G98" s="368">
        <v>60000</v>
      </c>
      <c r="H98" s="368">
        <v>25000</v>
      </c>
      <c r="I98" s="368">
        <v>30000</v>
      </c>
      <c r="J98" s="368">
        <f>SUM(G98:I98)</f>
        <v>115000</v>
      </c>
      <c r="K98" s="368"/>
      <c r="L98" s="368"/>
      <c r="M98" s="368"/>
      <c r="N98" s="368"/>
      <c r="O98" s="371">
        <v>45207</v>
      </c>
      <c r="Q98" s="71" t="s">
        <v>4352</v>
      </c>
      <c r="R98" s="367">
        <v>45838</v>
      </c>
      <c r="S98" s="71">
        <v>24000</v>
      </c>
      <c r="T98" s="71"/>
      <c r="U98" s="71"/>
      <c r="V98" s="71"/>
      <c r="W98" s="71"/>
      <c r="X98" s="373"/>
      <c r="Y98" s="396">
        <v>45853</v>
      </c>
      <c r="Z98" s="322"/>
    </row>
    <row r="99" spans="1:25">
      <c r="A99" s="71" t="s">
        <v>4353</v>
      </c>
      <c r="B99" s="367">
        <v>45226</v>
      </c>
      <c r="C99" s="368"/>
      <c r="D99" s="368"/>
      <c r="E99" s="368"/>
      <c r="F99" s="368"/>
      <c r="G99" s="368"/>
      <c r="H99" s="368"/>
      <c r="I99" s="368">
        <v>20000</v>
      </c>
      <c r="J99" s="368">
        <f>SUM(G99:I99)</f>
        <v>20000</v>
      </c>
      <c r="K99" s="368"/>
      <c r="L99" s="368"/>
      <c r="M99" s="368"/>
      <c r="N99" s="368"/>
      <c r="O99" s="371">
        <v>45260</v>
      </c>
      <c r="Q99" s="71" t="s">
        <v>4352</v>
      </c>
      <c r="R99" s="367">
        <v>45838</v>
      </c>
      <c r="S99" s="71"/>
      <c r="T99" s="71"/>
      <c r="U99" s="71">
        <v>30000</v>
      </c>
      <c r="V99" s="71"/>
      <c r="W99" s="71"/>
      <c r="X99" s="373"/>
      <c r="Y99" s="396">
        <v>45853</v>
      </c>
    </row>
    <row r="100" spans="1:26">
      <c r="A100" s="71" t="s">
        <v>4353</v>
      </c>
      <c r="B100" s="367">
        <v>45226</v>
      </c>
      <c r="C100" s="368"/>
      <c r="D100" s="368"/>
      <c r="E100" s="368"/>
      <c r="F100" s="368"/>
      <c r="G100" s="368"/>
      <c r="H100" s="368">
        <v>10000</v>
      </c>
      <c r="I100" s="368"/>
      <c r="J100" s="368">
        <f>SUM(G100:I100)</f>
        <v>10000</v>
      </c>
      <c r="K100" s="368"/>
      <c r="L100" s="368"/>
      <c r="M100" s="368"/>
      <c r="N100" s="368"/>
      <c r="O100" s="371">
        <v>45260</v>
      </c>
      <c r="Q100" s="71" t="s">
        <v>4354</v>
      </c>
      <c r="R100" s="367">
        <v>45867</v>
      </c>
      <c r="S100" s="71"/>
      <c r="T100" s="71"/>
      <c r="U100" s="71">
        <v>30000</v>
      </c>
      <c r="V100" s="71"/>
      <c r="W100" s="71"/>
      <c r="X100" s="373"/>
      <c r="Y100" s="396">
        <v>45888</v>
      </c>
      <c r="Z100" s="56"/>
    </row>
    <row r="101" spans="1:26">
      <c r="A101" s="71" t="s">
        <v>4353</v>
      </c>
      <c r="B101" s="367">
        <v>45226</v>
      </c>
      <c r="C101" s="368">
        <v>25000</v>
      </c>
      <c r="D101" s="368"/>
      <c r="E101" s="368"/>
      <c r="F101" s="368"/>
      <c r="G101" s="368"/>
      <c r="H101" s="368"/>
      <c r="I101" s="368"/>
      <c r="J101" s="368"/>
      <c r="K101" s="368"/>
      <c r="L101" s="368"/>
      <c r="M101" s="368"/>
      <c r="N101" s="368"/>
      <c r="O101" s="371">
        <v>45260</v>
      </c>
      <c r="Q101" s="71" t="s">
        <v>4355</v>
      </c>
      <c r="R101" s="367">
        <v>45895</v>
      </c>
      <c r="S101" s="71"/>
      <c r="T101" s="71"/>
      <c r="U101" s="71">
        <v>30000</v>
      </c>
      <c r="V101" s="71"/>
      <c r="W101" s="71"/>
      <c r="X101" s="373"/>
      <c r="Y101" s="396">
        <v>45940</v>
      </c>
      <c r="Z101" s="56"/>
    </row>
    <row r="102" s="56" customFormat="1" spans="1:26">
      <c r="A102" s="71" t="s">
        <v>4356</v>
      </c>
      <c r="B102" s="367">
        <v>45243</v>
      </c>
      <c r="C102" s="368">
        <v>30000</v>
      </c>
      <c r="D102" s="368"/>
      <c r="E102" s="368"/>
      <c r="F102" s="368"/>
      <c r="G102" s="368"/>
      <c r="H102" s="368"/>
      <c r="I102" s="368"/>
      <c r="J102" s="368"/>
      <c r="K102" s="368"/>
      <c r="L102" s="368"/>
      <c r="M102" s="368"/>
      <c r="N102" s="368"/>
      <c r="O102" s="371">
        <v>45277</v>
      </c>
      <c r="Q102" s="71" t="s">
        <v>4357</v>
      </c>
      <c r="R102" s="367">
        <v>45908</v>
      </c>
      <c r="S102" s="374">
        <v>28000</v>
      </c>
      <c r="T102" s="71"/>
      <c r="U102" s="71"/>
      <c r="V102" s="71"/>
      <c r="W102" s="71"/>
      <c r="X102" s="373"/>
      <c r="Y102" s="396">
        <v>45923</v>
      </c>
      <c r="Z102" s="322"/>
    </row>
    <row r="103" s="56" customFormat="1" spans="1:26">
      <c r="A103" s="71" t="s">
        <v>4356</v>
      </c>
      <c r="B103" s="367">
        <v>45243</v>
      </c>
      <c r="C103" s="368"/>
      <c r="D103" s="368"/>
      <c r="E103" s="368"/>
      <c r="F103" s="368"/>
      <c r="G103" s="368">
        <v>30000</v>
      </c>
      <c r="H103" s="368">
        <v>40000</v>
      </c>
      <c r="I103" s="368">
        <v>50000</v>
      </c>
      <c r="J103" s="368">
        <f>SUM(G103:I103)</f>
        <v>120000</v>
      </c>
      <c r="K103" s="368"/>
      <c r="L103" s="368"/>
      <c r="M103" s="368"/>
      <c r="N103" s="368"/>
      <c r="O103" s="371">
        <v>45277</v>
      </c>
      <c r="Q103" s="373" t="s">
        <v>4358</v>
      </c>
      <c r="R103" s="375">
        <v>45925</v>
      </c>
      <c r="S103" s="373"/>
      <c r="T103" s="373"/>
      <c r="U103" s="373"/>
      <c r="V103" s="373"/>
      <c r="W103" s="373"/>
      <c r="X103" s="373">
        <v>47000</v>
      </c>
      <c r="Y103" s="397" t="s">
        <v>4359</v>
      </c>
      <c r="Z103" s="322"/>
    </row>
    <row r="104" spans="1:25">
      <c r="A104" s="71" t="s">
        <v>4360</v>
      </c>
      <c r="B104" s="367">
        <v>45271</v>
      </c>
      <c r="C104" s="368"/>
      <c r="D104" s="368"/>
      <c r="E104" s="368"/>
      <c r="F104" s="368"/>
      <c r="G104" s="368">
        <f>40000+20000</f>
        <v>60000</v>
      </c>
      <c r="H104" s="368"/>
      <c r="I104" s="368"/>
      <c r="J104" s="368">
        <f>SUM(G104:I104)</f>
        <v>60000</v>
      </c>
      <c r="K104" s="368"/>
      <c r="L104" s="368"/>
      <c r="M104" s="368"/>
      <c r="N104" s="368"/>
      <c r="O104" s="371">
        <v>45305</v>
      </c>
      <c r="Q104" s="71" t="s">
        <v>4361</v>
      </c>
      <c r="R104" s="367">
        <v>45940</v>
      </c>
      <c r="S104" s="71">
        <v>68000</v>
      </c>
      <c r="T104" s="71"/>
      <c r="U104" s="71"/>
      <c r="V104" s="71"/>
      <c r="W104" s="71"/>
      <c r="X104" s="373"/>
      <c r="Y104" s="396">
        <v>45955</v>
      </c>
    </row>
    <row r="105" spans="1:25">
      <c r="A105" s="71" t="s">
        <v>4360</v>
      </c>
      <c r="B105" s="367">
        <v>45271</v>
      </c>
      <c r="C105" s="368"/>
      <c r="D105" s="368"/>
      <c r="E105" s="368"/>
      <c r="F105" s="368"/>
      <c r="G105" s="368"/>
      <c r="H105" s="368"/>
      <c r="I105" s="368">
        <f>30000+10000</f>
        <v>40000</v>
      </c>
      <c r="J105" s="368">
        <f>SUM(G105:I105)</f>
        <v>40000</v>
      </c>
      <c r="K105" s="368"/>
      <c r="L105" s="368"/>
      <c r="M105" s="368"/>
      <c r="N105" s="368"/>
      <c r="O105" s="371">
        <v>45305</v>
      </c>
      <c r="Q105" s="71" t="s">
        <v>4362</v>
      </c>
      <c r="R105" s="367">
        <v>45957</v>
      </c>
      <c r="S105" s="71">
        <v>40000</v>
      </c>
      <c r="T105" s="71"/>
      <c r="U105" s="71"/>
      <c r="V105" s="71"/>
      <c r="W105" s="71"/>
      <c r="X105" s="373"/>
      <c r="Y105" s="396"/>
    </row>
    <row r="106" spans="1:25">
      <c r="A106" s="71" t="s">
        <v>4360</v>
      </c>
      <c r="B106" s="367">
        <v>45271</v>
      </c>
      <c r="C106" s="368"/>
      <c r="D106" s="368"/>
      <c r="E106" s="368"/>
      <c r="F106" s="368"/>
      <c r="G106" s="368"/>
      <c r="H106" s="368">
        <f>10000+12000</f>
        <v>22000</v>
      </c>
      <c r="I106" s="368"/>
      <c r="J106" s="368">
        <f>SUM(G106:I106)</f>
        <v>22000</v>
      </c>
      <c r="K106" s="368"/>
      <c r="L106" s="368"/>
      <c r="M106" s="368"/>
      <c r="N106" s="368"/>
      <c r="O106" s="371">
        <v>45305</v>
      </c>
      <c r="Q106" s="71" t="s">
        <v>4362</v>
      </c>
      <c r="R106" s="367">
        <v>45957</v>
      </c>
      <c r="S106" s="71"/>
      <c r="T106" s="71"/>
      <c r="U106" s="71">
        <v>30000</v>
      </c>
      <c r="V106" s="71"/>
      <c r="W106" s="71"/>
      <c r="X106" s="373"/>
      <c r="Y106" s="396"/>
    </row>
    <row r="107" spans="1:25">
      <c r="A107" s="71" t="s">
        <v>4360</v>
      </c>
      <c r="B107" s="367">
        <v>45271</v>
      </c>
      <c r="C107" s="368">
        <v>20000</v>
      </c>
      <c r="D107" s="368"/>
      <c r="E107" s="368"/>
      <c r="F107" s="368"/>
      <c r="G107" s="368"/>
      <c r="H107" s="368"/>
      <c r="I107" s="368"/>
      <c r="J107" s="368"/>
      <c r="K107" s="368"/>
      <c r="L107" s="368"/>
      <c r="M107" s="368"/>
      <c r="N107" s="368"/>
      <c r="O107" s="371">
        <v>45305</v>
      </c>
      <c r="Q107" s="376" t="s">
        <v>4363</v>
      </c>
      <c r="R107" s="377">
        <v>45988</v>
      </c>
      <c r="S107" s="376">
        <v>60000</v>
      </c>
      <c r="T107" s="376"/>
      <c r="U107" s="376"/>
      <c r="V107" s="376"/>
      <c r="W107" s="376"/>
      <c r="X107" s="378"/>
      <c r="Y107" s="396"/>
    </row>
    <row r="108" spans="1:25">
      <c r="A108" s="71" t="s">
        <v>4360</v>
      </c>
      <c r="B108" s="367">
        <v>45271</v>
      </c>
      <c r="C108" s="368"/>
      <c r="D108" s="368">
        <v>10000</v>
      </c>
      <c r="E108" s="368"/>
      <c r="F108" s="368"/>
      <c r="G108" s="368"/>
      <c r="H108" s="368"/>
      <c r="I108" s="368"/>
      <c r="J108" s="368"/>
      <c r="K108" s="368"/>
      <c r="L108" s="368"/>
      <c r="M108" s="368"/>
      <c r="N108" s="368"/>
      <c r="O108" s="371">
        <v>45305</v>
      </c>
      <c r="Q108" s="376" t="s">
        <v>4363</v>
      </c>
      <c r="R108" s="377">
        <v>45988</v>
      </c>
      <c r="S108" s="376"/>
      <c r="T108" s="376"/>
      <c r="U108" s="376">
        <v>90000</v>
      </c>
      <c r="V108" s="376"/>
      <c r="W108" s="376"/>
      <c r="X108" s="378"/>
      <c r="Y108" s="396"/>
    </row>
    <row r="109" spans="1:26">
      <c r="A109" s="71" t="s">
        <v>4360</v>
      </c>
      <c r="B109" s="367">
        <v>45271</v>
      </c>
      <c r="C109" s="368"/>
      <c r="D109" s="368"/>
      <c r="E109" s="368">
        <v>10000</v>
      </c>
      <c r="F109" s="368"/>
      <c r="G109" s="368"/>
      <c r="H109" s="368"/>
      <c r="I109" s="368"/>
      <c r="J109" s="368"/>
      <c r="K109" s="368"/>
      <c r="L109" s="368"/>
      <c r="M109" s="368"/>
      <c r="N109" s="368"/>
      <c r="O109" s="371">
        <v>45305</v>
      </c>
      <c r="Q109" s="71"/>
      <c r="R109" s="367"/>
      <c r="S109" s="71"/>
      <c r="T109" s="71"/>
      <c r="U109" s="71"/>
      <c r="V109" s="71"/>
      <c r="W109" s="71"/>
      <c r="X109" s="373"/>
      <c r="Y109" s="396"/>
      <c r="Z109" s="56"/>
    </row>
    <row r="110" spans="1:25">
      <c r="A110" s="71" t="s">
        <v>4364</v>
      </c>
      <c r="B110" s="367">
        <v>45295</v>
      </c>
      <c r="C110" s="368"/>
      <c r="D110" s="368"/>
      <c r="E110" s="368"/>
      <c r="F110" s="368"/>
      <c r="G110" s="368">
        <v>30000</v>
      </c>
      <c r="H110" s="368">
        <v>20000</v>
      </c>
      <c r="I110" s="368">
        <v>20000</v>
      </c>
      <c r="J110" s="368">
        <f>SUM(G110:I110)</f>
        <v>70000</v>
      </c>
      <c r="K110" s="368"/>
      <c r="L110" s="368"/>
      <c r="M110" s="368"/>
      <c r="N110" s="368"/>
      <c r="O110" s="371">
        <v>45381</v>
      </c>
      <c r="Q110" s="379" t="s">
        <v>4365</v>
      </c>
      <c r="R110" s="367"/>
      <c r="S110" s="71"/>
      <c r="T110" s="71"/>
      <c r="U110" s="71"/>
      <c r="V110" s="71"/>
      <c r="W110" s="71"/>
      <c r="X110" s="373">
        <v>-18704</v>
      </c>
      <c r="Y110" s="56"/>
    </row>
    <row r="111" s="56" customFormat="1" spans="1:26">
      <c r="A111" s="71" t="s">
        <v>4366</v>
      </c>
      <c r="B111" s="367">
        <v>45301</v>
      </c>
      <c r="C111" s="368"/>
      <c r="D111" s="368"/>
      <c r="E111" s="368"/>
      <c r="F111" s="368"/>
      <c r="G111" s="368">
        <v>50000</v>
      </c>
      <c r="H111" s="368">
        <v>10000</v>
      </c>
      <c r="I111" s="368">
        <v>50000</v>
      </c>
      <c r="J111" s="368">
        <f>SUM(G111:I111)</f>
        <v>110000</v>
      </c>
      <c r="K111" s="368"/>
      <c r="L111" s="368"/>
      <c r="M111" s="368"/>
      <c r="N111" s="368"/>
      <c r="O111" s="371">
        <v>45381</v>
      </c>
      <c r="Q111" s="379" t="s">
        <v>4367</v>
      </c>
      <c r="R111" s="367"/>
      <c r="S111" s="71"/>
      <c r="T111" s="71"/>
      <c r="U111" s="373">
        <v>-16309</v>
      </c>
      <c r="V111" s="71"/>
      <c r="W111" s="71"/>
      <c r="X111" s="373">
        <v>-89004</v>
      </c>
      <c r="Z111" s="322"/>
    </row>
    <row r="112" spans="1:24">
      <c r="A112" s="71" t="s">
        <v>4366</v>
      </c>
      <c r="B112" s="367">
        <v>45301</v>
      </c>
      <c r="C112" s="368">
        <v>10000</v>
      </c>
      <c r="D112" s="368"/>
      <c r="E112" s="368"/>
      <c r="F112" s="368"/>
      <c r="G112" s="368"/>
      <c r="H112" s="368"/>
      <c r="I112" s="368"/>
      <c r="J112" s="368"/>
      <c r="K112" s="368"/>
      <c r="L112" s="368"/>
      <c r="M112" s="368"/>
      <c r="N112" s="368"/>
      <c r="O112" s="371">
        <v>45390</v>
      </c>
      <c r="Q112" s="380"/>
      <c r="R112" s="380" t="s">
        <v>4368</v>
      </c>
      <c r="S112" s="380">
        <f>SUM(S5:S111)</f>
        <v>1586556</v>
      </c>
      <c r="T112" s="380">
        <f>SUM(T5:T111)</f>
        <v>492800</v>
      </c>
      <c r="U112" s="380">
        <f>SUM(U5:U111)</f>
        <v>10843691</v>
      </c>
      <c r="V112" s="380">
        <f>SUM(V22:V111)</f>
        <v>290888</v>
      </c>
      <c r="W112" s="380">
        <f>SUM(W22:W111)</f>
        <v>204338</v>
      </c>
      <c r="X112" s="380">
        <f>SUM(X22:X111)</f>
        <v>1543196</v>
      </c>
    </row>
    <row r="113" spans="1:24">
      <c r="A113" s="71" t="s">
        <v>4369</v>
      </c>
      <c r="B113" s="367">
        <v>45315</v>
      </c>
      <c r="C113" s="368"/>
      <c r="D113" s="368"/>
      <c r="E113" s="368"/>
      <c r="F113" s="368"/>
      <c r="G113" s="368">
        <v>20000</v>
      </c>
      <c r="H113" s="368">
        <v>20000</v>
      </c>
      <c r="I113" s="368">
        <v>20000</v>
      </c>
      <c r="J113" s="368">
        <f>SUM(G113:I113)</f>
        <v>60000</v>
      </c>
      <c r="K113" s="368"/>
      <c r="L113" s="368"/>
      <c r="M113" s="368"/>
      <c r="N113" s="368"/>
      <c r="O113" s="371">
        <v>45388</v>
      </c>
      <c r="Q113" s="380"/>
      <c r="R113" s="381" t="s">
        <v>4370</v>
      </c>
      <c r="S113" s="380">
        <f>C174+D174</f>
        <v>1575000</v>
      </c>
      <c r="T113" s="380">
        <f>E174</f>
        <v>453000</v>
      </c>
      <c r="U113" s="380">
        <f>G174+H174+I174</f>
        <v>10738691</v>
      </c>
      <c r="V113" s="380">
        <f>K178</f>
        <v>204398</v>
      </c>
      <c r="W113" s="380">
        <f>K178</f>
        <v>204398</v>
      </c>
      <c r="X113" s="380">
        <f>L174+M174+N174</f>
        <v>1494196</v>
      </c>
    </row>
    <row r="114" spans="1:24">
      <c r="A114" s="71" t="s">
        <v>4371</v>
      </c>
      <c r="B114" s="367">
        <v>45343</v>
      </c>
      <c r="C114" s="368"/>
      <c r="D114" s="368"/>
      <c r="E114" s="368"/>
      <c r="F114" s="368"/>
      <c r="G114" s="368"/>
      <c r="H114" s="368"/>
      <c r="I114" s="368">
        <v>20000</v>
      </c>
      <c r="J114" s="368">
        <f>SUM(G114:I114)</f>
        <v>20000</v>
      </c>
      <c r="K114" s="368"/>
      <c r="L114" s="368"/>
      <c r="M114" s="368"/>
      <c r="N114" s="368"/>
      <c r="O114" s="371">
        <v>45395</v>
      </c>
      <c r="Q114" s="380"/>
      <c r="R114" s="380" t="s">
        <v>4372</v>
      </c>
      <c r="S114" s="380">
        <f>S112-S113</f>
        <v>11556</v>
      </c>
      <c r="T114" s="380">
        <f>T112-T113</f>
        <v>39800</v>
      </c>
      <c r="U114" s="380">
        <f t="shared" ref="S114:X114" si="8">U112-U113</f>
        <v>105000</v>
      </c>
      <c r="V114" s="380">
        <f t="shared" si="8"/>
        <v>86490</v>
      </c>
      <c r="W114" s="380">
        <f t="shared" si="8"/>
        <v>-60</v>
      </c>
      <c r="X114" s="380">
        <f t="shared" si="8"/>
        <v>49000</v>
      </c>
    </row>
    <row r="115" spans="1:25">
      <c r="A115" s="71" t="s">
        <v>4371</v>
      </c>
      <c r="B115" s="367">
        <v>45343</v>
      </c>
      <c r="C115" s="368">
        <v>20000</v>
      </c>
      <c r="D115" s="368"/>
      <c r="E115" s="368"/>
      <c r="F115" s="368"/>
      <c r="G115" s="368"/>
      <c r="H115" s="368"/>
      <c r="I115" s="368"/>
      <c r="J115" s="368"/>
      <c r="K115" s="368"/>
      <c r="L115" s="368"/>
      <c r="M115" s="368"/>
      <c r="N115" s="368"/>
      <c r="O115" s="371">
        <v>45412</v>
      </c>
      <c r="Q115" s="380" t="s">
        <v>4373</v>
      </c>
      <c r="R115" s="382" t="s">
        <v>4374</v>
      </c>
      <c r="S115" s="383"/>
      <c r="T115" s="384"/>
      <c r="U115" s="380"/>
      <c r="Y115" s="56"/>
    </row>
    <row r="116" spans="1:26">
      <c r="A116" s="71" t="s">
        <v>4371</v>
      </c>
      <c r="B116" s="367">
        <v>45343</v>
      </c>
      <c r="C116" s="368"/>
      <c r="D116" s="368">
        <v>10000</v>
      </c>
      <c r="E116" s="368"/>
      <c r="F116" s="368"/>
      <c r="G116" s="368"/>
      <c r="H116" s="368"/>
      <c r="I116" s="368"/>
      <c r="J116" s="368"/>
      <c r="K116" s="368"/>
      <c r="L116" s="368"/>
      <c r="M116" s="368"/>
      <c r="N116" s="368"/>
      <c r="O116" s="371">
        <v>45412</v>
      </c>
      <c r="Q116"/>
      <c r="R116"/>
      <c r="S116"/>
      <c r="T116"/>
      <c r="U116"/>
      <c r="V116"/>
      <c r="W116"/>
      <c r="X116"/>
      <c r="Y116" s="56"/>
      <c r="Z116" s="56"/>
    </row>
    <row r="117" spans="1:26">
      <c r="A117" s="71" t="s">
        <v>4371</v>
      </c>
      <c r="B117" s="367">
        <v>45343</v>
      </c>
      <c r="C117" s="368"/>
      <c r="D117" s="368"/>
      <c r="E117" s="368">
        <v>10000</v>
      </c>
      <c r="F117" s="368"/>
      <c r="G117" s="368"/>
      <c r="H117" s="368"/>
      <c r="I117" s="368"/>
      <c r="J117" s="368"/>
      <c r="K117" s="368"/>
      <c r="L117" s="368"/>
      <c r="M117" s="368"/>
      <c r="N117" s="368"/>
      <c r="O117" s="371">
        <v>45412</v>
      </c>
      <c r="Q117"/>
      <c r="R117"/>
      <c r="S117"/>
      <c r="T117"/>
      <c r="U117"/>
      <c r="V117"/>
      <c r="W117"/>
      <c r="X117"/>
      <c r="Z117" s="323"/>
    </row>
    <row r="118" s="56" customFormat="1" spans="1:26">
      <c r="A118" s="71" t="s">
        <v>4375</v>
      </c>
      <c r="B118" s="367">
        <v>45385</v>
      </c>
      <c r="C118" s="368"/>
      <c r="D118" s="368"/>
      <c r="E118" s="368"/>
      <c r="F118" s="368"/>
      <c r="G118" s="368">
        <v>50000</v>
      </c>
      <c r="H118" s="368">
        <v>20000</v>
      </c>
      <c r="I118" s="368">
        <v>20000</v>
      </c>
      <c r="J118" s="368">
        <f>SUM(G118:I118)</f>
        <v>90000</v>
      </c>
      <c r="K118" s="368"/>
      <c r="L118" s="368"/>
      <c r="M118" s="368"/>
      <c r="N118" s="368"/>
      <c r="O118" s="371">
        <v>45442</v>
      </c>
      <c r="Q118"/>
      <c r="R118"/>
      <c r="S118"/>
      <c r="T118"/>
      <c r="U118"/>
      <c r="V118"/>
      <c r="W118"/>
      <c r="X118"/>
      <c r="Y118" s="322"/>
      <c r="Z118" s="322"/>
    </row>
    <row r="119" s="323" customFormat="1" spans="1:26">
      <c r="A119" s="71" t="s">
        <v>4376</v>
      </c>
      <c r="B119" s="367">
        <v>45400</v>
      </c>
      <c r="C119" s="368">
        <v>20000</v>
      </c>
      <c r="D119" s="368"/>
      <c r="E119" s="368"/>
      <c r="F119" s="368"/>
      <c r="G119" s="368"/>
      <c r="H119" s="368"/>
      <c r="I119" s="368"/>
      <c r="J119" s="368"/>
      <c r="K119" s="368"/>
      <c r="L119" s="368"/>
      <c r="M119" s="368"/>
      <c r="N119" s="368"/>
      <c r="O119" s="371">
        <v>45442</v>
      </c>
      <c r="Q119"/>
      <c r="R119"/>
      <c r="S119"/>
      <c r="T119"/>
      <c r="U119"/>
      <c r="V119"/>
      <c r="W119"/>
      <c r="X119"/>
      <c r="Y119" s="322"/>
      <c r="Z119" s="56"/>
    </row>
    <row r="120" spans="1:26">
      <c r="A120" s="71" t="s">
        <v>4377</v>
      </c>
      <c r="B120" s="367">
        <v>45426</v>
      </c>
      <c r="C120" s="368"/>
      <c r="D120" s="368"/>
      <c r="E120" s="368"/>
      <c r="F120" s="368"/>
      <c r="G120" s="368">
        <v>30000</v>
      </c>
      <c r="H120" s="368">
        <v>30000</v>
      </c>
      <c r="I120" s="368">
        <v>10000</v>
      </c>
      <c r="J120" s="368">
        <f>SUM(G120:I120)</f>
        <v>70000</v>
      </c>
      <c r="K120" s="368"/>
      <c r="L120" s="368"/>
      <c r="M120" s="368"/>
      <c r="N120" s="368"/>
      <c r="O120" s="371">
        <v>45473</v>
      </c>
      <c r="Q120"/>
      <c r="R120"/>
      <c r="S120"/>
      <c r="T120"/>
      <c r="U120"/>
      <c r="V120"/>
      <c r="W120"/>
      <c r="X120"/>
      <c r="Z120" s="56"/>
    </row>
    <row r="121" s="56" customFormat="1" spans="1:25">
      <c r="A121" s="71" t="s">
        <v>4378</v>
      </c>
      <c r="B121" s="367">
        <v>45440</v>
      </c>
      <c r="C121" s="368"/>
      <c r="D121" s="368"/>
      <c r="E121" s="368"/>
      <c r="F121" s="368"/>
      <c r="G121" s="368">
        <v>35000</v>
      </c>
      <c r="H121" s="368">
        <v>35000</v>
      </c>
      <c r="I121" s="368">
        <v>30000</v>
      </c>
      <c r="J121" s="368">
        <f>SUM(G121:I121)</f>
        <v>100000</v>
      </c>
      <c r="K121" s="368"/>
      <c r="L121" s="368"/>
      <c r="M121" s="368"/>
      <c r="N121" s="368"/>
      <c r="O121" s="371">
        <v>45483</v>
      </c>
      <c r="Q121"/>
      <c r="R121"/>
      <c r="S121"/>
      <c r="T121"/>
      <c r="U121"/>
      <c r="V121"/>
      <c r="W121"/>
      <c r="X121"/>
      <c r="Y121" s="322"/>
    </row>
    <row r="122" s="56" customFormat="1" spans="1:26">
      <c r="A122" s="71" t="s">
        <v>4378</v>
      </c>
      <c r="B122" s="367">
        <v>45440</v>
      </c>
      <c r="C122" s="368"/>
      <c r="D122" s="368"/>
      <c r="E122" s="368">
        <v>10000</v>
      </c>
      <c r="F122" s="368"/>
      <c r="G122" s="368"/>
      <c r="H122" s="368"/>
      <c r="I122" s="368"/>
      <c r="J122" s="368"/>
      <c r="K122" s="368"/>
      <c r="L122" s="368"/>
      <c r="M122" s="368"/>
      <c r="N122" s="368"/>
      <c r="O122" s="371">
        <v>45483</v>
      </c>
      <c r="Q122"/>
      <c r="R122"/>
      <c r="S122"/>
      <c r="T122"/>
      <c r="U122"/>
      <c r="V122"/>
      <c r="W122"/>
      <c r="X122"/>
      <c r="Y122" s="322"/>
      <c r="Z122" s="322"/>
    </row>
    <row r="123" s="56" customFormat="1" spans="1:26">
      <c r="A123" s="71" t="s">
        <v>4379</v>
      </c>
      <c r="B123" s="367">
        <v>45449</v>
      </c>
      <c r="C123" s="368">
        <v>40000</v>
      </c>
      <c r="D123" s="368"/>
      <c r="E123" s="368"/>
      <c r="F123" s="368"/>
      <c r="G123" s="368"/>
      <c r="H123" s="368"/>
      <c r="I123" s="368"/>
      <c r="J123" s="368"/>
      <c r="K123" s="368"/>
      <c r="L123" s="368"/>
      <c r="M123" s="368"/>
      <c r="N123" s="368"/>
      <c r="O123" s="371">
        <v>45491</v>
      </c>
      <c r="Q123"/>
      <c r="R123"/>
      <c r="S123"/>
      <c r="T123"/>
      <c r="U123"/>
      <c r="V123"/>
      <c r="W123"/>
      <c r="X123"/>
      <c r="Y123" s="322"/>
      <c r="Z123" s="322"/>
    </row>
    <row r="124" spans="1:25">
      <c r="A124" s="71" t="s">
        <v>4380</v>
      </c>
      <c r="B124" s="367">
        <v>45469</v>
      </c>
      <c r="C124" s="368">
        <v>40000</v>
      </c>
      <c r="D124" s="368"/>
      <c r="E124" s="368"/>
      <c r="F124" s="368"/>
      <c r="G124" s="368"/>
      <c r="H124" s="368"/>
      <c r="I124" s="368"/>
      <c r="J124" s="368"/>
      <c r="K124" s="368"/>
      <c r="L124" s="368"/>
      <c r="M124" s="368"/>
      <c r="N124" s="368"/>
      <c r="O124" s="371">
        <v>45524</v>
      </c>
      <c r="Q124"/>
      <c r="R124"/>
      <c r="S124"/>
      <c r="T124"/>
      <c r="U124"/>
      <c r="V124"/>
      <c r="W124"/>
      <c r="X124"/>
      <c r="Y124" s="56"/>
    </row>
    <row r="125" spans="1:26">
      <c r="A125" s="71" t="s">
        <v>4380</v>
      </c>
      <c r="B125" s="367">
        <v>45469</v>
      </c>
      <c r="C125" s="368"/>
      <c r="D125" s="368">
        <v>10000</v>
      </c>
      <c r="E125" s="368"/>
      <c r="F125" s="368"/>
      <c r="G125" s="368"/>
      <c r="H125" s="368"/>
      <c r="I125" s="368"/>
      <c r="J125" s="368"/>
      <c r="K125" s="368"/>
      <c r="L125" s="368"/>
      <c r="M125" s="368"/>
      <c r="N125" s="368"/>
      <c r="O125" s="371">
        <v>45524</v>
      </c>
      <c r="Q125"/>
      <c r="R125"/>
      <c r="S125"/>
      <c r="T125"/>
      <c r="U125"/>
      <c r="V125"/>
      <c r="W125"/>
      <c r="X125"/>
      <c r="Z125" s="56"/>
    </row>
    <row r="126" spans="1:26">
      <c r="A126" s="71" t="s">
        <v>4380</v>
      </c>
      <c r="B126" s="367">
        <v>45469</v>
      </c>
      <c r="C126" s="368"/>
      <c r="D126" s="368"/>
      <c r="E126" s="368">
        <v>15000</v>
      </c>
      <c r="F126" s="368"/>
      <c r="G126" s="368"/>
      <c r="H126" s="368"/>
      <c r="I126" s="368"/>
      <c r="J126" s="368"/>
      <c r="K126" s="368"/>
      <c r="L126" s="368"/>
      <c r="M126" s="368"/>
      <c r="N126" s="368"/>
      <c r="O126" s="371">
        <v>45524</v>
      </c>
      <c r="Q126"/>
      <c r="R126"/>
      <c r="S126"/>
      <c r="T126"/>
      <c r="U126"/>
      <c r="V126"/>
      <c r="W126"/>
      <c r="X126"/>
      <c r="Z126" s="56"/>
    </row>
    <row r="127" s="56" customFormat="1" spans="1:25">
      <c r="A127" s="71" t="s">
        <v>4381</v>
      </c>
      <c r="B127" s="367">
        <v>45504</v>
      </c>
      <c r="C127" s="368"/>
      <c r="D127" s="368"/>
      <c r="E127" s="368"/>
      <c r="F127" s="368"/>
      <c r="G127" s="368">
        <v>50000</v>
      </c>
      <c r="H127" s="368"/>
      <c r="I127" s="368"/>
      <c r="J127" s="368"/>
      <c r="K127" s="368"/>
      <c r="L127" s="368"/>
      <c r="M127" s="368"/>
      <c r="N127" s="368"/>
      <c r="O127" s="371">
        <v>45555</v>
      </c>
      <c r="Q127"/>
      <c r="R127"/>
      <c r="S127"/>
      <c r="T127"/>
      <c r="U127"/>
      <c r="V127"/>
      <c r="W127"/>
      <c r="X127"/>
      <c r="Y127" s="322"/>
    </row>
    <row r="128" s="56" customFormat="1" spans="1:25">
      <c r="A128" s="71" t="s">
        <v>4381</v>
      </c>
      <c r="B128" s="367">
        <v>45504</v>
      </c>
      <c r="C128" s="368">
        <v>30000</v>
      </c>
      <c r="D128" s="368"/>
      <c r="E128" s="368"/>
      <c r="F128" s="368"/>
      <c r="G128" s="368"/>
      <c r="H128" s="368"/>
      <c r="I128" s="368"/>
      <c r="J128" s="368"/>
      <c r="K128" s="368"/>
      <c r="L128" s="368"/>
      <c r="M128" s="368"/>
      <c r="N128" s="368"/>
      <c r="O128" s="371">
        <v>45555</v>
      </c>
      <c r="Q128" s="71"/>
      <c r="R128" s="74" t="s">
        <v>4382</v>
      </c>
      <c r="S128" s="385"/>
      <c r="T128" s="386"/>
      <c r="U128" s="71"/>
      <c r="Y128" s="322"/>
    </row>
    <row r="129" s="56" customFormat="1" spans="1:25">
      <c r="A129" s="71" t="s">
        <v>4383</v>
      </c>
      <c r="B129" s="367">
        <v>45523</v>
      </c>
      <c r="C129" s="368"/>
      <c r="D129" s="368"/>
      <c r="E129" s="368"/>
      <c r="F129" s="368"/>
      <c r="G129" s="368"/>
      <c r="H129" s="368"/>
      <c r="I129" s="368"/>
      <c r="J129" s="368"/>
      <c r="K129" s="368"/>
      <c r="L129" s="368">
        <v>10000</v>
      </c>
      <c r="M129" s="368"/>
      <c r="N129" s="368"/>
      <c r="O129" s="371">
        <v>45575</v>
      </c>
      <c r="Q129" s="432"/>
      <c r="R129" s="432"/>
      <c r="S129" s="432"/>
      <c r="T129" s="432"/>
      <c r="U129" s="432"/>
      <c r="V129" s="322"/>
      <c r="W129" s="322"/>
      <c r="X129" s="322"/>
      <c r="Y129" s="322"/>
    </row>
    <row r="130" s="56" customFormat="1" spans="1:25">
      <c r="A130" s="71" t="s">
        <v>4383</v>
      </c>
      <c r="B130" s="367">
        <v>45523</v>
      </c>
      <c r="C130" s="368"/>
      <c r="D130" s="368"/>
      <c r="E130" s="368"/>
      <c r="F130" s="368"/>
      <c r="G130" s="368"/>
      <c r="H130" s="368"/>
      <c r="I130" s="368"/>
      <c r="J130" s="368"/>
      <c r="K130" s="368"/>
      <c r="L130" s="368"/>
      <c r="M130" s="368">
        <v>10000</v>
      </c>
      <c r="N130" s="368"/>
      <c r="O130" s="371">
        <v>45575</v>
      </c>
      <c r="Q130" s="432"/>
      <c r="R130" s="432"/>
      <c r="S130" s="432"/>
      <c r="T130" s="432"/>
      <c r="U130" s="432"/>
      <c r="V130" s="322"/>
      <c r="W130" s="322"/>
      <c r="X130" s="322"/>
      <c r="Y130" s="322"/>
    </row>
    <row r="131" s="56" customFormat="1" spans="1:24">
      <c r="A131" s="71" t="s">
        <v>4383</v>
      </c>
      <c r="B131" s="367">
        <v>45523</v>
      </c>
      <c r="C131" s="368"/>
      <c r="D131" s="368"/>
      <c r="E131" s="368"/>
      <c r="F131" s="368"/>
      <c r="G131" s="368"/>
      <c r="H131" s="368"/>
      <c r="I131" s="368"/>
      <c r="J131" s="368"/>
      <c r="K131" s="368"/>
      <c r="L131" s="368"/>
      <c r="M131" s="368"/>
      <c r="N131" s="368">
        <v>10000</v>
      </c>
      <c r="O131" s="371">
        <v>45575</v>
      </c>
      <c r="Q131" s="322"/>
      <c r="R131" s="322"/>
      <c r="S131" s="322"/>
      <c r="T131" s="322"/>
      <c r="U131" s="322"/>
      <c r="V131" s="322"/>
      <c r="W131" s="322"/>
      <c r="X131" s="322"/>
    </row>
    <row r="132" s="56" customFormat="1" spans="1:25">
      <c r="A132" s="71" t="s">
        <v>4384</v>
      </c>
      <c r="B132" s="367">
        <v>45538</v>
      </c>
      <c r="C132" s="368">
        <v>20000</v>
      </c>
      <c r="D132" s="368"/>
      <c r="E132" s="368"/>
      <c r="F132" s="368"/>
      <c r="G132" s="368"/>
      <c r="H132" s="368"/>
      <c r="I132" s="368"/>
      <c r="J132" s="368"/>
      <c r="K132" s="368"/>
      <c r="L132" s="368"/>
      <c r="M132" s="368"/>
      <c r="N132" s="368"/>
      <c r="O132" s="371">
        <v>45585</v>
      </c>
      <c r="Y132" s="323"/>
    </row>
    <row r="133" s="56" customFormat="1" spans="1:25">
      <c r="A133" s="71" t="s">
        <v>4385</v>
      </c>
      <c r="B133" s="367">
        <v>45544</v>
      </c>
      <c r="C133" s="368"/>
      <c r="D133" s="368"/>
      <c r="E133" s="368"/>
      <c r="F133" s="368"/>
      <c r="G133" s="368"/>
      <c r="H133" s="368">
        <v>15000</v>
      </c>
      <c r="I133" s="368">
        <v>15000</v>
      </c>
      <c r="J133" s="368">
        <f>SUM(G133:I133)</f>
        <v>30000</v>
      </c>
      <c r="K133" s="368"/>
      <c r="L133" s="368"/>
      <c r="M133" s="368"/>
      <c r="N133" s="368"/>
      <c r="O133" s="371">
        <v>45595</v>
      </c>
      <c r="Y133" s="322"/>
    </row>
    <row r="134" s="56" customFormat="1" spans="1:24">
      <c r="A134" s="71" t="s">
        <v>4386</v>
      </c>
      <c r="B134" s="367">
        <v>45553</v>
      </c>
      <c r="C134" s="368">
        <v>30000</v>
      </c>
      <c r="D134" s="368"/>
      <c r="E134" s="368"/>
      <c r="F134" s="368"/>
      <c r="G134" s="368"/>
      <c r="H134" s="368"/>
      <c r="I134" s="368"/>
      <c r="J134" s="368"/>
      <c r="K134" s="368"/>
      <c r="L134" s="368"/>
      <c r="M134" s="368"/>
      <c r="N134" s="368"/>
      <c r="O134" s="371">
        <v>45606</v>
      </c>
      <c r="Q134" s="322"/>
      <c r="R134" s="322"/>
      <c r="S134" s="322"/>
      <c r="T134" s="322"/>
      <c r="U134" s="322"/>
      <c r="V134" s="322"/>
      <c r="W134" s="322"/>
      <c r="X134" s="322"/>
    </row>
    <row r="135" s="56" customFormat="1" spans="1:24">
      <c r="A135" s="71" t="s">
        <v>4387</v>
      </c>
      <c r="B135" s="367">
        <v>45596</v>
      </c>
      <c r="C135" s="368">
        <v>40000</v>
      </c>
      <c r="D135" s="368"/>
      <c r="E135" s="368"/>
      <c r="F135" s="368"/>
      <c r="G135" s="368"/>
      <c r="H135" s="368"/>
      <c r="I135" s="368"/>
      <c r="J135" s="368"/>
      <c r="K135" s="368"/>
      <c r="L135" s="368"/>
      <c r="M135" s="368"/>
      <c r="N135" s="368"/>
      <c r="O135" s="371">
        <v>45646</v>
      </c>
      <c r="Q135" s="322"/>
      <c r="R135" s="322"/>
      <c r="S135" s="322"/>
      <c r="T135" s="322"/>
      <c r="U135" s="322"/>
      <c r="V135" s="322"/>
      <c r="W135" s="322"/>
      <c r="X135" s="322"/>
    </row>
    <row r="136" s="56" customFormat="1" spans="1:24">
      <c r="A136" s="71" t="s">
        <v>4387</v>
      </c>
      <c r="B136" s="367">
        <v>45596</v>
      </c>
      <c r="C136" s="368"/>
      <c r="D136" s="368">
        <v>10000</v>
      </c>
      <c r="E136" s="368"/>
      <c r="F136" s="368"/>
      <c r="G136" s="368"/>
      <c r="H136" s="368"/>
      <c r="I136" s="368"/>
      <c r="J136" s="368"/>
      <c r="K136" s="368"/>
      <c r="L136" s="368"/>
      <c r="M136" s="368"/>
      <c r="N136" s="368"/>
      <c r="O136" s="371">
        <v>45646</v>
      </c>
      <c r="Q136" s="322"/>
      <c r="R136" s="322"/>
      <c r="S136" s="322"/>
      <c r="T136" s="322"/>
      <c r="U136" s="322"/>
      <c r="V136" s="322"/>
      <c r="W136" s="322"/>
      <c r="X136" s="322"/>
    </row>
    <row r="137" s="56" customFormat="1" ht="16" customHeight="1" spans="1:25">
      <c r="A137" s="71" t="s">
        <v>4387</v>
      </c>
      <c r="B137" s="367">
        <v>45596</v>
      </c>
      <c r="C137" s="368"/>
      <c r="D137" s="368"/>
      <c r="E137" s="368">
        <v>20000</v>
      </c>
      <c r="F137" s="368"/>
      <c r="G137" s="368"/>
      <c r="H137" s="368"/>
      <c r="I137" s="368"/>
      <c r="J137" s="368"/>
      <c r="K137" s="368"/>
      <c r="L137" s="368"/>
      <c r="M137" s="368"/>
      <c r="N137" s="368"/>
      <c r="O137" s="371">
        <v>45646</v>
      </c>
      <c r="Q137" s="322"/>
      <c r="R137" s="322"/>
      <c r="S137" s="322"/>
      <c r="T137" s="322"/>
      <c r="U137" s="322"/>
      <c r="V137" s="322"/>
      <c r="W137" s="322"/>
      <c r="X137" s="322"/>
      <c r="Y137" s="322"/>
    </row>
    <row r="138" s="56" customFormat="1" spans="1:25">
      <c r="A138" s="71" t="s">
        <v>4387</v>
      </c>
      <c r="B138" s="367">
        <v>45596</v>
      </c>
      <c r="C138" s="368"/>
      <c r="D138" s="368"/>
      <c r="E138" s="368"/>
      <c r="F138" s="368"/>
      <c r="G138" s="368"/>
      <c r="H138" s="368"/>
      <c r="I138" s="368"/>
      <c r="J138" s="368"/>
      <c r="K138" s="368"/>
      <c r="L138" s="368">
        <v>10000</v>
      </c>
      <c r="M138" s="368"/>
      <c r="N138" s="368"/>
      <c r="O138" s="371">
        <v>45646</v>
      </c>
      <c r="Q138" s="322"/>
      <c r="R138" s="322"/>
      <c r="S138" s="322"/>
      <c r="T138" s="322"/>
      <c r="U138" s="322"/>
      <c r="V138" s="322"/>
      <c r="W138" s="322"/>
      <c r="X138" s="322"/>
      <c r="Y138" s="322"/>
    </row>
    <row r="139" s="56" customFormat="1" spans="1:25">
      <c r="A139" s="71" t="s">
        <v>4387</v>
      </c>
      <c r="B139" s="367">
        <v>45596</v>
      </c>
      <c r="C139" s="368"/>
      <c r="D139" s="368"/>
      <c r="E139" s="368"/>
      <c r="F139" s="368"/>
      <c r="G139" s="368"/>
      <c r="H139" s="368"/>
      <c r="I139" s="368"/>
      <c r="J139" s="368"/>
      <c r="K139" s="368"/>
      <c r="L139" s="368"/>
      <c r="M139" s="368">
        <v>10000</v>
      </c>
      <c r="N139" s="368"/>
      <c r="O139" s="371">
        <v>45646</v>
      </c>
      <c r="Q139" s="322"/>
      <c r="R139" s="322"/>
      <c r="S139" s="322"/>
      <c r="T139" s="322"/>
      <c r="U139" s="322"/>
      <c r="V139" s="322"/>
      <c r="W139" s="322"/>
      <c r="X139" s="322"/>
      <c r="Y139" s="322"/>
    </row>
    <row r="140" s="56" customFormat="1" spans="1:26">
      <c r="A140" s="71" t="s">
        <v>4387</v>
      </c>
      <c r="B140" s="367">
        <v>45596</v>
      </c>
      <c r="C140" s="368"/>
      <c r="D140" s="368"/>
      <c r="E140" s="368"/>
      <c r="F140" s="368"/>
      <c r="G140" s="368"/>
      <c r="H140" s="368"/>
      <c r="I140" s="368"/>
      <c r="J140" s="368"/>
      <c r="K140" s="368"/>
      <c r="L140" s="368"/>
      <c r="M140" s="368"/>
      <c r="N140" s="368">
        <v>10000</v>
      </c>
      <c r="O140" s="371">
        <v>45646</v>
      </c>
      <c r="Z140" s="323"/>
    </row>
    <row r="141" s="56" customFormat="1" spans="1:26">
      <c r="A141" s="71" t="s">
        <v>4387</v>
      </c>
      <c r="B141" s="367">
        <v>45596</v>
      </c>
      <c r="C141" s="368"/>
      <c r="D141" s="368"/>
      <c r="E141" s="368"/>
      <c r="F141" s="368"/>
      <c r="G141" s="368">
        <v>30000</v>
      </c>
      <c r="H141" s="368">
        <v>20000</v>
      </c>
      <c r="I141" s="368">
        <v>20000</v>
      </c>
      <c r="J141" s="368">
        <f>SUM(G141:I141)</f>
        <v>70000</v>
      </c>
      <c r="K141" s="368"/>
      <c r="L141" s="368"/>
      <c r="M141" s="368"/>
      <c r="N141" s="368"/>
      <c r="O141" s="371">
        <v>45646</v>
      </c>
      <c r="Z141" s="323"/>
    </row>
    <row r="142" s="56" customFormat="1" spans="1:15">
      <c r="A142" s="71" t="s">
        <v>4388</v>
      </c>
      <c r="B142" s="367">
        <v>45618</v>
      </c>
      <c r="C142" s="368">
        <v>60000</v>
      </c>
      <c r="D142" s="368"/>
      <c r="E142" s="368"/>
      <c r="F142" s="368"/>
      <c r="G142" s="368"/>
      <c r="H142" s="368"/>
      <c r="I142" s="368"/>
      <c r="J142" s="368"/>
      <c r="K142" s="368"/>
      <c r="L142" s="368"/>
      <c r="M142" s="368"/>
      <c r="N142" s="368"/>
      <c r="O142" s="371">
        <v>45677</v>
      </c>
    </row>
    <row r="143" s="56" customFormat="1" spans="1:15">
      <c r="A143" s="71" t="s">
        <v>4388</v>
      </c>
      <c r="B143" s="367">
        <v>45618</v>
      </c>
      <c r="C143" s="368"/>
      <c r="D143" s="368">
        <v>10000</v>
      </c>
      <c r="E143" s="368"/>
      <c r="F143" s="368"/>
      <c r="G143" s="368"/>
      <c r="H143" s="368"/>
      <c r="I143" s="368"/>
      <c r="J143" s="368"/>
      <c r="K143" s="368"/>
      <c r="L143" s="368"/>
      <c r="M143" s="368"/>
      <c r="N143" s="368"/>
      <c r="O143" s="371">
        <v>45677</v>
      </c>
    </row>
    <row r="144" s="56" customFormat="1" spans="1:24">
      <c r="A144" s="71" t="s">
        <v>4388</v>
      </c>
      <c r="B144" s="367">
        <v>45618</v>
      </c>
      <c r="C144" s="368"/>
      <c r="D144" s="368"/>
      <c r="E144" s="368">
        <v>10000</v>
      </c>
      <c r="F144" s="368"/>
      <c r="G144" s="368"/>
      <c r="H144" s="368"/>
      <c r="I144" s="368"/>
      <c r="J144" s="368"/>
      <c r="K144" s="368"/>
      <c r="L144" s="368"/>
      <c r="M144" s="368"/>
      <c r="N144" s="368"/>
      <c r="O144" s="371">
        <v>45677</v>
      </c>
      <c r="Q144" s="322"/>
      <c r="R144" s="322"/>
      <c r="S144" s="322"/>
      <c r="T144" s="322"/>
      <c r="U144" s="322"/>
      <c r="V144" s="322"/>
      <c r="W144" s="322"/>
      <c r="X144" s="322"/>
    </row>
    <row r="145" s="56" customFormat="1" spans="1:24">
      <c r="A145" s="71" t="s">
        <v>4389</v>
      </c>
      <c r="B145" s="367">
        <v>45629</v>
      </c>
      <c r="C145" s="368"/>
      <c r="D145" s="368"/>
      <c r="E145" s="368"/>
      <c r="F145" s="368"/>
      <c r="G145" s="368">
        <v>30000</v>
      </c>
      <c r="H145" s="368">
        <v>10000</v>
      </c>
      <c r="I145" s="368">
        <v>10000</v>
      </c>
      <c r="J145" s="368">
        <f t="shared" ref="J145:J148" si="9">SUM(G145:I145)</f>
        <v>50000</v>
      </c>
      <c r="K145" s="368"/>
      <c r="L145" s="368"/>
      <c r="M145" s="368"/>
      <c r="N145" s="368"/>
      <c r="O145" s="371">
        <v>45708</v>
      </c>
      <c r="Q145" s="322"/>
      <c r="R145" s="322"/>
      <c r="S145" s="322"/>
      <c r="T145" s="322"/>
      <c r="U145" s="322"/>
      <c r="V145" s="322"/>
      <c r="W145" s="322"/>
      <c r="X145" s="322"/>
    </row>
    <row r="146" s="56" customFormat="1" spans="1:24">
      <c r="A146" s="71" t="s">
        <v>4389</v>
      </c>
      <c r="B146" s="367">
        <v>45629</v>
      </c>
      <c r="C146" s="368">
        <v>20000</v>
      </c>
      <c r="D146" s="368"/>
      <c r="E146" s="368"/>
      <c r="F146" s="368"/>
      <c r="G146" s="368"/>
      <c r="H146" s="368"/>
      <c r="I146" s="368"/>
      <c r="J146" s="368"/>
      <c r="K146" s="368"/>
      <c r="L146" s="368"/>
      <c r="M146" s="368"/>
      <c r="N146" s="368"/>
      <c r="O146" s="371">
        <v>45708</v>
      </c>
      <c r="Q146" s="322"/>
      <c r="R146" s="322"/>
      <c r="S146" s="322"/>
      <c r="T146" s="322"/>
      <c r="U146" s="322"/>
      <c r="V146" s="322"/>
      <c r="W146" s="322"/>
      <c r="X146" s="322"/>
    </row>
    <row r="147" s="56" customFormat="1" spans="1:15">
      <c r="A147" s="71" t="s">
        <v>4390</v>
      </c>
      <c r="B147" s="367">
        <v>45649</v>
      </c>
      <c r="C147" s="368"/>
      <c r="D147" s="368"/>
      <c r="E147" s="368"/>
      <c r="F147" s="368"/>
      <c r="G147" s="368">
        <v>15000</v>
      </c>
      <c r="H147" s="368">
        <v>11000</v>
      </c>
      <c r="I147" s="368">
        <v>15000</v>
      </c>
      <c r="J147" s="368">
        <f t="shared" si="9"/>
        <v>41000</v>
      </c>
      <c r="K147" s="368"/>
      <c r="L147" s="368"/>
      <c r="M147" s="368"/>
      <c r="N147" s="368"/>
      <c r="O147" s="371">
        <v>45716</v>
      </c>
    </row>
    <row r="148" s="56" customFormat="1" spans="1:15">
      <c r="A148" s="71" t="s">
        <v>4391</v>
      </c>
      <c r="B148" s="367">
        <v>45709</v>
      </c>
      <c r="C148" s="368"/>
      <c r="D148" s="368"/>
      <c r="E148" s="368"/>
      <c r="F148" s="368"/>
      <c r="G148" s="368">
        <v>15000</v>
      </c>
      <c r="H148" s="368">
        <v>20000</v>
      </c>
      <c r="I148" s="368">
        <v>20000</v>
      </c>
      <c r="J148" s="368">
        <f t="shared" si="9"/>
        <v>55000</v>
      </c>
      <c r="K148" s="368"/>
      <c r="L148" s="368"/>
      <c r="M148" s="368"/>
      <c r="N148" s="368"/>
      <c r="O148" s="371">
        <v>45747</v>
      </c>
    </row>
    <row r="149" s="56" customFormat="1" spans="1:15">
      <c r="A149" s="71" t="s">
        <v>4392</v>
      </c>
      <c r="B149" s="367">
        <v>45723</v>
      </c>
      <c r="C149" s="368"/>
      <c r="D149" s="368"/>
      <c r="E149" s="368"/>
      <c r="F149" s="368"/>
      <c r="G149" s="368"/>
      <c r="H149" s="368"/>
      <c r="I149" s="368"/>
      <c r="J149" s="368"/>
      <c r="K149" s="368"/>
      <c r="L149" s="368">
        <v>10000</v>
      </c>
      <c r="M149" s="368">
        <v>10000</v>
      </c>
      <c r="N149" s="368">
        <v>10000</v>
      </c>
      <c r="O149" s="371">
        <v>45772</v>
      </c>
    </row>
    <row r="150" s="56" customFormat="1" spans="1:15">
      <c r="A150" s="71" t="s">
        <v>4393</v>
      </c>
      <c r="B150" s="367">
        <v>45793</v>
      </c>
      <c r="C150" s="368"/>
      <c r="D150" s="368"/>
      <c r="E150" s="368"/>
      <c r="F150" s="368"/>
      <c r="G150" s="368">
        <v>10000</v>
      </c>
      <c r="H150" s="368">
        <v>10000</v>
      </c>
      <c r="I150" s="368">
        <v>10000</v>
      </c>
      <c r="J150" s="368">
        <f>SUM(G150:I150)</f>
        <v>30000</v>
      </c>
      <c r="K150" s="368"/>
      <c r="L150" s="368"/>
      <c r="M150" s="368"/>
      <c r="N150" s="368"/>
      <c r="O150" s="371">
        <v>45838</v>
      </c>
    </row>
    <row r="151" s="323" customFormat="1" spans="1:25">
      <c r="A151" s="71" t="s">
        <v>4394</v>
      </c>
      <c r="B151" s="367">
        <v>45804</v>
      </c>
      <c r="C151" s="368">
        <v>20000</v>
      </c>
      <c r="D151" s="368"/>
      <c r="E151" s="368"/>
      <c r="F151" s="368"/>
      <c r="G151" s="368"/>
      <c r="H151" s="368"/>
      <c r="I151" s="368"/>
      <c r="J151" s="368"/>
      <c r="K151" s="368"/>
      <c r="L151" s="368"/>
      <c r="M151" s="368"/>
      <c r="N151" s="368"/>
      <c r="O151" s="371">
        <v>45848</v>
      </c>
      <c r="Q151" s="56"/>
      <c r="R151" s="56"/>
      <c r="S151" s="56"/>
      <c r="T151" s="56"/>
      <c r="U151" s="56"/>
      <c r="V151" s="56"/>
      <c r="W151" s="56"/>
      <c r="X151" s="56"/>
      <c r="Y151" s="56"/>
    </row>
    <row r="152" s="323" customFormat="1" spans="1:25">
      <c r="A152" s="71" t="s">
        <v>4394</v>
      </c>
      <c r="B152" s="367">
        <v>45804</v>
      </c>
      <c r="C152" s="368"/>
      <c r="D152" s="368"/>
      <c r="E152" s="368">
        <v>10000</v>
      </c>
      <c r="F152" s="368"/>
      <c r="G152" s="368"/>
      <c r="H152" s="368"/>
      <c r="I152" s="368"/>
      <c r="J152" s="368"/>
      <c r="K152" s="368"/>
      <c r="L152" s="368"/>
      <c r="M152" s="368"/>
      <c r="N152" s="368"/>
      <c r="O152" s="371">
        <v>45848</v>
      </c>
      <c r="Q152" s="56"/>
      <c r="R152" s="56"/>
      <c r="S152" s="56"/>
      <c r="T152" s="56"/>
      <c r="U152" s="56"/>
      <c r="V152" s="56"/>
      <c r="W152" s="56"/>
      <c r="X152" s="56"/>
      <c r="Y152" s="56"/>
    </row>
    <row r="153" s="56" customFormat="1" spans="1:15">
      <c r="A153" s="71" t="s">
        <v>4395</v>
      </c>
      <c r="B153" s="367">
        <v>45818</v>
      </c>
      <c r="C153" s="368"/>
      <c r="D153" s="368"/>
      <c r="E153" s="368"/>
      <c r="F153" s="368"/>
      <c r="G153" s="368">
        <v>10000</v>
      </c>
      <c r="H153" s="368">
        <v>15000</v>
      </c>
      <c r="I153" s="368">
        <v>10000</v>
      </c>
      <c r="J153" s="368"/>
      <c r="K153" s="368"/>
      <c r="L153" s="368"/>
      <c r="M153" s="368"/>
      <c r="N153" s="368"/>
      <c r="O153" s="371">
        <v>45858</v>
      </c>
    </row>
    <row r="154" s="56" customFormat="1" spans="1:15">
      <c r="A154" s="367" t="s">
        <v>4396</v>
      </c>
      <c r="B154" s="367">
        <v>45827</v>
      </c>
      <c r="C154" s="368">
        <v>20000</v>
      </c>
      <c r="D154" s="368"/>
      <c r="E154" s="368"/>
      <c r="F154" s="368"/>
      <c r="G154" s="368"/>
      <c r="H154" s="368"/>
      <c r="I154" s="368"/>
      <c r="J154" s="368"/>
      <c r="K154" s="368"/>
      <c r="L154" s="368"/>
      <c r="M154" s="368"/>
      <c r="N154" s="368"/>
      <c r="O154" s="371">
        <v>45869</v>
      </c>
    </row>
    <row r="155" s="56" customFormat="1" spans="1:15">
      <c r="A155" s="367" t="s">
        <v>4396</v>
      </c>
      <c r="B155" s="367">
        <v>45827</v>
      </c>
      <c r="C155" s="368"/>
      <c r="D155" s="368"/>
      <c r="E155" s="368"/>
      <c r="F155" s="368"/>
      <c r="G155" s="368"/>
      <c r="H155" s="368"/>
      <c r="I155" s="368"/>
      <c r="J155" s="368"/>
      <c r="K155" s="368"/>
      <c r="L155" s="368">
        <v>10000</v>
      </c>
      <c r="M155" s="368">
        <v>10000</v>
      </c>
      <c r="N155" s="368">
        <v>10000</v>
      </c>
      <c r="O155" s="371">
        <v>45869</v>
      </c>
    </row>
    <row r="156" s="56" customFormat="1" spans="1:15">
      <c r="A156" s="367" t="s">
        <v>4397</v>
      </c>
      <c r="B156" s="367">
        <v>45847</v>
      </c>
      <c r="C156" s="368"/>
      <c r="D156" s="368"/>
      <c r="E156" s="368"/>
      <c r="F156" s="368"/>
      <c r="G156" s="368">
        <v>10000</v>
      </c>
      <c r="H156" s="368">
        <v>10000</v>
      </c>
      <c r="I156" s="368">
        <v>10000</v>
      </c>
      <c r="J156" s="368"/>
      <c r="K156" s="368"/>
      <c r="L156" s="368"/>
      <c r="M156" s="368"/>
      <c r="N156" s="368"/>
      <c r="O156" s="371">
        <v>45847</v>
      </c>
    </row>
    <row r="157" s="56" customFormat="1" spans="1:15">
      <c r="A157" s="367" t="s">
        <v>4398</v>
      </c>
      <c r="B157" s="367">
        <v>45874</v>
      </c>
      <c r="C157" s="368"/>
      <c r="D157" s="368"/>
      <c r="E157" s="368"/>
      <c r="F157" s="368"/>
      <c r="G157" s="368">
        <v>15000</v>
      </c>
      <c r="H157" s="368">
        <v>20000</v>
      </c>
      <c r="I157" s="368">
        <v>20000</v>
      </c>
      <c r="J157" s="368"/>
      <c r="K157" s="368"/>
      <c r="L157" s="368"/>
      <c r="M157" s="368"/>
      <c r="N157" s="368"/>
      <c r="O157" s="371">
        <v>45925</v>
      </c>
    </row>
    <row r="158" s="56" customFormat="1" spans="1:15">
      <c r="A158" s="71" t="s">
        <v>4399</v>
      </c>
      <c r="B158" s="367">
        <v>45880</v>
      </c>
      <c r="C158" s="368"/>
      <c r="D158" s="368"/>
      <c r="E158" s="368"/>
      <c r="F158" s="368"/>
      <c r="G158" s="368"/>
      <c r="H158" s="368"/>
      <c r="I158" s="368"/>
      <c r="J158" s="368"/>
      <c r="K158" s="368"/>
      <c r="L158" s="368">
        <v>16600</v>
      </c>
      <c r="M158" s="368">
        <v>17900</v>
      </c>
      <c r="N158" s="368">
        <v>18500</v>
      </c>
      <c r="O158" s="371">
        <v>45930</v>
      </c>
    </row>
    <row r="159" s="56" customFormat="1" spans="1:15">
      <c r="A159" s="71" t="s">
        <v>4400</v>
      </c>
      <c r="B159" s="367">
        <v>45908</v>
      </c>
      <c r="C159" s="368">
        <v>40000</v>
      </c>
      <c r="D159" s="368"/>
      <c r="E159" s="368"/>
      <c r="F159" s="368"/>
      <c r="G159" s="368"/>
      <c r="H159" s="368"/>
      <c r="I159" s="368"/>
      <c r="J159" s="368"/>
      <c r="K159" s="368"/>
      <c r="L159" s="368"/>
      <c r="M159" s="368"/>
      <c r="N159" s="368"/>
      <c r="O159" s="371">
        <v>45971</v>
      </c>
    </row>
    <row r="160" s="56" customFormat="1" spans="1:15">
      <c r="A160" s="71" t="s">
        <v>4400</v>
      </c>
      <c r="B160" s="367">
        <v>45908</v>
      </c>
      <c r="C160" s="368"/>
      <c r="D160" s="368"/>
      <c r="E160" s="368"/>
      <c r="F160" s="368"/>
      <c r="G160" s="368">
        <v>15000</v>
      </c>
      <c r="H160" s="368">
        <v>15000</v>
      </c>
      <c r="I160" s="368">
        <v>15000</v>
      </c>
      <c r="J160" s="368"/>
      <c r="K160" s="368"/>
      <c r="L160" s="368"/>
      <c r="M160" s="368"/>
      <c r="N160" s="368"/>
      <c r="O160" s="371">
        <v>45971</v>
      </c>
    </row>
    <row r="161" s="56" customFormat="1" spans="1:25">
      <c r="A161" s="71" t="s">
        <v>4401</v>
      </c>
      <c r="B161" s="367">
        <v>45940</v>
      </c>
      <c r="C161" s="368">
        <v>80000</v>
      </c>
      <c r="D161" s="368"/>
      <c r="E161" s="368"/>
      <c r="F161" s="368"/>
      <c r="G161" s="368"/>
      <c r="H161" s="368"/>
      <c r="I161" s="368"/>
      <c r="J161" s="368"/>
      <c r="K161" s="368"/>
      <c r="L161" s="368"/>
      <c r="M161" s="368"/>
      <c r="N161" s="368"/>
      <c r="O161" s="371">
        <v>45996</v>
      </c>
      <c r="Y161" s="323"/>
    </row>
    <row r="162" s="56" customFormat="1" spans="1:15">
      <c r="A162" s="71" t="s">
        <v>4402</v>
      </c>
      <c r="B162" s="367">
        <v>45950</v>
      </c>
      <c r="C162" s="368"/>
      <c r="D162" s="368"/>
      <c r="E162" s="368">
        <v>10000</v>
      </c>
      <c r="F162" s="368"/>
      <c r="G162" s="368"/>
      <c r="H162" s="368"/>
      <c r="I162" s="368"/>
      <c r="J162" s="368"/>
      <c r="K162" s="368"/>
      <c r="L162" s="368"/>
      <c r="M162" s="368"/>
      <c r="N162" s="368"/>
      <c r="O162" s="371">
        <v>46006</v>
      </c>
    </row>
    <row r="163" s="56" customFormat="1" spans="1:15">
      <c r="A163" s="71" t="s">
        <v>4402</v>
      </c>
      <c r="B163" s="367">
        <v>45950</v>
      </c>
      <c r="C163" s="368"/>
      <c r="D163" s="368"/>
      <c r="E163" s="368"/>
      <c r="F163" s="368"/>
      <c r="G163" s="368">
        <v>10000</v>
      </c>
      <c r="H163" s="368">
        <v>10000</v>
      </c>
      <c r="I163" s="368">
        <v>10000</v>
      </c>
      <c r="J163" s="368"/>
      <c r="K163" s="368"/>
      <c r="L163" s="368"/>
      <c r="M163" s="368"/>
      <c r="N163" s="368"/>
      <c r="O163" s="371">
        <v>46006</v>
      </c>
    </row>
    <row r="164" s="56" customFormat="1" spans="1:15">
      <c r="A164" s="71" t="s">
        <v>4403</v>
      </c>
      <c r="B164" s="367">
        <v>45973</v>
      </c>
      <c r="C164" s="368">
        <v>60000</v>
      </c>
      <c r="D164" s="368"/>
      <c r="E164" s="368"/>
      <c r="F164" s="368"/>
      <c r="G164" s="368"/>
      <c r="H164" s="368"/>
      <c r="I164" s="368"/>
      <c r="J164" s="368"/>
      <c r="K164" s="368"/>
      <c r="L164" s="368"/>
      <c r="M164" s="368"/>
      <c r="N164" s="368"/>
      <c r="O164" s="371">
        <v>45662</v>
      </c>
    </row>
    <row r="165" s="56" customFormat="1" spans="1:15">
      <c r="A165" s="71" t="s">
        <v>4403</v>
      </c>
      <c r="B165" s="367">
        <v>45973</v>
      </c>
      <c r="C165" s="368"/>
      <c r="D165" s="368"/>
      <c r="E165" s="368">
        <v>10000</v>
      </c>
      <c r="F165" s="368"/>
      <c r="G165" s="368"/>
      <c r="H165" s="368"/>
      <c r="I165" s="368"/>
      <c r="J165" s="368"/>
      <c r="K165" s="368"/>
      <c r="L165" s="368"/>
      <c r="M165" s="368"/>
      <c r="N165" s="368"/>
      <c r="O165" s="371">
        <v>45662</v>
      </c>
    </row>
    <row r="166" s="56" customFormat="1" spans="1:15">
      <c r="A166" s="71" t="s">
        <v>4403</v>
      </c>
      <c r="B166" s="367">
        <v>45973</v>
      </c>
      <c r="C166" s="368"/>
      <c r="D166" s="368"/>
      <c r="E166" s="368"/>
      <c r="F166" s="368"/>
      <c r="G166" s="368">
        <v>10000</v>
      </c>
      <c r="H166" s="368">
        <v>10000</v>
      </c>
      <c r="I166" s="368">
        <v>10000</v>
      </c>
      <c r="J166" s="368"/>
      <c r="K166" s="368"/>
      <c r="L166" s="368"/>
      <c r="M166" s="368"/>
      <c r="N166" s="368"/>
      <c r="O166" s="371">
        <v>45662</v>
      </c>
    </row>
    <row r="167" s="56" customFormat="1" spans="1:15">
      <c r="A167" s="71" t="s">
        <v>4404</v>
      </c>
      <c r="B167" s="367">
        <v>46001</v>
      </c>
      <c r="C167" s="368">
        <v>20000</v>
      </c>
      <c r="D167" s="368"/>
      <c r="E167" s="368"/>
      <c r="F167" s="368"/>
      <c r="G167" s="368"/>
      <c r="H167" s="368"/>
      <c r="I167" s="368"/>
      <c r="J167" s="368"/>
      <c r="K167" s="368"/>
      <c r="L167" s="368"/>
      <c r="M167" s="368"/>
      <c r="N167" s="368"/>
      <c r="O167" s="371">
        <v>46058</v>
      </c>
    </row>
    <row r="168" s="56" customFormat="1" spans="1:15">
      <c r="A168" s="71" t="s">
        <v>4404</v>
      </c>
      <c r="B168" s="367">
        <v>46001</v>
      </c>
      <c r="C168" s="368"/>
      <c r="D168" s="368"/>
      <c r="E168" s="368"/>
      <c r="F168" s="368"/>
      <c r="G168" s="368">
        <v>10000</v>
      </c>
      <c r="H168" s="368">
        <v>10000</v>
      </c>
      <c r="I168" s="368">
        <v>10000</v>
      </c>
      <c r="J168" s="368"/>
      <c r="K168" s="368"/>
      <c r="L168" s="368"/>
      <c r="M168" s="368"/>
      <c r="N168" s="368"/>
      <c r="O168" s="371">
        <v>46058</v>
      </c>
    </row>
    <row r="169" s="56" customFormat="1" spans="1:15">
      <c r="A169" s="376" t="s">
        <v>4405</v>
      </c>
      <c r="B169" s="377">
        <v>46017</v>
      </c>
      <c r="C169" s="398">
        <v>20000</v>
      </c>
      <c r="D169" s="398"/>
      <c r="E169" s="398"/>
      <c r="F169" s="398"/>
      <c r="G169" s="398"/>
      <c r="H169" s="398"/>
      <c r="I169" s="398"/>
      <c r="J169" s="398"/>
      <c r="K169" s="398"/>
      <c r="L169" s="398"/>
      <c r="M169" s="398"/>
      <c r="N169" s="398"/>
      <c r="O169" s="420">
        <v>46077</v>
      </c>
    </row>
    <row r="170" s="56" customFormat="1" spans="1:15">
      <c r="A170" s="71"/>
      <c r="B170" s="367"/>
      <c r="C170" s="368"/>
      <c r="D170" s="368"/>
      <c r="E170" s="368"/>
      <c r="F170" s="368"/>
      <c r="G170" s="368"/>
      <c r="H170" s="368"/>
      <c r="I170" s="368"/>
      <c r="J170" s="368"/>
      <c r="K170" s="368"/>
      <c r="L170" s="368"/>
      <c r="M170" s="368"/>
      <c r="N170" s="368"/>
      <c r="O170" s="371"/>
    </row>
    <row r="171" s="56" customFormat="1" spans="1:15">
      <c r="A171" s="71"/>
      <c r="B171" s="367"/>
      <c r="C171" s="368"/>
      <c r="D171" s="368"/>
      <c r="E171" s="368"/>
      <c r="F171" s="368"/>
      <c r="G171" s="368"/>
      <c r="H171" s="368"/>
      <c r="I171" s="368"/>
      <c r="J171" s="368"/>
      <c r="K171" s="368"/>
      <c r="L171" s="368"/>
      <c r="M171" s="368"/>
      <c r="N171" s="368"/>
      <c r="O171" s="371"/>
    </row>
    <row r="172" spans="1:25">
      <c r="A172" s="71"/>
      <c r="B172" s="367"/>
      <c r="C172" s="368"/>
      <c r="D172" s="368"/>
      <c r="E172" s="368"/>
      <c r="F172" s="368"/>
      <c r="G172" s="368"/>
      <c r="H172" s="368"/>
      <c r="I172" s="368"/>
      <c r="J172" s="368"/>
      <c r="K172" s="368"/>
      <c r="L172" s="368"/>
      <c r="M172" s="368"/>
      <c r="N172" s="368"/>
      <c r="O172" s="371"/>
      <c r="Q172" s="56"/>
      <c r="R172" s="56"/>
      <c r="S172" s="56"/>
      <c r="T172" s="56"/>
      <c r="U172" s="56"/>
      <c r="V172" s="56"/>
      <c r="W172" s="56"/>
      <c r="X172" s="56"/>
      <c r="Y172" s="56"/>
    </row>
    <row r="173" spans="1:25">
      <c r="A173" s="399" t="s">
        <v>4406</v>
      </c>
      <c r="B173" s="400"/>
      <c r="C173" s="401"/>
      <c r="D173" s="401"/>
      <c r="E173" s="401"/>
      <c r="F173" s="401"/>
      <c r="G173" s="401">
        <v>-9811</v>
      </c>
      <c r="H173" s="401">
        <v>-3198</v>
      </c>
      <c r="I173" s="401">
        <v>-3300</v>
      </c>
      <c r="J173" s="401">
        <f>SUM(G173:I173)</f>
        <v>-16309</v>
      </c>
      <c r="K173" s="401"/>
      <c r="L173" s="401">
        <v>-6942</v>
      </c>
      <c r="M173" s="401">
        <v>-6183</v>
      </c>
      <c r="N173" s="401">
        <v>-5579</v>
      </c>
      <c r="O173" s="380"/>
      <c r="Q173" s="323"/>
      <c r="R173" s="323"/>
      <c r="S173" s="323"/>
      <c r="T173" s="323"/>
      <c r="U173" s="323"/>
      <c r="V173" s="323"/>
      <c r="W173" s="323"/>
      <c r="X173" s="323"/>
      <c r="Y173" s="323"/>
    </row>
    <row r="174" ht="20" customHeight="1" spans="1:25">
      <c r="A174" s="402"/>
      <c r="B174" s="402" t="s">
        <v>4368</v>
      </c>
      <c r="C174" s="402">
        <f t="shared" ref="C174:J174" si="10">SUM(C5:C173)</f>
        <v>1274000</v>
      </c>
      <c r="D174" s="402">
        <f t="shared" si="10"/>
        <v>301000</v>
      </c>
      <c r="E174" s="402">
        <f t="shared" si="10"/>
        <v>453000</v>
      </c>
      <c r="F174" s="336">
        <f t="shared" si="10"/>
        <v>978000</v>
      </c>
      <c r="G174" s="402">
        <f t="shared" si="10"/>
        <v>4272189</v>
      </c>
      <c r="H174" s="402">
        <f t="shared" si="10"/>
        <v>3141202</v>
      </c>
      <c r="I174" s="402">
        <f t="shared" si="10"/>
        <v>3325300</v>
      </c>
      <c r="J174" s="402">
        <f>SUM(G174:I174)</f>
        <v>10738691</v>
      </c>
      <c r="K174" s="402">
        <f>SUM(K5:K78)</f>
        <v>204338</v>
      </c>
      <c r="L174" s="402">
        <f>SUM(L5:L173)</f>
        <v>562158</v>
      </c>
      <c r="M174" s="402">
        <f>SUM(M5:M173)</f>
        <v>460917</v>
      </c>
      <c r="N174" s="402">
        <f>SUM(N5:N173)</f>
        <v>471121</v>
      </c>
      <c r="O174" s="336">
        <f>SUM(L174:N174)</f>
        <v>1494196</v>
      </c>
      <c r="Q174" s="323"/>
      <c r="R174" s="323"/>
      <c r="S174" s="323"/>
      <c r="T174" s="323"/>
      <c r="U174" s="323"/>
      <c r="V174" s="323"/>
      <c r="W174" s="323"/>
      <c r="X174" s="323"/>
      <c r="Y174" s="323"/>
    </row>
    <row r="175" spans="1:25">
      <c r="A175" s="403" t="s">
        <v>4407</v>
      </c>
      <c r="B175" s="403"/>
      <c r="C175" s="403">
        <v>442266</v>
      </c>
      <c r="D175" s="403">
        <v>220163</v>
      </c>
      <c r="E175" s="403">
        <v>307399</v>
      </c>
      <c r="F175" s="336"/>
      <c r="G175" s="404"/>
      <c r="H175" s="404"/>
      <c r="I175" s="404"/>
      <c r="J175" s="402"/>
      <c r="K175" s="402"/>
      <c r="L175" s="403">
        <v>464774</v>
      </c>
      <c r="M175" s="403">
        <v>366569</v>
      </c>
      <c r="N175" s="403">
        <v>375569</v>
      </c>
      <c r="O175" s="336"/>
      <c r="Q175" s="56"/>
      <c r="R175" s="56"/>
      <c r="S175" s="56"/>
      <c r="T175" s="56"/>
      <c r="U175" s="56"/>
      <c r="V175" s="56"/>
      <c r="W175" s="56"/>
      <c r="X175" s="56"/>
      <c r="Y175" s="56"/>
    </row>
    <row r="176" spans="1:25">
      <c r="A176" s="403" t="s">
        <v>4408</v>
      </c>
      <c r="B176" s="403"/>
      <c r="C176" s="403">
        <v>148880</v>
      </c>
      <c r="D176" s="403">
        <v>25608</v>
      </c>
      <c r="E176" s="403">
        <v>35108</v>
      </c>
      <c r="F176" s="336"/>
      <c r="G176" s="405">
        <v>567560.333333333</v>
      </c>
      <c r="H176" s="405">
        <v>417528.333333333</v>
      </c>
      <c r="I176" s="405">
        <v>430578.333333333</v>
      </c>
      <c r="J176" s="403">
        <f t="shared" ref="J176:J181" si="11">SUM(G176:I176)</f>
        <v>1415667</v>
      </c>
      <c r="K176" s="403"/>
      <c r="L176" s="403">
        <v>24694</v>
      </c>
      <c r="M176" s="403">
        <v>19574</v>
      </c>
      <c r="N176" s="403">
        <v>19574</v>
      </c>
      <c r="O176" s="336"/>
      <c r="Q176" s="56"/>
      <c r="R176" s="56"/>
      <c r="S176" s="56"/>
      <c r="T176" s="56"/>
      <c r="U176" s="56"/>
      <c r="V176" s="56"/>
      <c r="W176" s="56"/>
      <c r="X176" s="56"/>
      <c r="Y176" s="56"/>
    </row>
    <row r="177" spans="1:25">
      <c r="A177" s="403" t="s">
        <v>4409</v>
      </c>
      <c r="B177" s="403"/>
      <c r="C177" s="403">
        <v>261624</v>
      </c>
      <c r="D177" s="403">
        <v>32190</v>
      </c>
      <c r="E177" s="403">
        <v>48134</v>
      </c>
      <c r="F177" s="336"/>
      <c r="G177" s="405">
        <v>379926.333333333</v>
      </c>
      <c r="H177" s="405">
        <v>217130.333333333</v>
      </c>
      <c r="I177" s="405">
        <v>272674.333333333</v>
      </c>
      <c r="J177" s="403">
        <f t="shared" si="11"/>
        <v>869730.999999999</v>
      </c>
      <c r="K177" s="403"/>
      <c r="L177" s="403">
        <v>24452</v>
      </c>
      <c r="M177" s="403">
        <v>24452</v>
      </c>
      <c r="N177" s="403">
        <v>24452</v>
      </c>
      <c r="O177" s="336"/>
      <c r="Q177" s="56"/>
      <c r="R177" s="56"/>
      <c r="S177" s="56"/>
      <c r="T177" s="56"/>
      <c r="U177" s="56"/>
      <c r="V177" s="56"/>
      <c r="W177" s="56"/>
      <c r="X177" s="56"/>
      <c r="Y177" s="56"/>
    </row>
    <row r="178" spans="1:25">
      <c r="A178" s="402"/>
      <c r="B178" s="402" t="s">
        <v>4410</v>
      </c>
      <c r="C178" s="402">
        <f>鴨子、鱷魚、金魚排期!AH349+C175+C176+C177</f>
        <v>1237449</v>
      </c>
      <c r="D178" s="402">
        <f>鴨子、鱷魚、金魚排期!AI349+D175+D176+D177</f>
        <v>296609</v>
      </c>
      <c r="E178" s="402">
        <f>鴨子、鱷魚、金魚排期!AJ349+E175+E176+E177</f>
        <v>445798</v>
      </c>
      <c r="F178" s="336">
        <f>SUM(C178:E178)</f>
        <v>1979856</v>
      </c>
      <c r="G178" s="404">
        <f>鯊魚排期!AH332+2458106+666848+6+G176+G177</f>
        <v>4254899</v>
      </c>
      <c r="H178" s="404">
        <f>鯊魚排期!AJ332+1779682+546903+6+H176+H177</f>
        <v>3123697</v>
      </c>
      <c r="I178" s="404">
        <f>鯊魚排期!AI332+1891383+551005+6+I176+I177</f>
        <v>3312967</v>
      </c>
      <c r="J178" s="402">
        <f t="shared" si="11"/>
        <v>10691563</v>
      </c>
      <c r="K178" s="402">
        <f>'#25291'!AD21+131572</f>
        <v>204398</v>
      </c>
      <c r="L178" s="402">
        <f>'7163-66'!AG112+L175+L176+L177</f>
        <v>559226</v>
      </c>
      <c r="M178" s="402">
        <f>'7163-66'!AH112+M175+M176+M177</f>
        <v>458588</v>
      </c>
      <c r="N178" s="402">
        <f>'7163-66'!AI112+N175+N176+N177</f>
        <v>467588</v>
      </c>
      <c r="O178" s="336">
        <f>SUM(L178:N178)</f>
        <v>1485402</v>
      </c>
      <c r="Q178" s="56"/>
      <c r="R178" s="56"/>
      <c r="S178" s="56"/>
      <c r="T178" s="56"/>
      <c r="U178" s="56"/>
      <c r="V178" s="56"/>
      <c r="W178" s="56"/>
      <c r="X178" s="56"/>
      <c r="Y178" s="56"/>
    </row>
    <row r="179" spans="1:25">
      <c r="A179" s="402"/>
      <c r="B179" s="406" t="s">
        <v>4411</v>
      </c>
      <c r="C179" s="407"/>
      <c r="D179" s="407"/>
      <c r="E179" s="407"/>
      <c r="F179" s="328"/>
      <c r="G179" s="408"/>
      <c r="H179" s="408"/>
      <c r="I179" s="408"/>
      <c r="J179" s="402">
        <f t="shared" si="11"/>
        <v>0</v>
      </c>
      <c r="K179" s="402"/>
      <c r="L179" s="402"/>
      <c r="M179" s="402"/>
      <c r="N179" s="402"/>
      <c r="O179" s="336"/>
      <c r="Q179" s="56"/>
      <c r="R179" s="56"/>
      <c r="S179" s="56"/>
      <c r="T179" s="56"/>
      <c r="U179" s="56"/>
      <c r="V179" s="56"/>
      <c r="W179" s="56"/>
      <c r="X179" s="56"/>
      <c r="Y179" s="56"/>
    </row>
    <row r="180" ht="17" customHeight="1" spans="1:25">
      <c r="A180" s="71"/>
      <c r="B180" s="71" t="s">
        <v>4412</v>
      </c>
      <c r="C180" s="71"/>
      <c r="D180" s="71"/>
      <c r="E180" s="71"/>
      <c r="F180" s="328"/>
      <c r="G180" s="71"/>
      <c r="H180" s="409"/>
      <c r="I180" s="409"/>
      <c r="J180" s="409">
        <f t="shared" si="11"/>
        <v>0</v>
      </c>
      <c r="K180" s="409"/>
      <c r="L180" s="409"/>
      <c r="M180" s="409"/>
      <c r="N180" s="409"/>
      <c r="O180" s="71"/>
      <c r="Q180" s="56"/>
      <c r="R180" s="56"/>
      <c r="S180" s="56"/>
      <c r="T180" s="56"/>
      <c r="U180" s="56"/>
      <c r="V180" s="56"/>
      <c r="W180" s="56"/>
      <c r="X180" s="56"/>
      <c r="Y180" s="56"/>
    </row>
    <row r="181" spans="1:25">
      <c r="A181" s="402"/>
      <c r="B181" s="402" t="s">
        <v>4413</v>
      </c>
      <c r="C181" s="402">
        <f>C174-C178</f>
        <v>36551</v>
      </c>
      <c r="D181" s="402">
        <f>D174-D178</f>
        <v>4391</v>
      </c>
      <c r="E181" s="403">
        <f>E174-E178</f>
        <v>7202</v>
      </c>
      <c r="F181" s="328">
        <f>SUM(C181:E181)</f>
        <v>48144</v>
      </c>
      <c r="G181" s="410">
        <f>G174-G178</f>
        <v>17290</v>
      </c>
      <c r="H181" s="410">
        <f>H174-H178</f>
        <v>17505.0000000009</v>
      </c>
      <c r="I181" s="410">
        <f>I174-I178</f>
        <v>12333.0000000009</v>
      </c>
      <c r="J181" s="410">
        <f t="shared" si="11"/>
        <v>47128.0000000019</v>
      </c>
      <c r="K181" s="410">
        <f>K174-K178-K179-K180</f>
        <v>-60</v>
      </c>
      <c r="L181" s="410">
        <f>L174-L178-L179-L180</f>
        <v>2932</v>
      </c>
      <c r="M181" s="410">
        <f>M174-M178-M179-M180</f>
        <v>2329</v>
      </c>
      <c r="N181" s="410">
        <f>N174-N178-N179-N180</f>
        <v>3533</v>
      </c>
      <c r="O181" s="336">
        <f>SUM(L181:N181)</f>
        <v>8794</v>
      </c>
      <c r="Q181" s="323"/>
      <c r="R181" s="323"/>
      <c r="S181" s="323"/>
      <c r="T181" s="323"/>
      <c r="U181" s="323"/>
      <c r="V181" s="323"/>
      <c r="W181" s="323"/>
      <c r="X181" s="323"/>
      <c r="Y181" s="56"/>
    </row>
    <row r="182" spans="1:25">
      <c r="A182" s="402"/>
      <c r="B182" s="402" t="s">
        <v>4414</v>
      </c>
      <c r="C182" s="411">
        <f>C181+D181+E181</f>
        <v>48144</v>
      </c>
      <c r="D182" s="412"/>
      <c r="E182" s="413"/>
      <c r="F182" s="414"/>
      <c r="G182" s="411">
        <f>G181+H181+I181</f>
        <v>47128.0000000019</v>
      </c>
      <c r="H182" s="412"/>
      <c r="I182" s="413"/>
      <c r="J182" s="402"/>
      <c r="K182" s="402"/>
      <c r="L182" s="402"/>
      <c r="M182" s="402"/>
      <c r="N182" s="402"/>
      <c r="O182" s="402"/>
      <c r="Q182" s="323"/>
      <c r="R182" s="323"/>
      <c r="S182" s="323"/>
      <c r="T182" s="323"/>
      <c r="U182" s="323"/>
      <c r="V182" s="323"/>
      <c r="W182" s="323"/>
      <c r="X182" s="323"/>
      <c r="Y182" s="56"/>
    </row>
    <row r="183" spans="2:25">
      <c r="B183" s="358"/>
      <c r="C183" s="415"/>
      <c r="D183" s="415"/>
      <c r="E183" s="415"/>
      <c r="F183" s="415"/>
      <c r="K183" s="421" t="s">
        <v>4415</v>
      </c>
      <c r="L183" s="422">
        <v>16090</v>
      </c>
      <c r="M183" s="422">
        <v>16874</v>
      </c>
      <c r="N183" s="422">
        <v>17478</v>
      </c>
      <c r="Q183" s="323"/>
      <c r="R183" s="323"/>
      <c r="S183" s="323"/>
      <c r="T183" s="323"/>
      <c r="U183" s="323"/>
      <c r="V183" s="323"/>
      <c r="W183" s="323"/>
      <c r="X183" s="323"/>
      <c r="Y183" s="56"/>
    </row>
    <row r="184" spans="2:25">
      <c r="B184" s="358" t="s">
        <v>4416</v>
      </c>
      <c r="C184" s="416">
        <f>2.2093*7.75</f>
        <v>17.122075</v>
      </c>
      <c r="D184" s="416">
        <f>2.2674*7.75</f>
        <v>17.57235</v>
      </c>
      <c r="E184" s="416">
        <f>1.8603*7.75</f>
        <v>14.417325</v>
      </c>
      <c r="F184" s="416"/>
      <c r="J184" s="423"/>
      <c r="K184" s="424"/>
      <c r="L184" s="425"/>
      <c r="M184" s="425"/>
      <c r="N184" s="425"/>
      <c r="O184" s="423"/>
      <c r="Q184" s="323"/>
      <c r="R184" s="323"/>
      <c r="S184" s="323"/>
      <c r="T184" s="323"/>
      <c r="U184" s="323"/>
      <c r="V184" s="323"/>
      <c r="W184" s="323"/>
      <c r="X184" s="323"/>
      <c r="Y184" s="56"/>
    </row>
    <row r="185" spans="3:14">
      <c r="C185" s="322">
        <f>C18*C184</f>
        <v>342441.5</v>
      </c>
      <c r="D185" s="322">
        <f>D18*D184</f>
        <v>351447</v>
      </c>
      <c r="E185" s="322">
        <f>E18*E184</f>
        <v>288346.5</v>
      </c>
      <c r="K185" s="426"/>
      <c r="L185" s="358"/>
      <c r="M185" s="427"/>
      <c r="N185" s="427"/>
    </row>
    <row r="186" spans="11:14">
      <c r="K186" s="426"/>
      <c r="L186" s="358"/>
      <c r="M186" s="427"/>
      <c r="N186" s="427"/>
    </row>
    <row r="187" ht="15" hidden="1" spans="2:24">
      <c r="B187" s="406" t="s">
        <v>4411</v>
      </c>
      <c r="C187" s="407">
        <v>10008</v>
      </c>
      <c r="D187" s="407">
        <v>5004</v>
      </c>
      <c r="E187" s="407"/>
      <c r="G187" s="417" t="s">
        <v>4417</v>
      </c>
      <c r="H187" s="417" t="s">
        <v>4302</v>
      </c>
      <c r="I187" s="428" t="s">
        <v>4418</v>
      </c>
      <c r="J187" s="429"/>
      <c r="K187" s="427"/>
      <c r="L187" s="427"/>
      <c r="Q187" s="56"/>
      <c r="R187" s="56"/>
      <c r="S187" s="56"/>
      <c r="T187" s="56"/>
      <c r="U187" s="56"/>
      <c r="V187" s="56"/>
      <c r="W187" s="56"/>
      <c r="X187" s="56"/>
    </row>
    <row r="188" ht="15" hidden="1" spans="2:24">
      <c r="B188" s="71" t="s">
        <v>4412</v>
      </c>
      <c r="C188" s="71">
        <v>413</v>
      </c>
      <c r="D188" s="71">
        <v>313</v>
      </c>
      <c r="E188" s="71">
        <v>308</v>
      </c>
      <c r="G188" s="418"/>
      <c r="H188" s="418"/>
      <c r="I188" s="428" t="s">
        <v>4419</v>
      </c>
      <c r="J188" s="429"/>
      <c r="K188" s="427"/>
      <c r="L188" s="427"/>
      <c r="Q188" s="56"/>
      <c r="R188" s="56"/>
      <c r="S188" s="56"/>
      <c r="T188" s="56"/>
      <c r="U188" s="56"/>
      <c r="V188" s="56"/>
      <c r="W188" s="56"/>
      <c r="X188" s="56"/>
    </row>
    <row r="189" ht="15" hidden="1" spans="7:24">
      <c r="G189" s="419"/>
      <c r="H189" s="419"/>
      <c r="I189" s="430" t="s">
        <v>4420</v>
      </c>
      <c r="J189" s="429"/>
      <c r="K189" s="427"/>
      <c r="L189" s="427"/>
      <c r="Q189" s="56"/>
      <c r="R189" s="56"/>
      <c r="S189" s="56"/>
      <c r="T189" s="56"/>
      <c r="U189" s="56"/>
      <c r="V189" s="56"/>
      <c r="W189" s="56"/>
      <c r="X189" s="56"/>
    </row>
    <row r="190" hidden="1" spans="7:24">
      <c r="G190" s="417" t="s">
        <v>4417</v>
      </c>
      <c r="H190" s="417" t="s">
        <v>4308</v>
      </c>
      <c r="I190" s="431" t="s">
        <v>4421</v>
      </c>
      <c r="J190" s="431"/>
      <c r="K190" s="427"/>
      <c r="L190" s="427"/>
      <c r="Q190" s="56"/>
      <c r="R190" s="56"/>
      <c r="S190" s="56"/>
      <c r="T190" s="56"/>
      <c r="U190" s="56"/>
      <c r="V190" s="56"/>
      <c r="W190" s="56"/>
      <c r="X190" s="56"/>
    </row>
    <row r="191" hidden="1" spans="7:24">
      <c r="G191" s="418"/>
      <c r="H191" s="418"/>
      <c r="I191" s="431"/>
      <c r="J191" s="431"/>
      <c r="K191" s="427"/>
      <c r="L191" s="427"/>
      <c r="Q191" s="56"/>
      <c r="R191" s="56"/>
      <c r="S191" s="56"/>
      <c r="T191" s="56"/>
      <c r="U191" s="56"/>
      <c r="V191" s="56"/>
      <c r="W191" s="56"/>
      <c r="X191" s="56"/>
    </row>
    <row r="192" hidden="1" spans="7:24">
      <c r="G192" s="419"/>
      <c r="H192" s="419"/>
      <c r="I192" s="431"/>
      <c r="J192" s="431"/>
      <c r="K192" s="427"/>
      <c r="L192" s="427"/>
      <c r="Q192" s="56">
        <f>O174-O178</f>
        <v>8794</v>
      </c>
      <c r="R192" s="56"/>
      <c r="S192" s="56"/>
      <c r="T192" s="56"/>
      <c r="U192" s="56"/>
      <c r="V192" s="56"/>
      <c r="W192" s="56"/>
      <c r="X192" s="56"/>
    </row>
    <row r="193" spans="3:15">
      <c r="C193" s="433">
        <v>967984</v>
      </c>
      <c r="D193" s="433">
        <v>282455</v>
      </c>
      <c r="E193" s="433">
        <v>407565</v>
      </c>
      <c r="F193" s="433">
        <v>1658004</v>
      </c>
      <c r="G193" s="434"/>
      <c r="H193" s="434"/>
      <c r="I193" s="434"/>
      <c r="J193" s="434"/>
      <c r="K193" s="427"/>
      <c r="L193" s="433">
        <v>519088</v>
      </c>
      <c r="M193" s="433">
        <v>415763</v>
      </c>
      <c r="N193" s="433">
        <v>424763</v>
      </c>
      <c r="O193" s="434"/>
    </row>
    <row r="194" spans="2:14">
      <c r="B194" s="358"/>
      <c r="C194" s="358">
        <f>C193-C178</f>
        <v>-269465</v>
      </c>
      <c r="D194" s="358">
        <f>D193-D178</f>
        <v>-14154</v>
      </c>
      <c r="E194" s="358">
        <f>E193-E178</f>
        <v>-38233</v>
      </c>
      <c r="F194" s="358"/>
      <c r="G194" s="358"/>
      <c r="H194" s="358"/>
      <c r="I194" s="358"/>
      <c r="J194" s="358"/>
      <c r="K194" s="358"/>
      <c r="L194" s="358">
        <f>L193-L178</f>
        <v>-40138</v>
      </c>
      <c r="M194" s="358">
        <f>M193-M178</f>
        <v>-42825</v>
      </c>
      <c r="N194" s="358">
        <f>N193-N178</f>
        <v>-42825</v>
      </c>
    </row>
    <row r="195" spans="13:24">
      <c r="M195" s="427"/>
      <c r="N195" s="427"/>
      <c r="Q195" s="56"/>
      <c r="R195" s="56"/>
      <c r="S195" s="56"/>
      <c r="T195" s="56"/>
      <c r="U195" s="56"/>
      <c r="V195" s="56"/>
      <c r="W195" s="56"/>
      <c r="X195" s="56"/>
    </row>
    <row r="196" spans="13:24">
      <c r="M196" s="427"/>
      <c r="N196" s="427"/>
      <c r="Q196" s="323"/>
      <c r="R196" s="323"/>
      <c r="S196" s="323"/>
      <c r="T196" s="323"/>
      <c r="U196" s="323"/>
      <c r="V196" s="323"/>
      <c r="W196" s="323"/>
      <c r="X196" s="323"/>
    </row>
    <row r="197" spans="13:14">
      <c r="M197" s="427"/>
      <c r="N197" s="427"/>
    </row>
    <row r="198" spans="13:14">
      <c r="M198" s="427"/>
      <c r="N198" s="427"/>
    </row>
    <row r="199" spans="13:14">
      <c r="M199" s="427"/>
      <c r="N199" s="427"/>
    </row>
    <row r="200" spans="13:14">
      <c r="M200" s="427"/>
      <c r="N200" s="427"/>
    </row>
    <row r="201" spans="13:14">
      <c r="M201" s="427"/>
      <c r="N201" s="427"/>
    </row>
    <row r="202" spans="13:14">
      <c r="M202" s="427"/>
      <c r="N202" s="427"/>
    </row>
    <row r="203" spans="13:18">
      <c r="M203" s="427"/>
      <c r="N203" s="427"/>
      <c r="R203" s="322">
        <f>R200-175000</f>
        <v>-175000</v>
      </c>
    </row>
    <row r="204" spans="13:14">
      <c r="M204" s="427"/>
      <c r="N204" s="427"/>
    </row>
  </sheetData>
  <autoFilter xmlns:etc="http://www.wps.cn/officeDocument/2017/etCustomData" ref="A4:AE169" etc:filterBottomFollowUsedRange="0">
    <extLst/>
  </autoFilter>
  <mergeCells count="22">
    <mergeCell ref="A1:O1"/>
    <mergeCell ref="Q1:W1"/>
    <mergeCell ref="G2:I2"/>
    <mergeCell ref="L2:N2"/>
    <mergeCell ref="G4:I4"/>
    <mergeCell ref="K4:N4"/>
    <mergeCell ref="R115:T115"/>
    <mergeCell ref="R128:T128"/>
    <mergeCell ref="C182:E182"/>
    <mergeCell ref="G182:I182"/>
    <mergeCell ref="A2:A4"/>
    <mergeCell ref="B2:B4"/>
    <mergeCell ref="F2:F4"/>
    <mergeCell ref="G187:G189"/>
    <mergeCell ref="G190:G192"/>
    <mergeCell ref="H187:H189"/>
    <mergeCell ref="H190:H192"/>
    <mergeCell ref="J2:J4"/>
    <mergeCell ref="O2:O4"/>
    <mergeCell ref="Q2:Q4"/>
    <mergeCell ref="R2:R4"/>
    <mergeCell ref="I190:J192"/>
  </mergeCells>
  <pageMargins left="0" right="0" top="0.98" bottom="0.98" header="0.51" footer="0.51"/>
  <pageSetup paperSize="9" scale="84" orientation="landscape"/>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5"/>
  <sheetViews>
    <sheetView zoomScale="60" zoomScaleNormal="60" workbookViewId="0">
      <pane xSplit="8" ySplit="3" topLeftCell="I13" activePane="bottomRight" state="frozen"/>
      <selection/>
      <selection pane="topRight"/>
      <selection pane="bottomLeft"/>
      <selection pane="bottomRight" activeCell="I9" sqref="I9"/>
    </sheetView>
  </sheetViews>
  <sheetFormatPr defaultColWidth="9" defaultRowHeight="14.25"/>
  <cols>
    <col min="1" max="1" width="7.5" style="56" customWidth="1"/>
    <col min="2" max="2" width="7.625" style="293" customWidth="1"/>
    <col min="3" max="3" width="13.875" style="56" customWidth="1"/>
    <col min="4" max="4" width="10.875" style="56" customWidth="1"/>
    <col min="5" max="5" width="13.125" style="55" customWidth="1"/>
    <col min="6" max="6" width="8.625" style="56" customWidth="1"/>
    <col min="7" max="7" width="12.5" style="56" customWidth="1"/>
    <col min="8" max="8" width="8.25" style="56" customWidth="1"/>
    <col min="9" max="9" width="7.375" style="56" customWidth="1"/>
    <col min="10" max="10" width="9.375" style="56" customWidth="1"/>
    <col min="11" max="11" width="6.625" style="56" customWidth="1"/>
    <col min="12" max="12" width="9.25" style="56" customWidth="1" outlineLevel="1"/>
    <col min="13" max="13" width="12.625" style="57" customWidth="1" outlineLevel="1"/>
    <col min="14" max="15" width="7.5" style="56" customWidth="1"/>
    <col min="16" max="16" width="8" style="56" customWidth="1"/>
    <col min="17" max="17" width="8.25" style="56" customWidth="1"/>
    <col min="18" max="18" width="8.5" style="56" customWidth="1"/>
    <col min="19" max="19" width="7.125" style="293" customWidth="1"/>
    <col min="20" max="20" width="10.25" style="56" customWidth="1"/>
    <col min="21" max="21" width="10.25" style="56" hidden="1" customWidth="1"/>
    <col min="22" max="22" width="9.875" style="56" customWidth="1"/>
    <col min="23" max="23" width="9.875" style="56" hidden="1" customWidth="1"/>
    <col min="24" max="24" width="7.5" style="56" customWidth="1"/>
    <col min="25" max="25" width="7.25" style="60" customWidth="1"/>
    <col min="26" max="26" width="13.5" style="56" customWidth="1"/>
    <col min="27" max="27" width="7.125" style="56" customWidth="1"/>
    <col min="28" max="28" width="7.125" style="56" hidden="1" customWidth="1"/>
    <col min="29" max="30" width="8" style="58" customWidth="1"/>
    <col min="31" max="31" width="7.5" style="58" customWidth="1"/>
    <col min="32" max="33" width="8" style="58" customWidth="1"/>
    <col min="34" max="34" width="58.25" style="60" customWidth="1"/>
    <col min="35" max="16384" width="9" style="56"/>
  </cols>
  <sheetData>
    <row r="1" ht="36" customHeight="1" spans="1:34">
      <c r="A1" s="61" t="s">
        <v>4422</v>
      </c>
      <c r="B1" s="61"/>
      <c r="C1" s="61"/>
      <c r="D1" s="61"/>
      <c r="E1" s="61"/>
      <c r="F1" s="61"/>
      <c r="G1" s="61"/>
      <c r="H1" s="61"/>
      <c r="I1" s="62"/>
      <c r="J1" s="62"/>
      <c r="K1" s="62"/>
      <c r="L1" s="62"/>
      <c r="M1" s="62"/>
      <c r="N1" s="62"/>
      <c r="O1" s="62"/>
      <c r="P1" s="62"/>
      <c r="Q1" s="62"/>
      <c r="R1" s="62"/>
      <c r="S1" s="307"/>
      <c r="T1" s="62"/>
      <c r="U1" s="62"/>
      <c r="V1" s="62"/>
      <c r="W1" s="62"/>
      <c r="X1" s="62"/>
      <c r="Y1" s="97"/>
      <c r="Z1" s="62"/>
      <c r="AA1" s="62"/>
      <c r="AB1" s="62"/>
      <c r="AC1" s="62"/>
      <c r="AD1" s="62"/>
      <c r="AE1" s="93"/>
      <c r="AF1" s="62"/>
      <c r="AG1" s="62"/>
      <c r="AH1" s="97"/>
    </row>
    <row r="2" s="54" customFormat="1" ht="17.25" customHeight="1" spans="1:34">
      <c r="A2" s="294">
        <v>43060</v>
      </c>
      <c r="B2" s="294"/>
      <c r="C2" s="294"/>
      <c r="D2" s="295" t="s">
        <v>4423</v>
      </c>
      <c r="E2" s="295"/>
      <c r="F2" s="295"/>
      <c r="H2" s="65"/>
      <c r="I2" s="65"/>
      <c r="J2" s="65"/>
      <c r="K2" s="65"/>
      <c r="L2" s="65"/>
      <c r="M2" s="81"/>
      <c r="N2" s="65"/>
      <c r="O2" s="65"/>
      <c r="P2" s="65"/>
      <c r="Q2" s="65"/>
      <c r="R2" s="65"/>
      <c r="S2" s="308"/>
      <c r="T2" s="65"/>
      <c r="U2" s="65"/>
      <c r="V2" s="65"/>
      <c r="W2" s="65"/>
      <c r="X2" s="65"/>
      <c r="Y2" s="98"/>
      <c r="Z2" s="65"/>
      <c r="AA2" s="65"/>
      <c r="AB2" s="65"/>
      <c r="AC2" s="313" t="s">
        <v>1</v>
      </c>
      <c r="AD2" s="314"/>
      <c r="AE2" s="315" t="s">
        <v>2</v>
      </c>
      <c r="AF2" s="313" t="s">
        <v>4424</v>
      </c>
      <c r="AG2" s="314"/>
      <c r="AH2" s="98"/>
    </row>
    <row r="3" s="55" customFormat="1" ht="42.75" customHeight="1" spans="1:34">
      <c r="A3" s="66" t="s">
        <v>4425</v>
      </c>
      <c r="B3" s="296" t="s">
        <v>4426</v>
      </c>
      <c r="C3" s="67" t="s">
        <v>11</v>
      </c>
      <c r="D3" s="66" t="s">
        <v>4427</v>
      </c>
      <c r="E3" s="66" t="s">
        <v>9</v>
      </c>
      <c r="F3" s="67" t="s">
        <v>15</v>
      </c>
      <c r="G3" s="68" t="s">
        <v>16</v>
      </c>
      <c r="H3" s="69" t="s">
        <v>1994</v>
      </c>
      <c r="I3" s="68" t="s">
        <v>4428</v>
      </c>
      <c r="J3" s="66" t="s">
        <v>4428</v>
      </c>
      <c r="K3" s="66" t="s">
        <v>19</v>
      </c>
      <c r="L3" s="66" t="s">
        <v>4429</v>
      </c>
      <c r="M3" s="83" t="s">
        <v>4430</v>
      </c>
      <c r="N3" s="67" t="s">
        <v>4431</v>
      </c>
      <c r="O3" s="66" t="s">
        <v>23</v>
      </c>
      <c r="P3" s="66" t="s">
        <v>22</v>
      </c>
      <c r="Q3" s="67" t="s">
        <v>4432</v>
      </c>
      <c r="R3" s="67" t="s">
        <v>4433</v>
      </c>
      <c r="S3" s="309" t="s">
        <v>4434</v>
      </c>
      <c r="T3" s="66" t="s">
        <v>4435</v>
      </c>
      <c r="U3" s="66" t="s">
        <v>4436</v>
      </c>
      <c r="V3" s="66" t="s">
        <v>4437</v>
      </c>
      <c r="W3" s="66" t="s">
        <v>4438</v>
      </c>
      <c r="X3" s="66" t="s">
        <v>28</v>
      </c>
      <c r="Y3" s="99" t="s">
        <v>4439</v>
      </c>
      <c r="Z3" s="66" t="s">
        <v>10</v>
      </c>
      <c r="AA3" s="66" t="s">
        <v>4440</v>
      </c>
      <c r="AB3" s="66" t="s">
        <v>4441</v>
      </c>
      <c r="AC3" s="84" t="s">
        <v>4442</v>
      </c>
      <c r="AD3" s="84" t="s">
        <v>4443</v>
      </c>
      <c r="AE3" s="84" t="s">
        <v>4444</v>
      </c>
      <c r="AF3" s="84" t="s">
        <v>4442</v>
      </c>
      <c r="AG3" s="84" t="s">
        <v>4443</v>
      </c>
      <c r="AH3" s="99" t="s">
        <v>29</v>
      </c>
    </row>
    <row r="4" s="276" customFormat="1" ht="48" customHeight="1" spans="1:34">
      <c r="A4" s="297">
        <v>42882</v>
      </c>
      <c r="B4" s="128" t="s">
        <v>4445</v>
      </c>
      <c r="C4" s="298" t="s">
        <v>4446</v>
      </c>
      <c r="D4" s="161">
        <v>5500000771</v>
      </c>
      <c r="E4" s="105" t="s">
        <v>4447</v>
      </c>
      <c r="F4" s="161">
        <v>25270</v>
      </c>
      <c r="G4" s="170" t="s">
        <v>4448</v>
      </c>
      <c r="H4" s="299">
        <v>2256</v>
      </c>
      <c r="I4" s="303" t="s">
        <v>3102</v>
      </c>
      <c r="J4" s="161">
        <v>12</v>
      </c>
      <c r="K4" s="161">
        <f t="shared" ref="K4:K12" si="0">H4/J4</f>
        <v>188</v>
      </c>
      <c r="L4" s="304">
        <v>25.3286</v>
      </c>
      <c r="M4" s="304">
        <f t="shared" ref="M4:M9" si="1">H4*L4</f>
        <v>57141.3216</v>
      </c>
      <c r="N4" s="297">
        <v>42935</v>
      </c>
      <c r="O4" s="297" t="s">
        <v>215</v>
      </c>
      <c r="P4" s="297">
        <v>42944</v>
      </c>
      <c r="Q4" s="297">
        <v>42936</v>
      </c>
      <c r="R4" s="297"/>
      <c r="S4" s="310">
        <v>42888</v>
      </c>
      <c r="T4" s="311">
        <v>42915</v>
      </c>
      <c r="U4" s="297"/>
      <c r="V4" s="311">
        <v>42914</v>
      </c>
      <c r="W4" s="297"/>
      <c r="X4" s="312" t="s">
        <v>4449</v>
      </c>
      <c r="Y4" s="316" t="s">
        <v>4450</v>
      </c>
      <c r="Z4" s="311" t="s">
        <v>4451</v>
      </c>
      <c r="AA4" s="297"/>
      <c r="AB4" s="161"/>
      <c r="AC4" s="96">
        <v>2256</v>
      </c>
      <c r="AD4" s="96"/>
      <c r="AE4" s="96">
        <f t="shared" ref="AE4:AE9" si="2">H4</f>
        <v>2256</v>
      </c>
      <c r="AF4" s="96">
        <f>H4</f>
        <v>2256</v>
      </c>
      <c r="AG4" s="96"/>
      <c r="AH4" s="318" t="s">
        <v>4452</v>
      </c>
    </row>
    <row r="5" s="276" customFormat="1" ht="48" customHeight="1" spans="1:34">
      <c r="A5" s="297">
        <v>42882</v>
      </c>
      <c r="B5" s="128" t="s">
        <v>4445</v>
      </c>
      <c r="C5" s="298" t="s">
        <v>4446</v>
      </c>
      <c r="D5" s="161">
        <v>5500000771</v>
      </c>
      <c r="E5" s="105" t="s">
        <v>4447</v>
      </c>
      <c r="F5" s="161">
        <v>25271</v>
      </c>
      <c r="G5" s="170" t="s">
        <v>4453</v>
      </c>
      <c r="H5" s="299">
        <v>2256</v>
      </c>
      <c r="I5" s="303" t="s">
        <v>3102</v>
      </c>
      <c r="J5" s="161">
        <v>12</v>
      </c>
      <c r="K5" s="161">
        <f t="shared" si="0"/>
        <v>188</v>
      </c>
      <c r="L5" s="304">
        <v>25.8411</v>
      </c>
      <c r="M5" s="304">
        <f t="shared" si="1"/>
        <v>58297.5216</v>
      </c>
      <c r="N5" s="297">
        <v>42935</v>
      </c>
      <c r="O5" s="297" t="s">
        <v>215</v>
      </c>
      <c r="P5" s="297">
        <v>42937</v>
      </c>
      <c r="Q5" s="297">
        <v>42936</v>
      </c>
      <c r="R5" s="297"/>
      <c r="S5" s="310">
        <v>42888</v>
      </c>
      <c r="T5" s="311">
        <v>42915</v>
      </c>
      <c r="U5" s="297"/>
      <c r="V5" s="311">
        <v>42914</v>
      </c>
      <c r="W5" s="297"/>
      <c r="X5" s="312" t="s">
        <v>4449</v>
      </c>
      <c r="Y5" s="316" t="s">
        <v>4450</v>
      </c>
      <c r="Z5" s="311" t="s">
        <v>4451</v>
      </c>
      <c r="AA5" s="297"/>
      <c r="AB5" s="161"/>
      <c r="AC5" s="96"/>
      <c r="AD5" s="96">
        <v>2256</v>
      </c>
      <c r="AE5" s="96">
        <f t="shared" si="2"/>
        <v>2256</v>
      </c>
      <c r="AF5" s="96"/>
      <c r="AG5" s="96">
        <f>H5</f>
        <v>2256</v>
      </c>
      <c r="AH5" s="318" t="s">
        <v>4452</v>
      </c>
    </row>
    <row r="6" s="276" customFormat="1" ht="48" customHeight="1" spans="1:34">
      <c r="A6" s="297">
        <v>42882</v>
      </c>
      <c r="B6" s="128" t="s">
        <v>4445</v>
      </c>
      <c r="C6" s="161">
        <v>4500003739</v>
      </c>
      <c r="D6" s="161">
        <v>5500000772</v>
      </c>
      <c r="E6" s="105" t="s">
        <v>4447</v>
      </c>
      <c r="F6" s="161">
        <v>25270</v>
      </c>
      <c r="G6" s="170" t="s">
        <v>4448</v>
      </c>
      <c r="H6" s="299">
        <v>1548</v>
      </c>
      <c r="I6" s="303" t="s">
        <v>3102</v>
      </c>
      <c r="J6" s="161">
        <v>12</v>
      </c>
      <c r="K6" s="161">
        <f t="shared" si="0"/>
        <v>129</v>
      </c>
      <c r="L6" s="304">
        <v>25.3286</v>
      </c>
      <c r="M6" s="304">
        <f t="shared" si="1"/>
        <v>39208.6728</v>
      </c>
      <c r="N6" s="297">
        <v>42935</v>
      </c>
      <c r="O6" s="297" t="s">
        <v>215</v>
      </c>
      <c r="P6" s="297">
        <v>42944</v>
      </c>
      <c r="Q6" s="297">
        <v>42936</v>
      </c>
      <c r="R6" s="297"/>
      <c r="S6" s="310">
        <v>42888</v>
      </c>
      <c r="T6" s="311">
        <v>42915</v>
      </c>
      <c r="U6" s="297"/>
      <c r="V6" s="311">
        <v>42914</v>
      </c>
      <c r="W6" s="297"/>
      <c r="X6" s="312" t="s">
        <v>4449</v>
      </c>
      <c r="Y6" s="316" t="s">
        <v>4450</v>
      </c>
      <c r="Z6" s="311" t="s">
        <v>4451</v>
      </c>
      <c r="AA6" s="297"/>
      <c r="AB6" s="161"/>
      <c r="AC6" s="96">
        <v>1548</v>
      </c>
      <c r="AD6" s="96"/>
      <c r="AE6" s="96">
        <f t="shared" si="2"/>
        <v>1548</v>
      </c>
      <c r="AF6" s="96">
        <f>H6</f>
        <v>1548</v>
      </c>
      <c r="AG6" s="96"/>
      <c r="AH6" s="318" t="s">
        <v>4452</v>
      </c>
    </row>
    <row r="7" s="276" customFormat="1" ht="48" customHeight="1" spans="1:34">
      <c r="A7" s="297">
        <v>42882</v>
      </c>
      <c r="B7" s="128" t="s">
        <v>4445</v>
      </c>
      <c r="C7" s="161">
        <v>4500003739</v>
      </c>
      <c r="D7" s="161">
        <v>5500000772</v>
      </c>
      <c r="E7" s="105" t="s">
        <v>4447</v>
      </c>
      <c r="F7" s="161">
        <v>25271</v>
      </c>
      <c r="G7" s="170" t="s">
        <v>4453</v>
      </c>
      <c r="H7" s="299">
        <v>1620</v>
      </c>
      <c r="I7" s="303" t="s">
        <v>3102</v>
      </c>
      <c r="J7" s="161">
        <v>12</v>
      </c>
      <c r="K7" s="161">
        <f t="shared" si="0"/>
        <v>135</v>
      </c>
      <c r="L7" s="304">
        <v>25.8411</v>
      </c>
      <c r="M7" s="304">
        <f t="shared" si="1"/>
        <v>41862.582</v>
      </c>
      <c r="N7" s="297">
        <v>42935</v>
      </c>
      <c r="O7" s="297" t="s">
        <v>215</v>
      </c>
      <c r="P7" s="297">
        <v>42937</v>
      </c>
      <c r="Q7" s="297">
        <v>42936</v>
      </c>
      <c r="R7" s="297"/>
      <c r="S7" s="310">
        <v>42888</v>
      </c>
      <c r="T7" s="311">
        <v>42915</v>
      </c>
      <c r="U7" s="297"/>
      <c r="V7" s="311">
        <v>42914</v>
      </c>
      <c r="W7" s="297"/>
      <c r="X7" s="312" t="s">
        <v>4449</v>
      </c>
      <c r="Y7" s="316" t="s">
        <v>4450</v>
      </c>
      <c r="Z7" s="311" t="s">
        <v>4451</v>
      </c>
      <c r="AA7" s="297"/>
      <c r="AB7" s="161"/>
      <c r="AC7" s="96"/>
      <c r="AD7" s="96">
        <v>1620</v>
      </c>
      <c r="AE7" s="96">
        <f t="shared" si="2"/>
        <v>1620</v>
      </c>
      <c r="AF7" s="96"/>
      <c r="AG7" s="96">
        <f>H7</f>
        <v>1620</v>
      </c>
      <c r="AH7" s="318" t="s">
        <v>4452</v>
      </c>
    </row>
    <row r="8" s="276" customFormat="1" ht="48" customHeight="1" spans="1:34">
      <c r="A8" s="297">
        <v>42882</v>
      </c>
      <c r="B8" s="128" t="s">
        <v>4445</v>
      </c>
      <c r="C8" s="298" t="s">
        <v>4454</v>
      </c>
      <c r="D8" s="161">
        <v>5500000773</v>
      </c>
      <c r="E8" s="105" t="s">
        <v>4447</v>
      </c>
      <c r="F8" s="161">
        <v>25270</v>
      </c>
      <c r="G8" s="170" t="s">
        <v>4448</v>
      </c>
      <c r="H8" s="299">
        <v>1200</v>
      </c>
      <c r="I8" s="303" t="s">
        <v>3102</v>
      </c>
      <c r="J8" s="161">
        <v>12</v>
      </c>
      <c r="K8" s="161">
        <f t="shared" si="0"/>
        <v>100</v>
      </c>
      <c r="L8" s="304">
        <v>25.3286</v>
      </c>
      <c r="M8" s="304">
        <f t="shared" si="1"/>
        <v>30394.32</v>
      </c>
      <c r="N8" s="297">
        <v>42935</v>
      </c>
      <c r="O8" s="297" t="s">
        <v>215</v>
      </c>
      <c r="P8" s="297">
        <v>42944</v>
      </c>
      <c r="Q8" s="297">
        <v>42936</v>
      </c>
      <c r="R8" s="297"/>
      <c r="S8" s="310">
        <v>42888</v>
      </c>
      <c r="T8" s="311">
        <v>42915</v>
      </c>
      <c r="U8" s="297"/>
      <c r="V8" s="311">
        <v>42914</v>
      </c>
      <c r="W8" s="297"/>
      <c r="X8" s="312" t="s">
        <v>4449</v>
      </c>
      <c r="Y8" s="316" t="s">
        <v>4450</v>
      </c>
      <c r="Z8" s="311" t="s">
        <v>4451</v>
      </c>
      <c r="AA8" s="297"/>
      <c r="AB8" s="161"/>
      <c r="AC8" s="96">
        <v>1200</v>
      </c>
      <c r="AD8" s="96"/>
      <c r="AE8" s="96">
        <f t="shared" si="2"/>
        <v>1200</v>
      </c>
      <c r="AF8" s="96">
        <f>H8</f>
        <v>1200</v>
      </c>
      <c r="AG8" s="96"/>
      <c r="AH8" s="318" t="s">
        <v>4452</v>
      </c>
    </row>
    <row r="9" s="276" customFormat="1" ht="48" customHeight="1" spans="1:34">
      <c r="A9" s="297">
        <v>42882</v>
      </c>
      <c r="B9" s="128" t="s">
        <v>4445</v>
      </c>
      <c r="C9" s="298" t="s">
        <v>4454</v>
      </c>
      <c r="D9" s="161">
        <v>5500000773</v>
      </c>
      <c r="E9" s="105" t="s">
        <v>4447</v>
      </c>
      <c r="F9" s="161">
        <v>25271</v>
      </c>
      <c r="G9" s="170" t="s">
        <v>4453</v>
      </c>
      <c r="H9" s="299">
        <v>1128</v>
      </c>
      <c r="I9" s="303" t="s">
        <v>3102</v>
      </c>
      <c r="J9" s="161">
        <v>12</v>
      </c>
      <c r="K9" s="161">
        <f t="shared" si="0"/>
        <v>94</v>
      </c>
      <c r="L9" s="304">
        <v>25.8411</v>
      </c>
      <c r="M9" s="304">
        <f t="shared" si="1"/>
        <v>29148.7608</v>
      </c>
      <c r="N9" s="297">
        <v>42935</v>
      </c>
      <c r="O9" s="297" t="s">
        <v>215</v>
      </c>
      <c r="P9" s="297">
        <v>42937</v>
      </c>
      <c r="Q9" s="297">
        <v>42936</v>
      </c>
      <c r="R9" s="297"/>
      <c r="S9" s="310">
        <v>42888</v>
      </c>
      <c r="T9" s="311">
        <v>42915</v>
      </c>
      <c r="U9" s="297"/>
      <c r="V9" s="311">
        <v>42914</v>
      </c>
      <c r="W9" s="297"/>
      <c r="X9" s="312" t="s">
        <v>4449</v>
      </c>
      <c r="Y9" s="316" t="s">
        <v>4450</v>
      </c>
      <c r="Z9" s="311" t="s">
        <v>4451</v>
      </c>
      <c r="AA9" s="297"/>
      <c r="AB9" s="161"/>
      <c r="AC9" s="96"/>
      <c r="AD9" s="96">
        <v>1128</v>
      </c>
      <c r="AE9" s="96">
        <f t="shared" si="2"/>
        <v>1128</v>
      </c>
      <c r="AF9" s="96"/>
      <c r="AG9" s="96">
        <f>H9</f>
        <v>1128</v>
      </c>
      <c r="AH9" s="318" t="s">
        <v>4452</v>
      </c>
    </row>
    <row r="10" s="276" customFormat="1" ht="48" customHeight="1" spans="1:34">
      <c r="A10" s="297">
        <v>43060</v>
      </c>
      <c r="B10" s="128" t="s">
        <v>4455</v>
      </c>
      <c r="C10" s="298" t="s">
        <v>4456</v>
      </c>
      <c r="D10" s="161">
        <v>5500001106</v>
      </c>
      <c r="E10" s="170" t="s">
        <v>4457</v>
      </c>
      <c r="F10" s="161">
        <v>25270</v>
      </c>
      <c r="G10" s="170" t="s">
        <v>4448</v>
      </c>
      <c r="H10" s="299">
        <v>2100</v>
      </c>
      <c r="I10" s="303" t="s">
        <v>3102</v>
      </c>
      <c r="J10" s="161">
        <v>12</v>
      </c>
      <c r="K10" s="161">
        <f t="shared" si="0"/>
        <v>175</v>
      </c>
      <c r="L10" s="304">
        <f>M10/H10</f>
        <v>25.6386428571429</v>
      </c>
      <c r="M10" s="304">
        <v>53841.15</v>
      </c>
      <c r="N10" s="297" t="s">
        <v>215</v>
      </c>
      <c r="O10" s="297"/>
      <c r="P10" s="305" t="s">
        <v>4458</v>
      </c>
      <c r="Q10" s="297">
        <v>42741</v>
      </c>
      <c r="R10" s="297"/>
      <c r="S10" s="310">
        <v>43059</v>
      </c>
      <c r="T10" s="311">
        <v>43059</v>
      </c>
      <c r="U10" s="297"/>
      <c r="V10" s="311" t="s">
        <v>3102</v>
      </c>
      <c r="W10" s="297"/>
      <c r="X10" s="312" t="s">
        <v>4449</v>
      </c>
      <c r="Y10" s="317" t="s">
        <v>4459</v>
      </c>
      <c r="Z10" s="311" t="s">
        <v>4451</v>
      </c>
      <c r="AA10" s="297"/>
      <c r="AB10" s="161"/>
      <c r="AC10" s="96">
        <f>H10</f>
        <v>2100</v>
      </c>
      <c r="AD10" s="96"/>
      <c r="AE10" s="96"/>
      <c r="AF10" s="96"/>
      <c r="AG10" s="96"/>
      <c r="AH10" s="319" t="s">
        <v>4460</v>
      </c>
    </row>
    <row r="11" s="276" customFormat="1" ht="48" customHeight="1" spans="1:34">
      <c r="A11" s="297">
        <v>43060</v>
      </c>
      <c r="B11" s="128" t="s">
        <v>4455</v>
      </c>
      <c r="C11" s="298" t="s">
        <v>4456</v>
      </c>
      <c r="D11" s="161">
        <v>5500001106</v>
      </c>
      <c r="E11" s="170" t="s">
        <v>4457</v>
      </c>
      <c r="F11" s="161">
        <v>25270</v>
      </c>
      <c r="G11" s="170" t="s">
        <v>4448</v>
      </c>
      <c r="H11" s="299">
        <v>1524</v>
      </c>
      <c r="I11" s="303" t="s">
        <v>3102</v>
      </c>
      <c r="J11" s="161">
        <v>12</v>
      </c>
      <c r="K11" s="161">
        <f t="shared" si="0"/>
        <v>127</v>
      </c>
      <c r="L11" s="304">
        <f>M11/H11</f>
        <v>25.6386482939633</v>
      </c>
      <c r="M11" s="304">
        <v>39073.3</v>
      </c>
      <c r="N11" s="297" t="s">
        <v>215</v>
      </c>
      <c r="O11" s="297"/>
      <c r="P11" s="305" t="s">
        <v>4458</v>
      </c>
      <c r="Q11" s="297">
        <v>42741</v>
      </c>
      <c r="R11" s="297"/>
      <c r="S11" s="310">
        <v>43059</v>
      </c>
      <c r="T11" s="311">
        <v>43059</v>
      </c>
      <c r="U11" s="297"/>
      <c r="V11" s="311" t="s">
        <v>3102</v>
      </c>
      <c r="W11" s="297"/>
      <c r="X11" s="312" t="s">
        <v>4449</v>
      </c>
      <c r="Y11" s="317">
        <v>39856172</v>
      </c>
      <c r="Z11" s="311" t="s">
        <v>4451</v>
      </c>
      <c r="AA11" s="297"/>
      <c r="AB11" s="161"/>
      <c r="AC11" s="96">
        <f>H11</f>
        <v>1524</v>
      </c>
      <c r="AD11" s="96"/>
      <c r="AE11" s="96"/>
      <c r="AF11" s="96"/>
      <c r="AG11" s="96"/>
      <c r="AH11" s="320"/>
    </row>
    <row r="12" s="276" customFormat="1" ht="48" customHeight="1" spans="1:34">
      <c r="A12" s="297">
        <v>43060</v>
      </c>
      <c r="B12" s="128" t="s">
        <v>4455</v>
      </c>
      <c r="C12" s="298" t="s">
        <v>4456</v>
      </c>
      <c r="D12" s="161">
        <v>5500001106</v>
      </c>
      <c r="E12" s="170" t="s">
        <v>4457</v>
      </c>
      <c r="F12" s="161">
        <v>25270</v>
      </c>
      <c r="G12" s="170" t="s">
        <v>4448</v>
      </c>
      <c r="H12" s="299">
        <v>1380</v>
      </c>
      <c r="I12" s="303" t="s">
        <v>3102</v>
      </c>
      <c r="J12" s="161">
        <v>12</v>
      </c>
      <c r="K12" s="161">
        <f t="shared" si="0"/>
        <v>115</v>
      </c>
      <c r="L12" s="304">
        <f>M12/H12</f>
        <v>25.6386449275362</v>
      </c>
      <c r="M12" s="304">
        <f>30240.45+5140.88</f>
        <v>35381.33</v>
      </c>
      <c r="N12" s="297" t="s">
        <v>215</v>
      </c>
      <c r="O12" s="297"/>
      <c r="P12" s="305" t="s">
        <v>4458</v>
      </c>
      <c r="Q12" s="297">
        <v>42741</v>
      </c>
      <c r="R12" s="297"/>
      <c r="S12" s="310">
        <v>43059</v>
      </c>
      <c r="T12" s="311">
        <v>43059</v>
      </c>
      <c r="U12" s="297"/>
      <c r="V12" s="311" t="s">
        <v>3102</v>
      </c>
      <c r="W12" s="297"/>
      <c r="X12" s="312" t="s">
        <v>4449</v>
      </c>
      <c r="Y12" s="317">
        <v>39856172</v>
      </c>
      <c r="Z12" s="311" t="s">
        <v>4451</v>
      </c>
      <c r="AA12" s="297"/>
      <c r="AB12" s="161"/>
      <c r="AC12" s="96">
        <f>H12</f>
        <v>1380</v>
      </c>
      <c r="AD12" s="96"/>
      <c r="AE12" s="96"/>
      <c r="AF12" s="96"/>
      <c r="AG12" s="96"/>
      <c r="AH12" s="321"/>
    </row>
    <row r="13" s="276" customFormat="1" ht="48" customHeight="1" spans="1:34">
      <c r="A13" s="297"/>
      <c r="B13" s="128"/>
      <c r="C13" s="298"/>
      <c r="D13" s="161"/>
      <c r="E13" s="105"/>
      <c r="F13" s="161"/>
      <c r="G13" s="170"/>
      <c r="H13" s="299"/>
      <c r="I13" s="303"/>
      <c r="J13" s="161"/>
      <c r="K13" s="161"/>
      <c r="L13" s="304"/>
      <c r="M13" s="304"/>
      <c r="N13" s="297"/>
      <c r="O13" s="297"/>
      <c r="P13" s="297"/>
      <c r="Q13" s="297"/>
      <c r="R13" s="297"/>
      <c r="S13" s="310"/>
      <c r="T13" s="311"/>
      <c r="U13" s="297"/>
      <c r="V13" s="311"/>
      <c r="W13" s="297"/>
      <c r="X13" s="312"/>
      <c r="Y13" s="316"/>
      <c r="Z13" s="311"/>
      <c r="AA13" s="297"/>
      <c r="AB13" s="161"/>
      <c r="AC13" s="96"/>
      <c r="AD13" s="96"/>
      <c r="AE13" s="96"/>
      <c r="AF13" s="96"/>
      <c r="AG13" s="96"/>
      <c r="AH13" s="318"/>
    </row>
    <row r="14" ht="26.25" customHeight="1" spans="1:34">
      <c r="A14" s="70"/>
      <c r="B14" s="300"/>
      <c r="C14" s="71"/>
      <c r="D14" s="71"/>
      <c r="E14" s="145"/>
      <c r="F14" s="71"/>
      <c r="G14" s="71"/>
      <c r="H14" s="74"/>
      <c r="I14" s="71"/>
      <c r="J14" s="71"/>
      <c r="K14" s="71"/>
      <c r="L14" s="76"/>
      <c r="M14" s="86"/>
      <c r="N14" s="70"/>
      <c r="O14" s="70"/>
      <c r="P14" s="70"/>
      <c r="Q14" s="70"/>
      <c r="R14" s="70"/>
      <c r="S14" s="300"/>
      <c r="T14" s="70"/>
      <c r="U14" s="70"/>
      <c r="V14" s="70"/>
      <c r="W14" s="70"/>
      <c r="X14" s="70"/>
      <c r="Y14" s="101"/>
      <c r="Z14" s="70"/>
      <c r="AA14" s="70"/>
      <c r="AB14" s="71"/>
      <c r="AC14" s="88"/>
      <c r="AD14" s="88"/>
      <c r="AE14" s="88"/>
      <c r="AF14" s="88"/>
      <c r="AG14" s="88"/>
      <c r="AH14" s="101"/>
    </row>
    <row r="15" ht="26.25" customHeight="1" spans="1:34">
      <c r="A15" s="77"/>
      <c r="B15" s="301"/>
      <c r="C15" s="78"/>
      <c r="D15" s="78"/>
      <c r="E15" s="302"/>
      <c r="F15" s="78"/>
      <c r="G15" s="79" t="s">
        <v>1441</v>
      </c>
      <c r="H15" s="79">
        <f>SUM(H4:H14)</f>
        <v>15012</v>
      </c>
      <c r="I15" s="78"/>
      <c r="J15" s="78"/>
      <c r="K15" s="78"/>
      <c r="L15" s="80"/>
      <c r="M15" s="306">
        <f>SUM(M4:M14)</f>
        <v>384348.9588</v>
      </c>
      <c r="N15" s="77"/>
      <c r="O15" s="146"/>
      <c r="P15" s="77"/>
      <c r="Q15" s="77"/>
      <c r="R15" s="77"/>
      <c r="S15" s="301"/>
      <c r="T15" s="77"/>
      <c r="U15" s="77"/>
      <c r="V15" s="77"/>
      <c r="W15" s="77"/>
      <c r="X15" s="77"/>
      <c r="Y15" s="102"/>
      <c r="Z15" s="77"/>
      <c r="AA15" s="77"/>
      <c r="AB15" s="78"/>
      <c r="AC15" s="79">
        <f>SUM(AC4:AC14)</f>
        <v>10008</v>
      </c>
      <c r="AD15" s="79">
        <f>SUM(AD4:AD14)</f>
        <v>5004</v>
      </c>
      <c r="AE15" s="79">
        <f>SUM(AE4:AE14)</f>
        <v>10008</v>
      </c>
      <c r="AF15" s="79">
        <f>SUM(AF4:AF14)</f>
        <v>5004</v>
      </c>
      <c r="AG15" s="79">
        <f>SUM(AG4:AG14)</f>
        <v>5004</v>
      </c>
      <c r="AH15" s="102"/>
    </row>
  </sheetData>
  <mergeCells count="6">
    <mergeCell ref="A1:F1"/>
    <mergeCell ref="A2:C2"/>
    <mergeCell ref="D2:F2"/>
    <mergeCell ref="AC2:AD2"/>
    <mergeCell ref="AF2:AG2"/>
    <mergeCell ref="AH10:AH12"/>
  </mergeCells>
  <pageMargins left="0" right="0.08" top="0.39" bottom="0.51" header="0.5" footer="0.5"/>
  <pageSetup paperSize="9" scale="70" orientation="landscape"/>
  <headerFooter alignWithMargins="0" scaleWithDoc="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V324"/>
  <sheetViews>
    <sheetView zoomScale="70" zoomScaleNormal="70" workbookViewId="0">
      <pane xSplit="10" ySplit="3" topLeftCell="V13" activePane="bottomRight" state="frozen"/>
      <selection/>
      <selection pane="topRight"/>
      <selection pane="bottomLeft"/>
      <selection pane="bottomRight" activeCell="A3" sqref="A3"/>
    </sheetView>
  </sheetViews>
  <sheetFormatPr defaultColWidth="9" defaultRowHeight="23" customHeight="1"/>
  <cols>
    <col min="1" max="1" width="18.3833333333333" style="56" customWidth="1"/>
    <col min="2" max="2" width="10.35" style="55" customWidth="1"/>
    <col min="3" max="3" width="13.5" style="56" customWidth="1"/>
    <col min="4" max="4" width="13.9583333333333" style="56" customWidth="1"/>
    <col min="5" max="5" width="16.875" style="55" customWidth="1"/>
    <col min="6" max="6" width="11.875" style="56" customWidth="1"/>
    <col min="7" max="7" width="8.75" style="56" customWidth="1"/>
    <col min="8" max="8" width="9.29166666666667" style="56" customWidth="1"/>
    <col min="9" max="9" width="7" style="56" customWidth="1"/>
    <col min="10" max="10" width="9.125" style="56" customWidth="1"/>
    <col min="11" max="11" width="7.85" style="56" customWidth="1"/>
    <col min="12" max="12" width="16.1416666666667" style="108" customWidth="1"/>
    <col min="13" max="13" width="15.575" style="109" customWidth="1"/>
    <col min="14" max="14" width="11.6083333333333" style="110" customWidth="1"/>
    <col min="15" max="15" width="10" style="111" customWidth="1"/>
    <col min="16" max="16" width="16.1416666666667" style="111" customWidth="1"/>
    <col min="17" max="18" width="17.3083333333333" style="110" customWidth="1"/>
    <col min="19" max="19" width="32.5" style="110" customWidth="1"/>
    <col min="20" max="20" width="17.4916666666667" style="110" customWidth="1"/>
    <col min="21" max="21" width="58.25" style="60" customWidth="1"/>
    <col min="22" max="22" width="9.28333333333333" style="56" customWidth="1"/>
    <col min="23" max="23" width="12.5" style="112" customWidth="1" outlineLevel="1"/>
    <col min="24" max="24" width="15" style="57" customWidth="1" outlineLevel="1"/>
    <col min="25" max="25" width="7.25" style="113" customWidth="1"/>
    <col min="26" max="26" width="11.1416666666667" style="56" customWidth="1"/>
    <col min="27" max="27" width="11.25" style="114" customWidth="1"/>
    <col min="28" max="29" width="7.91666666666667" style="114" customWidth="1"/>
    <col min="30" max="30" width="7.125" style="56" customWidth="1"/>
    <col min="31" max="31" width="8.43333333333333" style="58" customWidth="1"/>
    <col min="32" max="32" width="8.43333333333333" style="59" customWidth="1"/>
    <col min="33" max="33" width="8.43333333333333" style="58" customWidth="1"/>
    <col min="34" max="35" width="8.43333333333333" style="59" customWidth="1"/>
    <col min="36" max="38" width="8.43333333333333" style="115" customWidth="1"/>
    <col min="39" max="39" width="58.25" style="116" customWidth="1"/>
    <col min="40" max="235" width="9" style="56"/>
    <col min="236" max="16384" width="9" style="103"/>
  </cols>
  <sheetData>
    <row r="1" s="56" customFormat="1" ht="40" customHeight="1" spans="1:241">
      <c r="A1" s="117" t="s">
        <v>4461</v>
      </c>
      <c r="B1" s="117"/>
      <c r="C1" s="117"/>
      <c r="D1" s="117"/>
      <c r="E1" s="117"/>
      <c r="F1" s="117"/>
      <c r="G1" s="117"/>
      <c r="H1" s="117"/>
      <c r="I1" s="117"/>
      <c r="J1" s="117"/>
      <c r="K1" s="117"/>
      <c r="L1" s="147"/>
      <c r="M1" s="148"/>
      <c r="N1" s="149"/>
      <c r="O1" s="150"/>
      <c r="P1" s="151"/>
      <c r="Q1" s="149"/>
      <c r="R1" s="149"/>
      <c r="S1" s="149"/>
      <c r="T1" s="149"/>
      <c r="U1" s="186"/>
      <c r="V1" s="117"/>
      <c r="W1" s="187"/>
      <c r="X1" s="117"/>
      <c r="Y1" s="219"/>
      <c r="Z1" s="117"/>
      <c r="AA1" s="220"/>
      <c r="AB1" s="220"/>
      <c r="AC1" s="220"/>
      <c r="AD1" s="117"/>
      <c r="AE1" s="221"/>
      <c r="AF1" s="222"/>
      <c r="AG1" s="221"/>
      <c r="AH1" s="222"/>
      <c r="AI1" s="222"/>
      <c r="AJ1" s="261"/>
      <c r="AK1" s="261"/>
      <c r="AL1" s="261"/>
      <c r="AM1" s="262"/>
      <c r="AN1" s="103"/>
      <c r="AO1" s="103"/>
      <c r="IB1" s="291"/>
      <c r="IC1" s="291"/>
      <c r="ID1" s="291"/>
      <c r="IE1" s="291"/>
      <c r="IF1" s="291"/>
      <c r="IG1" s="291"/>
    </row>
    <row r="2" s="103" customFormat="1" customHeight="1" spans="1:241">
      <c r="A2" s="118">
        <v>44714</v>
      </c>
      <c r="B2" s="118"/>
      <c r="C2" s="119"/>
      <c r="D2" s="118"/>
      <c r="E2" s="118"/>
      <c r="F2" s="120"/>
      <c r="G2" s="121"/>
      <c r="H2" s="117"/>
      <c r="I2" s="119"/>
      <c r="J2" s="119"/>
      <c r="K2" s="119"/>
      <c r="L2" s="147"/>
      <c r="M2" s="148"/>
      <c r="N2" s="152"/>
      <c r="O2" s="150"/>
      <c r="P2" s="150"/>
      <c r="Q2" s="152"/>
      <c r="R2" s="152"/>
      <c r="S2" s="152"/>
      <c r="T2" s="152"/>
      <c r="U2" s="186"/>
      <c r="V2" s="118"/>
      <c r="W2" s="188"/>
      <c r="X2" s="189"/>
      <c r="Y2" s="223"/>
      <c r="Z2" s="119"/>
      <c r="AA2" s="220"/>
      <c r="AB2" s="220"/>
      <c r="AC2" s="220"/>
      <c r="AD2" s="119"/>
      <c r="AE2" s="224" t="s">
        <v>4462</v>
      </c>
      <c r="AF2" s="225"/>
      <c r="AG2" s="263"/>
      <c r="AH2" s="225"/>
      <c r="AI2" s="225"/>
      <c r="AJ2" s="264"/>
      <c r="AK2" s="265"/>
      <c r="AL2" s="266"/>
      <c r="AM2" s="262"/>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c r="BN2" s="56"/>
      <c r="BO2" s="56"/>
      <c r="BP2" s="56"/>
      <c r="BQ2" s="56"/>
      <c r="BR2" s="56"/>
      <c r="BS2" s="56"/>
      <c r="BT2" s="56"/>
      <c r="BU2" s="56"/>
      <c r="BV2" s="56"/>
      <c r="BW2" s="56"/>
      <c r="BX2" s="56"/>
      <c r="BY2" s="56"/>
      <c r="BZ2" s="56"/>
      <c r="CA2" s="56"/>
      <c r="CB2" s="56"/>
      <c r="CC2" s="56"/>
      <c r="CD2" s="56"/>
      <c r="CE2" s="56"/>
      <c r="CF2" s="56"/>
      <c r="CG2" s="56"/>
      <c r="CH2" s="56"/>
      <c r="CI2" s="56"/>
      <c r="CJ2" s="56"/>
      <c r="CK2" s="56"/>
      <c r="CL2" s="56"/>
      <c r="CM2" s="56"/>
      <c r="CN2" s="56"/>
      <c r="CO2" s="56"/>
      <c r="CP2" s="56"/>
      <c r="CQ2" s="56"/>
      <c r="CR2" s="56"/>
      <c r="CS2" s="56"/>
      <c r="CT2" s="56"/>
      <c r="CU2" s="56"/>
      <c r="CV2" s="56"/>
      <c r="CW2" s="56"/>
      <c r="CX2" s="56"/>
      <c r="CY2" s="56"/>
      <c r="CZ2" s="56"/>
      <c r="DA2" s="56"/>
      <c r="DB2" s="56"/>
      <c r="DC2" s="56"/>
      <c r="DD2" s="56"/>
      <c r="DE2" s="56"/>
      <c r="DF2" s="56"/>
      <c r="DG2" s="56"/>
      <c r="DH2" s="56"/>
      <c r="DI2" s="56"/>
      <c r="DJ2" s="56"/>
      <c r="DK2" s="56"/>
      <c r="DL2" s="56"/>
      <c r="DM2" s="56"/>
      <c r="DN2" s="56"/>
      <c r="DO2" s="56"/>
      <c r="DP2" s="56"/>
      <c r="DQ2" s="56"/>
      <c r="DR2" s="56"/>
      <c r="DS2" s="56"/>
      <c r="DT2" s="56"/>
      <c r="DU2" s="56"/>
      <c r="DV2" s="56"/>
      <c r="DW2" s="56"/>
      <c r="DX2" s="56"/>
      <c r="DY2" s="56"/>
      <c r="DZ2" s="56"/>
      <c r="EA2" s="56"/>
      <c r="EB2" s="56"/>
      <c r="EC2" s="56"/>
      <c r="ED2" s="56"/>
      <c r="EE2" s="56"/>
      <c r="EF2" s="56"/>
      <c r="EG2" s="56"/>
      <c r="EH2" s="56"/>
      <c r="EI2" s="56"/>
      <c r="EJ2" s="56"/>
      <c r="EK2" s="56"/>
      <c r="EL2" s="56"/>
      <c r="EM2" s="56"/>
      <c r="EN2" s="56"/>
      <c r="EO2" s="56"/>
      <c r="EP2" s="56"/>
      <c r="EQ2" s="56"/>
      <c r="ER2" s="56"/>
      <c r="ES2" s="56"/>
      <c r="ET2" s="56"/>
      <c r="EU2" s="56"/>
      <c r="EV2" s="56"/>
      <c r="EW2" s="56"/>
      <c r="EX2" s="56"/>
      <c r="EY2" s="56"/>
      <c r="EZ2" s="56"/>
      <c r="FA2" s="56"/>
      <c r="FB2" s="56"/>
      <c r="FC2" s="56"/>
      <c r="FD2" s="56"/>
      <c r="FE2" s="56"/>
      <c r="FF2" s="56"/>
      <c r="FG2" s="56"/>
      <c r="FH2" s="56"/>
      <c r="FI2" s="56"/>
      <c r="FJ2" s="56"/>
      <c r="FK2" s="56"/>
      <c r="FL2" s="56"/>
      <c r="FM2" s="56"/>
      <c r="FN2" s="56"/>
      <c r="FO2" s="56"/>
      <c r="FP2" s="56"/>
      <c r="FQ2" s="56"/>
      <c r="FR2" s="56"/>
      <c r="FS2" s="56"/>
      <c r="FT2" s="56"/>
      <c r="FU2" s="56"/>
      <c r="FV2" s="56"/>
      <c r="FW2" s="56"/>
      <c r="FX2" s="56"/>
      <c r="FY2" s="56"/>
      <c r="FZ2" s="56"/>
      <c r="GA2" s="56"/>
      <c r="GB2" s="56"/>
      <c r="GC2" s="56"/>
      <c r="GD2" s="56"/>
      <c r="GE2" s="56"/>
      <c r="GF2" s="56"/>
      <c r="GG2" s="56"/>
      <c r="GH2" s="56"/>
      <c r="GI2" s="56"/>
      <c r="GJ2" s="56"/>
      <c r="GK2" s="56"/>
      <c r="GL2" s="56"/>
      <c r="GM2" s="56"/>
      <c r="GN2" s="56"/>
      <c r="GO2" s="56"/>
      <c r="GP2" s="56"/>
      <c r="GQ2" s="56"/>
      <c r="GR2" s="56"/>
      <c r="GS2" s="56"/>
      <c r="GT2" s="56"/>
      <c r="GU2" s="56"/>
      <c r="GV2" s="56"/>
      <c r="GW2" s="56"/>
      <c r="GX2" s="56"/>
      <c r="GY2" s="56"/>
      <c r="GZ2" s="56"/>
      <c r="HA2" s="56"/>
      <c r="HB2" s="56"/>
      <c r="HC2" s="56"/>
      <c r="HD2" s="56"/>
      <c r="HE2" s="56"/>
      <c r="HF2" s="56"/>
      <c r="HG2" s="56"/>
      <c r="HH2" s="56"/>
      <c r="HI2" s="56"/>
      <c r="HJ2" s="56"/>
      <c r="HK2" s="56"/>
      <c r="HL2" s="56"/>
      <c r="HM2" s="56"/>
      <c r="HN2" s="56"/>
      <c r="HO2" s="56"/>
      <c r="HP2" s="56"/>
      <c r="HQ2" s="56"/>
      <c r="HR2" s="56"/>
      <c r="HS2" s="56"/>
      <c r="HT2" s="56"/>
      <c r="HU2" s="56"/>
      <c r="HV2" s="56"/>
      <c r="HW2" s="56"/>
      <c r="HX2" s="56"/>
      <c r="HY2" s="56"/>
      <c r="HZ2" s="56"/>
      <c r="IA2" s="56"/>
      <c r="IB2" s="291"/>
      <c r="IC2" s="291"/>
      <c r="ID2" s="291"/>
      <c r="IE2" s="291"/>
      <c r="IF2" s="291"/>
      <c r="IG2" s="291"/>
    </row>
    <row r="3" s="55" customFormat="1" customHeight="1" spans="1:244">
      <c r="A3" s="69" t="s">
        <v>4463</v>
      </c>
      <c r="B3" s="69" t="s">
        <v>4464</v>
      </c>
      <c r="C3" s="69" t="s">
        <v>4465</v>
      </c>
      <c r="D3" s="69" t="s">
        <v>11</v>
      </c>
      <c r="E3" s="69" t="s">
        <v>1993</v>
      </c>
      <c r="F3" s="69" t="s">
        <v>15</v>
      </c>
      <c r="G3" s="69" t="s">
        <v>4466</v>
      </c>
      <c r="H3" s="69" t="s">
        <v>1994</v>
      </c>
      <c r="I3" s="69" t="s">
        <v>1995</v>
      </c>
      <c r="J3" s="69" t="s">
        <v>1995</v>
      </c>
      <c r="K3" s="69" t="s">
        <v>4467</v>
      </c>
      <c r="L3" s="153" t="s">
        <v>20</v>
      </c>
      <c r="M3" s="153" t="s">
        <v>21</v>
      </c>
      <c r="N3" s="154" t="s">
        <v>4468</v>
      </c>
      <c r="O3" s="155" t="s">
        <v>4469</v>
      </c>
      <c r="P3" s="156" t="s">
        <v>1996</v>
      </c>
      <c r="Q3" s="155" t="s">
        <v>4470</v>
      </c>
      <c r="R3" s="190" t="s">
        <v>26</v>
      </c>
      <c r="S3" s="155" t="s">
        <v>4471</v>
      </c>
      <c r="T3" s="155" t="s">
        <v>4472</v>
      </c>
      <c r="U3" s="191" t="s">
        <v>4473</v>
      </c>
      <c r="V3" s="69" t="s">
        <v>1999</v>
      </c>
      <c r="W3" s="192" t="s">
        <v>2000</v>
      </c>
      <c r="X3" s="193" t="s">
        <v>4474</v>
      </c>
      <c r="Y3" s="191" t="s">
        <v>4475</v>
      </c>
      <c r="Z3" s="191" t="s">
        <v>37</v>
      </c>
      <c r="AA3" s="226" t="s">
        <v>34</v>
      </c>
      <c r="AB3" s="227" t="s">
        <v>1458</v>
      </c>
      <c r="AC3" s="227" t="s">
        <v>4476</v>
      </c>
      <c r="AD3" s="69" t="s">
        <v>4477</v>
      </c>
      <c r="AE3" s="228" t="s">
        <v>4478</v>
      </c>
      <c r="AF3" s="229" t="s">
        <v>4479</v>
      </c>
      <c r="AG3" s="228" t="s">
        <v>4480</v>
      </c>
      <c r="AH3" s="229" t="s">
        <v>4481</v>
      </c>
      <c r="AI3" s="229" t="s">
        <v>4482</v>
      </c>
      <c r="AJ3" s="267" t="s">
        <v>4483</v>
      </c>
      <c r="AK3" s="267" t="s">
        <v>4484</v>
      </c>
      <c r="AL3" s="268" t="s">
        <v>4485</v>
      </c>
      <c r="AM3" s="269" t="s">
        <v>4486</v>
      </c>
      <c r="AO3" s="56"/>
      <c r="AP3" s="284"/>
      <c r="AQ3" s="56"/>
      <c r="AR3" s="56"/>
      <c r="AS3" s="56"/>
      <c r="AT3" s="56"/>
      <c r="AU3" s="56"/>
      <c r="AV3" s="56"/>
      <c r="AW3" s="56"/>
      <c r="AX3" s="56"/>
      <c r="AY3" s="56"/>
      <c r="AZ3" s="56"/>
      <c r="BA3" s="56"/>
      <c r="BB3" s="56"/>
      <c r="BC3" s="56"/>
      <c r="BD3" s="56"/>
      <c r="BE3" s="56"/>
      <c r="BF3" s="56"/>
      <c r="BG3" s="56"/>
      <c r="BH3" s="56"/>
      <c r="BI3" s="56"/>
      <c r="BJ3" s="56"/>
      <c r="BK3" s="56"/>
      <c r="BL3" s="56"/>
      <c r="BM3" s="56"/>
      <c r="BN3" s="56"/>
      <c r="BO3" s="56"/>
      <c r="BP3" s="56"/>
      <c r="BQ3" s="56"/>
      <c r="BR3" s="56"/>
      <c r="BS3" s="56"/>
      <c r="BT3" s="56"/>
      <c r="BU3" s="56"/>
      <c r="BV3" s="56"/>
      <c r="BW3" s="56"/>
      <c r="BX3" s="56"/>
      <c r="BY3" s="56"/>
      <c r="BZ3" s="56"/>
      <c r="CA3" s="56"/>
      <c r="CB3" s="56"/>
      <c r="CC3" s="56"/>
      <c r="CD3" s="56"/>
      <c r="CE3" s="56"/>
      <c r="CF3" s="56"/>
      <c r="CG3" s="56"/>
      <c r="CH3" s="56"/>
      <c r="CI3" s="56"/>
      <c r="CJ3" s="56"/>
      <c r="CK3" s="56"/>
      <c r="CL3" s="56"/>
      <c r="CM3" s="56"/>
      <c r="CN3" s="56"/>
      <c r="CO3" s="56"/>
      <c r="CP3" s="56"/>
      <c r="CQ3" s="56"/>
      <c r="CR3" s="56"/>
      <c r="CS3" s="56"/>
      <c r="CT3" s="56"/>
      <c r="CU3" s="56"/>
      <c r="CV3" s="56"/>
      <c r="CW3" s="56"/>
      <c r="CX3" s="56"/>
      <c r="CY3" s="56"/>
      <c r="CZ3" s="56"/>
      <c r="DA3" s="56"/>
      <c r="DB3" s="56"/>
      <c r="DC3" s="56"/>
      <c r="DD3" s="56"/>
      <c r="DE3" s="56"/>
      <c r="DF3" s="56"/>
      <c r="DG3" s="56"/>
      <c r="DH3" s="56"/>
      <c r="DI3" s="56"/>
      <c r="DJ3" s="56"/>
      <c r="DK3" s="56"/>
      <c r="DL3" s="56"/>
      <c r="DM3" s="56"/>
      <c r="DN3" s="56"/>
      <c r="DO3" s="56"/>
      <c r="DP3" s="56"/>
      <c r="DQ3" s="56"/>
      <c r="DR3" s="56"/>
      <c r="DS3" s="56"/>
      <c r="DT3" s="56"/>
      <c r="DU3" s="56"/>
      <c r="DV3" s="56"/>
      <c r="DW3" s="56"/>
      <c r="DX3" s="56"/>
      <c r="DY3" s="56"/>
      <c r="DZ3" s="56"/>
      <c r="EA3" s="56"/>
      <c r="EB3" s="56"/>
      <c r="EC3" s="56"/>
      <c r="ED3" s="56"/>
      <c r="EE3" s="56"/>
      <c r="EF3" s="56"/>
      <c r="EG3" s="56"/>
      <c r="EH3" s="56"/>
      <c r="EI3" s="56"/>
      <c r="EJ3" s="56"/>
      <c r="EK3" s="56"/>
      <c r="EL3" s="56"/>
      <c r="EM3" s="56"/>
      <c r="EN3" s="56"/>
      <c r="EO3" s="56"/>
      <c r="EP3" s="56"/>
      <c r="EQ3" s="56"/>
      <c r="ER3" s="56"/>
      <c r="ES3" s="56"/>
      <c r="ET3" s="56"/>
      <c r="EU3" s="56"/>
      <c r="EV3" s="56"/>
      <c r="EW3" s="56"/>
      <c r="EX3" s="56"/>
      <c r="EY3" s="56"/>
      <c r="EZ3" s="56"/>
      <c r="FA3" s="56"/>
      <c r="FB3" s="56"/>
      <c r="FC3" s="56"/>
      <c r="FD3" s="56"/>
      <c r="FE3" s="56"/>
      <c r="FF3" s="56"/>
      <c r="FG3" s="56"/>
      <c r="FH3" s="56"/>
      <c r="FI3" s="56"/>
      <c r="FJ3" s="56"/>
      <c r="FK3" s="56"/>
      <c r="FL3" s="56"/>
      <c r="FM3" s="56"/>
      <c r="FN3" s="56"/>
      <c r="FO3" s="56"/>
      <c r="FP3" s="56"/>
      <c r="FQ3" s="56"/>
      <c r="FR3" s="56"/>
      <c r="FS3" s="56"/>
      <c r="FT3" s="56"/>
      <c r="FU3" s="56"/>
      <c r="FV3" s="56"/>
      <c r="FW3" s="56"/>
      <c r="FX3" s="56"/>
      <c r="FY3" s="56"/>
      <c r="FZ3" s="56"/>
      <c r="GA3" s="56"/>
      <c r="GB3" s="56"/>
      <c r="GC3" s="56"/>
      <c r="GD3" s="56"/>
      <c r="GE3" s="56"/>
      <c r="GF3" s="56"/>
      <c r="GG3" s="56"/>
      <c r="GH3" s="56"/>
      <c r="GI3" s="56"/>
      <c r="GJ3" s="56"/>
      <c r="GK3" s="56"/>
      <c r="GL3" s="56"/>
      <c r="GM3" s="56"/>
      <c r="GN3" s="56"/>
      <c r="GO3" s="56"/>
      <c r="GP3" s="56"/>
      <c r="GQ3" s="56"/>
      <c r="GR3" s="56"/>
      <c r="GS3" s="56"/>
      <c r="GT3" s="56"/>
      <c r="GU3" s="56"/>
      <c r="GV3" s="56"/>
      <c r="GW3" s="56"/>
      <c r="GX3" s="56"/>
      <c r="GY3" s="56"/>
      <c r="GZ3" s="56"/>
      <c r="HA3" s="56"/>
      <c r="HB3" s="56"/>
      <c r="HC3" s="56"/>
      <c r="HD3" s="56"/>
      <c r="HE3" s="56"/>
      <c r="HF3" s="56"/>
      <c r="HG3" s="56"/>
      <c r="HH3" s="56"/>
      <c r="HI3" s="56"/>
      <c r="HJ3" s="56"/>
      <c r="HK3" s="56"/>
      <c r="HL3" s="56"/>
      <c r="HM3" s="56"/>
      <c r="HN3" s="56"/>
      <c r="HO3" s="56"/>
      <c r="HP3" s="56"/>
      <c r="HQ3" s="56"/>
      <c r="HR3" s="56"/>
      <c r="HS3" s="56"/>
      <c r="HT3" s="56"/>
      <c r="HU3" s="56"/>
      <c r="HV3" s="56"/>
      <c r="HW3" s="56"/>
      <c r="HX3" s="56"/>
      <c r="HY3" s="56"/>
      <c r="HZ3" s="56"/>
      <c r="IA3" s="56"/>
      <c r="IB3" s="103"/>
      <c r="IC3" s="103"/>
      <c r="ID3" s="103"/>
      <c r="IE3" s="103"/>
      <c r="IF3" s="103"/>
      <c r="IG3" s="103"/>
      <c r="IH3" s="103"/>
      <c r="II3" s="103"/>
      <c r="IJ3" s="103"/>
    </row>
    <row r="4" s="104" customFormat="1" customHeight="1" spans="1:244">
      <c r="A4" s="122" t="s">
        <v>4487</v>
      </c>
      <c r="B4" s="123" t="s">
        <v>3321</v>
      </c>
      <c r="C4" s="123" t="s">
        <v>4488</v>
      </c>
      <c r="D4" s="123">
        <v>4500034018</v>
      </c>
      <c r="E4" s="123"/>
      <c r="F4" s="123" t="s">
        <v>3246</v>
      </c>
      <c r="G4" s="123" t="s">
        <v>4489</v>
      </c>
      <c r="H4" s="124">
        <v>60</v>
      </c>
      <c r="I4" s="123">
        <v>0</v>
      </c>
      <c r="J4" s="123">
        <v>6</v>
      </c>
      <c r="K4" s="157">
        <v>10</v>
      </c>
      <c r="L4" s="158" t="s">
        <v>4490</v>
      </c>
      <c r="M4" s="158">
        <v>44011</v>
      </c>
      <c r="N4" s="158"/>
      <c r="O4" s="159" t="s">
        <v>56</v>
      </c>
      <c r="P4" s="160"/>
      <c r="Q4" s="159" t="s">
        <v>4491</v>
      </c>
      <c r="R4" s="194" t="s">
        <v>2112</v>
      </c>
      <c r="S4" s="159">
        <v>43998</v>
      </c>
      <c r="T4" s="159" t="s">
        <v>4492</v>
      </c>
      <c r="U4" s="195" t="s">
        <v>4493</v>
      </c>
      <c r="V4" s="123" t="s">
        <v>3320</v>
      </c>
      <c r="W4" s="196">
        <v>3.7</v>
      </c>
      <c r="X4" s="197">
        <v>222</v>
      </c>
      <c r="Y4" s="123"/>
      <c r="Z4" s="230"/>
      <c r="AA4" s="231">
        <v>60</v>
      </c>
      <c r="AB4" s="232"/>
      <c r="AC4" s="233"/>
      <c r="AD4" s="234">
        <v>60</v>
      </c>
      <c r="AE4" s="234"/>
      <c r="AF4" s="235">
        <v>60</v>
      </c>
      <c r="AG4" s="235"/>
      <c r="AH4" s="235">
        <v>60</v>
      </c>
      <c r="AI4" s="235"/>
      <c r="AJ4" s="235"/>
      <c r="AK4" s="235"/>
      <c r="AL4" s="235"/>
      <c r="AM4" s="270"/>
      <c r="AN4" s="237"/>
      <c r="AO4" s="237"/>
      <c r="AP4" s="237"/>
      <c r="AQ4" s="237"/>
      <c r="AR4" s="285"/>
      <c r="AS4" s="285"/>
      <c r="AT4" s="96"/>
      <c r="AU4" s="96"/>
      <c r="AV4" s="286"/>
      <c r="AW4" s="290"/>
      <c r="AX4" s="290"/>
      <c r="AY4" s="287"/>
      <c r="AZ4" s="276"/>
      <c r="BA4" s="276"/>
      <c r="BB4" s="276"/>
      <c r="BC4" s="276"/>
      <c r="BD4" s="276"/>
      <c r="BE4" s="276"/>
      <c r="BF4" s="276"/>
      <c r="BG4" s="276"/>
      <c r="BH4" s="276"/>
      <c r="BI4" s="276"/>
      <c r="BJ4" s="276"/>
      <c r="BK4" s="276"/>
      <c r="BL4" s="276"/>
      <c r="BM4" s="276"/>
      <c r="BN4" s="276"/>
      <c r="BO4" s="276"/>
      <c r="BP4" s="276"/>
      <c r="BQ4" s="276"/>
      <c r="BR4" s="276"/>
      <c r="BS4" s="276"/>
      <c r="BT4" s="276"/>
      <c r="BU4" s="276"/>
      <c r="BV4" s="276"/>
      <c r="BW4" s="276"/>
      <c r="BX4" s="276"/>
      <c r="BY4" s="276"/>
      <c r="BZ4" s="276"/>
      <c r="CA4" s="276"/>
      <c r="CB4" s="276"/>
      <c r="CC4" s="276"/>
      <c r="CD4" s="276"/>
      <c r="CE4" s="276"/>
      <c r="CF4" s="276"/>
      <c r="CG4" s="276"/>
      <c r="CH4" s="276"/>
      <c r="CI4" s="276"/>
      <c r="CJ4" s="276"/>
      <c r="CK4" s="276"/>
      <c r="CL4" s="276"/>
      <c r="CM4" s="276"/>
      <c r="CN4" s="276"/>
      <c r="CO4" s="276"/>
      <c r="CP4" s="276"/>
      <c r="CQ4" s="276"/>
      <c r="CR4" s="276"/>
      <c r="CS4" s="276"/>
      <c r="CT4" s="276"/>
      <c r="CU4" s="276"/>
      <c r="CV4" s="276"/>
      <c r="CW4" s="276"/>
      <c r="CX4" s="276"/>
      <c r="CY4" s="276"/>
      <c r="CZ4" s="276"/>
      <c r="DA4" s="276"/>
      <c r="DB4" s="276"/>
      <c r="DC4" s="276"/>
      <c r="DD4" s="276"/>
      <c r="DE4" s="276"/>
      <c r="DF4" s="276"/>
      <c r="DG4" s="276"/>
      <c r="DH4" s="276"/>
      <c r="DI4" s="276"/>
      <c r="DJ4" s="276"/>
      <c r="DK4" s="276"/>
      <c r="DL4" s="276"/>
      <c r="DM4" s="276"/>
      <c r="DN4" s="276"/>
      <c r="DO4" s="276"/>
      <c r="DP4" s="276"/>
      <c r="DQ4" s="276"/>
      <c r="DR4" s="276"/>
      <c r="DS4" s="276"/>
      <c r="DT4" s="276"/>
      <c r="DU4" s="276"/>
      <c r="DV4" s="276"/>
      <c r="DW4" s="276"/>
      <c r="DX4" s="276"/>
      <c r="DY4" s="276"/>
      <c r="DZ4" s="276"/>
      <c r="EA4" s="276"/>
      <c r="EB4" s="276"/>
      <c r="EC4" s="276"/>
      <c r="ED4" s="276"/>
      <c r="EE4" s="276"/>
      <c r="EF4" s="276"/>
      <c r="EG4" s="276"/>
      <c r="EH4" s="276"/>
      <c r="EI4" s="276"/>
      <c r="EJ4" s="276"/>
      <c r="EK4" s="276"/>
      <c r="EL4" s="276"/>
      <c r="EM4" s="276"/>
      <c r="EN4" s="276"/>
      <c r="EO4" s="276"/>
      <c r="EP4" s="276"/>
      <c r="EQ4" s="276"/>
      <c r="ER4" s="276"/>
      <c r="ES4" s="276"/>
      <c r="ET4" s="276"/>
      <c r="EU4" s="276"/>
      <c r="EV4" s="276"/>
      <c r="EW4" s="276"/>
      <c r="EX4" s="276"/>
      <c r="EY4" s="276"/>
      <c r="EZ4" s="276"/>
      <c r="FA4" s="276"/>
      <c r="FB4" s="276"/>
      <c r="FC4" s="276"/>
      <c r="FD4" s="276"/>
      <c r="FE4" s="276"/>
      <c r="FF4" s="276"/>
      <c r="FG4" s="276"/>
      <c r="FH4" s="276"/>
      <c r="FI4" s="276"/>
      <c r="FJ4" s="276"/>
      <c r="FK4" s="276"/>
      <c r="FL4" s="276"/>
      <c r="FM4" s="276"/>
      <c r="FN4" s="276"/>
      <c r="FO4" s="276"/>
      <c r="FP4" s="276"/>
      <c r="FQ4" s="276"/>
      <c r="FR4" s="276"/>
      <c r="FS4" s="276"/>
      <c r="FT4" s="276"/>
      <c r="FU4" s="276"/>
      <c r="FV4" s="276"/>
      <c r="FW4" s="276"/>
      <c r="FX4" s="276"/>
      <c r="FY4" s="276"/>
      <c r="FZ4" s="276"/>
      <c r="GA4" s="276"/>
      <c r="GB4" s="276"/>
      <c r="GC4" s="276"/>
      <c r="GD4" s="276"/>
      <c r="GE4" s="276"/>
      <c r="GF4" s="276"/>
      <c r="GG4" s="276"/>
      <c r="GH4" s="276"/>
      <c r="GI4" s="276"/>
      <c r="GJ4" s="276"/>
      <c r="GK4" s="276"/>
      <c r="GL4" s="276"/>
      <c r="GM4" s="276"/>
      <c r="GN4" s="276"/>
      <c r="GO4" s="276"/>
      <c r="GP4" s="276"/>
      <c r="GQ4" s="276"/>
      <c r="GR4" s="276"/>
      <c r="GS4" s="276"/>
      <c r="GT4" s="276"/>
      <c r="GU4" s="276"/>
      <c r="GV4" s="276"/>
      <c r="GW4" s="276"/>
      <c r="GX4" s="276"/>
      <c r="GY4" s="276"/>
      <c r="GZ4" s="276"/>
      <c r="HA4" s="276"/>
      <c r="HB4" s="276"/>
      <c r="HC4" s="276"/>
      <c r="HD4" s="276"/>
      <c r="HE4" s="276"/>
      <c r="HF4" s="276"/>
      <c r="HG4" s="276"/>
      <c r="HH4" s="276"/>
      <c r="HI4" s="276"/>
      <c r="HJ4" s="276"/>
      <c r="HK4" s="276"/>
      <c r="HL4" s="276"/>
      <c r="HM4" s="276"/>
      <c r="HN4" s="276"/>
      <c r="HO4" s="276"/>
      <c r="HP4" s="276"/>
      <c r="HQ4" s="276"/>
      <c r="HR4" s="276"/>
      <c r="HS4" s="276"/>
      <c r="HT4" s="276"/>
      <c r="HU4" s="276"/>
      <c r="HV4" s="276"/>
      <c r="HW4" s="276"/>
      <c r="HX4" s="276"/>
      <c r="HY4" s="276"/>
      <c r="HZ4" s="276"/>
      <c r="IA4" s="276"/>
      <c r="IB4" s="276"/>
      <c r="IC4" s="276"/>
      <c r="ID4" s="276"/>
      <c r="IE4" s="276"/>
      <c r="IF4" s="276"/>
      <c r="IG4" s="276"/>
      <c r="IH4" s="276"/>
      <c r="II4" s="276"/>
      <c r="IJ4" s="276"/>
    </row>
    <row r="5" s="105" customFormat="1" ht="38" customHeight="1" spans="1:254">
      <c r="A5" s="125">
        <v>44454</v>
      </c>
      <c r="B5" s="126" t="s">
        <v>4494</v>
      </c>
      <c r="C5" s="127" t="s">
        <v>52</v>
      </c>
      <c r="D5" s="126" t="s">
        <v>4495</v>
      </c>
      <c r="E5" s="126"/>
      <c r="F5" s="128" t="s">
        <v>3246</v>
      </c>
      <c r="G5" s="127" t="s">
        <v>3247</v>
      </c>
      <c r="H5" s="126">
        <v>100</v>
      </c>
      <c r="I5" s="126">
        <v>0</v>
      </c>
      <c r="J5" s="126">
        <v>6</v>
      </c>
      <c r="K5" s="161">
        <f>H5/J5</f>
        <v>16.6666666666667</v>
      </c>
      <c r="L5" s="162">
        <v>44462</v>
      </c>
      <c r="M5" s="162">
        <v>44459</v>
      </c>
      <c r="N5" s="163"/>
      <c r="O5" s="164" t="s">
        <v>56</v>
      </c>
      <c r="P5" s="165" t="s">
        <v>4496</v>
      </c>
      <c r="Q5" s="164"/>
      <c r="R5" s="164" t="s">
        <v>58</v>
      </c>
      <c r="S5" s="164"/>
      <c r="T5" s="164"/>
      <c r="U5" s="198" t="s">
        <v>4497</v>
      </c>
      <c r="V5" s="126"/>
      <c r="W5" s="199">
        <v>0</v>
      </c>
      <c r="X5" s="200">
        <v>0</v>
      </c>
      <c r="Y5" s="236"/>
      <c r="Z5" s="126"/>
      <c r="AA5" s="231">
        <v>100</v>
      </c>
      <c r="AB5" s="232"/>
      <c r="AC5" s="232"/>
      <c r="AD5" s="126">
        <f t="shared" ref="AD5:AD18" si="0">H5</f>
        <v>100</v>
      </c>
      <c r="AE5" s="237"/>
      <c r="AF5" s="237"/>
      <c r="AG5" s="237"/>
      <c r="AH5" s="237"/>
      <c r="AI5" s="237"/>
      <c r="AJ5" s="271"/>
      <c r="AK5" s="271"/>
      <c r="AL5" s="271"/>
      <c r="AM5" s="272"/>
      <c r="AN5" s="161"/>
      <c r="AO5" s="161"/>
      <c r="AP5" s="126"/>
      <c r="AQ5" s="161"/>
      <c r="AR5" s="161"/>
      <c r="AS5" s="161"/>
      <c r="AT5" s="161"/>
      <c r="AU5" s="161"/>
      <c r="AV5" s="161"/>
      <c r="AW5" s="161"/>
      <c r="AX5" s="161"/>
      <c r="AY5" s="161"/>
      <c r="AZ5" s="161"/>
      <c r="BA5" s="161"/>
      <c r="BB5" s="161"/>
      <c r="BC5" s="161"/>
      <c r="BD5" s="161"/>
      <c r="BE5" s="161"/>
      <c r="BF5" s="161"/>
      <c r="BG5" s="161"/>
      <c r="BH5" s="161"/>
      <c r="BI5" s="161"/>
      <c r="BJ5" s="161"/>
      <c r="BK5" s="161"/>
      <c r="BL5" s="161"/>
      <c r="BM5" s="161"/>
      <c r="BN5" s="161"/>
      <c r="BO5" s="161"/>
      <c r="BP5" s="161"/>
      <c r="BQ5" s="161"/>
      <c r="BR5" s="161"/>
      <c r="BS5" s="161"/>
      <c r="BT5" s="161"/>
      <c r="BU5" s="161"/>
      <c r="BV5" s="161"/>
      <c r="BW5" s="161"/>
      <c r="BX5" s="161"/>
      <c r="BY5" s="161"/>
      <c r="BZ5" s="161"/>
      <c r="CA5" s="161"/>
      <c r="CB5" s="161"/>
      <c r="CC5" s="161"/>
      <c r="CD5" s="161"/>
      <c r="CE5" s="161"/>
      <c r="CF5" s="161"/>
      <c r="CG5" s="161"/>
      <c r="CH5" s="161"/>
      <c r="CI5" s="161"/>
      <c r="CJ5" s="161"/>
      <c r="CK5" s="161"/>
      <c r="CL5" s="161"/>
      <c r="CM5" s="161"/>
      <c r="CN5" s="161"/>
      <c r="CO5" s="161"/>
      <c r="CP5" s="161"/>
      <c r="CQ5" s="161"/>
      <c r="CR5" s="161"/>
      <c r="CS5" s="161"/>
      <c r="CT5" s="161"/>
      <c r="CU5" s="161"/>
      <c r="CV5" s="161"/>
      <c r="CW5" s="161"/>
      <c r="CX5" s="161"/>
      <c r="CY5" s="161"/>
      <c r="CZ5" s="161"/>
      <c r="DA5" s="161"/>
      <c r="DB5" s="161"/>
      <c r="DC5" s="161"/>
      <c r="DD5" s="161"/>
      <c r="DE5" s="161"/>
      <c r="DF5" s="161"/>
      <c r="DG5" s="161"/>
      <c r="DH5" s="161"/>
      <c r="DI5" s="161"/>
      <c r="DJ5" s="161"/>
      <c r="DK5" s="161"/>
      <c r="DL5" s="161"/>
      <c r="DM5" s="161"/>
      <c r="DN5" s="161"/>
      <c r="DO5" s="161"/>
      <c r="DP5" s="161"/>
      <c r="DQ5" s="161"/>
      <c r="DR5" s="161"/>
      <c r="DS5" s="161"/>
      <c r="DT5" s="161"/>
      <c r="DU5" s="161"/>
      <c r="DV5" s="161"/>
      <c r="DW5" s="161"/>
      <c r="DX5" s="161"/>
      <c r="DY5" s="161"/>
      <c r="DZ5" s="161"/>
      <c r="EA5" s="161"/>
      <c r="EB5" s="161"/>
      <c r="EC5" s="161"/>
      <c r="ED5" s="161"/>
      <c r="EE5" s="161"/>
      <c r="EF5" s="161"/>
      <c r="EG5" s="161"/>
      <c r="EH5" s="161"/>
      <c r="EI5" s="161"/>
      <c r="EJ5" s="161"/>
      <c r="EK5" s="161"/>
      <c r="EL5" s="161"/>
      <c r="EM5" s="161"/>
      <c r="EN5" s="161"/>
      <c r="EO5" s="161"/>
      <c r="EP5" s="161"/>
      <c r="EQ5" s="161"/>
      <c r="ER5" s="161"/>
      <c r="ES5" s="161"/>
      <c r="ET5" s="161"/>
      <c r="EU5" s="161"/>
      <c r="EV5" s="161"/>
      <c r="EW5" s="161"/>
      <c r="EX5" s="161"/>
      <c r="EY5" s="161"/>
      <c r="EZ5" s="161"/>
      <c r="FA5" s="161"/>
      <c r="FB5" s="161"/>
      <c r="FC5" s="161"/>
      <c r="FD5" s="161"/>
      <c r="FE5" s="161"/>
      <c r="FF5" s="161"/>
      <c r="FG5" s="161"/>
      <c r="FH5" s="161"/>
      <c r="FI5" s="161"/>
      <c r="FJ5" s="161"/>
      <c r="FK5" s="161"/>
      <c r="FL5" s="161"/>
      <c r="FM5" s="161"/>
      <c r="FN5" s="161"/>
      <c r="FO5" s="161"/>
      <c r="FP5" s="161"/>
      <c r="FQ5" s="161"/>
      <c r="FR5" s="161"/>
      <c r="FS5" s="161"/>
      <c r="FT5" s="161"/>
      <c r="FU5" s="161"/>
      <c r="FV5" s="161"/>
      <c r="FW5" s="161"/>
      <c r="FX5" s="161"/>
      <c r="FY5" s="161"/>
      <c r="FZ5" s="161"/>
      <c r="GA5" s="161"/>
      <c r="GB5" s="161"/>
      <c r="GC5" s="161"/>
      <c r="GD5" s="161"/>
      <c r="GE5" s="161"/>
      <c r="GF5" s="161"/>
      <c r="GG5" s="161"/>
      <c r="GH5" s="161"/>
      <c r="GI5" s="161"/>
      <c r="GJ5" s="161"/>
      <c r="GK5" s="161"/>
      <c r="GL5" s="161"/>
      <c r="GM5" s="161"/>
      <c r="GN5" s="161"/>
      <c r="GO5" s="161"/>
      <c r="GP5" s="161"/>
      <c r="GQ5" s="161"/>
      <c r="GR5" s="161"/>
      <c r="GS5" s="161"/>
      <c r="GT5" s="161"/>
      <c r="GU5" s="161"/>
      <c r="GV5" s="161"/>
      <c r="GW5" s="161"/>
      <c r="GX5" s="161"/>
      <c r="GY5" s="161"/>
      <c r="GZ5" s="161"/>
      <c r="HA5" s="161"/>
      <c r="HB5" s="161"/>
      <c r="HC5" s="161"/>
      <c r="HD5" s="161"/>
      <c r="HE5" s="161"/>
      <c r="HF5" s="161"/>
      <c r="HG5" s="161"/>
      <c r="HH5" s="161"/>
      <c r="HI5" s="161"/>
      <c r="HJ5" s="161"/>
      <c r="HK5" s="161"/>
      <c r="HL5" s="161"/>
      <c r="HM5" s="161"/>
      <c r="HN5" s="161"/>
      <c r="HO5" s="161"/>
      <c r="HP5" s="161"/>
      <c r="HQ5" s="161"/>
      <c r="HR5" s="161"/>
      <c r="HS5" s="161"/>
      <c r="HT5" s="161"/>
      <c r="HU5" s="161"/>
      <c r="HV5" s="161"/>
      <c r="HW5" s="161"/>
      <c r="HX5" s="161"/>
      <c r="HY5" s="161"/>
      <c r="HZ5" s="161"/>
      <c r="IA5" s="161"/>
      <c r="IB5" s="292"/>
      <c r="IC5" s="292"/>
      <c r="ID5" s="292"/>
      <c r="IE5" s="292"/>
      <c r="IF5" s="292"/>
      <c r="IG5" s="292"/>
      <c r="IH5" s="292"/>
      <c r="II5" s="292"/>
      <c r="IJ5" s="292"/>
      <c r="IK5" s="292"/>
      <c r="IL5" s="292"/>
      <c r="IM5" s="292"/>
      <c r="IN5" s="292"/>
      <c r="IO5" s="292"/>
      <c r="IP5" s="292"/>
      <c r="IQ5" s="292"/>
      <c r="IR5" s="292"/>
      <c r="IS5" s="292"/>
      <c r="IT5" s="292"/>
    </row>
    <row r="6" s="104" customFormat="1" ht="35" customHeight="1" spans="1:256">
      <c r="A6" s="129">
        <v>44342</v>
      </c>
      <c r="B6" s="130" t="s">
        <v>4494</v>
      </c>
      <c r="C6" s="131" t="s">
        <v>52</v>
      </c>
      <c r="D6" s="130" t="s">
        <v>4498</v>
      </c>
      <c r="E6" s="130"/>
      <c r="F6" s="132" t="s">
        <v>3246</v>
      </c>
      <c r="G6" s="131" t="s">
        <v>3247</v>
      </c>
      <c r="H6" s="133">
        <v>30</v>
      </c>
      <c r="I6" s="123">
        <v>0</v>
      </c>
      <c r="J6" s="123">
        <v>6</v>
      </c>
      <c r="K6" s="157">
        <f t="shared" ref="K6:K18" si="1">H6/J6</f>
        <v>5</v>
      </c>
      <c r="L6" s="166">
        <v>44342</v>
      </c>
      <c r="M6" s="166">
        <v>44508</v>
      </c>
      <c r="N6" s="167"/>
      <c r="O6" s="164" t="s">
        <v>56</v>
      </c>
      <c r="P6" s="168"/>
      <c r="Q6" s="201"/>
      <c r="R6" s="201" t="s">
        <v>58</v>
      </c>
      <c r="S6" s="201"/>
      <c r="T6" s="201" t="s">
        <v>4499</v>
      </c>
      <c r="U6" s="202" t="s">
        <v>4500</v>
      </c>
      <c r="V6" s="130"/>
      <c r="W6" s="203">
        <v>0</v>
      </c>
      <c r="X6" s="204">
        <v>0</v>
      </c>
      <c r="Y6" s="238"/>
      <c r="Z6" s="239"/>
      <c r="AA6" s="240">
        <v>30</v>
      </c>
      <c r="AB6" s="241"/>
      <c r="AC6" s="242"/>
      <c r="AD6" s="234">
        <f t="shared" si="0"/>
        <v>30</v>
      </c>
      <c r="AE6" s="243"/>
      <c r="AF6" s="243"/>
      <c r="AG6" s="243"/>
      <c r="AH6" s="243"/>
      <c r="AI6" s="273"/>
      <c r="AJ6" s="274"/>
      <c r="AK6" s="274"/>
      <c r="AL6" s="274"/>
      <c r="AM6" s="275"/>
      <c r="AN6" s="276"/>
      <c r="AO6" s="276"/>
      <c r="AP6" s="287"/>
      <c r="AQ6" s="276"/>
      <c r="AR6" s="276"/>
      <c r="AS6" s="276"/>
      <c r="AT6" s="276"/>
      <c r="AU6" s="276"/>
      <c r="AV6" s="276"/>
      <c r="AW6" s="276"/>
      <c r="AX6" s="276"/>
      <c r="AY6" s="276"/>
      <c r="AZ6" s="276"/>
      <c r="BA6" s="276"/>
      <c r="BB6" s="276"/>
      <c r="BC6" s="276"/>
      <c r="BD6" s="276"/>
      <c r="BE6" s="276"/>
      <c r="BF6" s="276"/>
      <c r="BG6" s="276"/>
      <c r="BH6" s="276"/>
      <c r="BI6" s="276"/>
      <c r="BJ6" s="276"/>
      <c r="BK6" s="276"/>
      <c r="BL6" s="276"/>
      <c r="BM6" s="276"/>
      <c r="BN6" s="276"/>
      <c r="BO6" s="276"/>
      <c r="BP6" s="276"/>
      <c r="BQ6" s="276"/>
      <c r="BR6" s="276"/>
      <c r="BS6" s="276"/>
      <c r="BT6" s="276"/>
      <c r="BU6" s="276"/>
      <c r="BV6" s="276"/>
      <c r="BW6" s="276"/>
      <c r="BX6" s="276"/>
      <c r="BY6" s="276"/>
      <c r="BZ6" s="276"/>
      <c r="CA6" s="276"/>
      <c r="CB6" s="276"/>
      <c r="CC6" s="276"/>
      <c r="CD6" s="276"/>
      <c r="CE6" s="276"/>
      <c r="CF6" s="276"/>
      <c r="CG6" s="276"/>
      <c r="CH6" s="276"/>
      <c r="CI6" s="276"/>
      <c r="CJ6" s="276"/>
      <c r="CK6" s="276"/>
      <c r="CL6" s="276"/>
      <c r="CM6" s="276"/>
      <c r="CN6" s="276"/>
      <c r="CO6" s="276"/>
      <c r="CP6" s="276"/>
      <c r="CQ6" s="276"/>
      <c r="CR6" s="276"/>
      <c r="CS6" s="276"/>
      <c r="CT6" s="276"/>
      <c r="CU6" s="276"/>
      <c r="CV6" s="276"/>
      <c r="CW6" s="276"/>
      <c r="CX6" s="276"/>
      <c r="CY6" s="276"/>
      <c r="CZ6" s="276"/>
      <c r="DA6" s="276"/>
      <c r="DB6" s="276"/>
      <c r="DC6" s="276"/>
      <c r="DD6" s="276"/>
      <c r="DE6" s="276"/>
      <c r="DF6" s="276"/>
      <c r="DG6" s="276"/>
      <c r="DH6" s="276"/>
      <c r="DI6" s="276"/>
      <c r="DJ6" s="276"/>
      <c r="DK6" s="276"/>
      <c r="DL6" s="276"/>
      <c r="DM6" s="276"/>
      <c r="DN6" s="276"/>
      <c r="DO6" s="276"/>
      <c r="DP6" s="276"/>
      <c r="DQ6" s="276"/>
      <c r="DR6" s="276"/>
      <c r="DS6" s="276"/>
      <c r="DT6" s="276"/>
      <c r="DU6" s="276"/>
      <c r="DV6" s="276"/>
      <c r="DW6" s="276"/>
      <c r="DX6" s="276"/>
      <c r="DY6" s="276"/>
      <c r="DZ6" s="276"/>
      <c r="EA6" s="276"/>
      <c r="EB6" s="276"/>
      <c r="EC6" s="276"/>
      <c r="ED6" s="276"/>
      <c r="EE6" s="276"/>
      <c r="EF6" s="276"/>
      <c r="EG6" s="276"/>
      <c r="EH6" s="276"/>
      <c r="EI6" s="276"/>
      <c r="EJ6" s="276"/>
      <c r="EK6" s="276"/>
      <c r="EL6" s="276"/>
      <c r="EM6" s="276"/>
      <c r="EN6" s="276"/>
      <c r="EO6" s="276"/>
      <c r="EP6" s="276"/>
      <c r="EQ6" s="276"/>
      <c r="ER6" s="276"/>
      <c r="ES6" s="276"/>
      <c r="ET6" s="276"/>
      <c r="EU6" s="276"/>
      <c r="EV6" s="276"/>
      <c r="EW6" s="276"/>
      <c r="EX6" s="276"/>
      <c r="EY6" s="276"/>
      <c r="EZ6" s="276"/>
      <c r="FA6" s="276"/>
      <c r="FB6" s="276"/>
      <c r="FC6" s="276"/>
      <c r="FD6" s="276"/>
      <c r="FE6" s="276"/>
      <c r="FF6" s="276"/>
      <c r="FG6" s="276"/>
      <c r="FH6" s="276"/>
      <c r="FI6" s="276"/>
      <c r="FJ6" s="276"/>
      <c r="FK6" s="276"/>
      <c r="FL6" s="276"/>
      <c r="FM6" s="276"/>
      <c r="FN6" s="276"/>
      <c r="FO6" s="276"/>
      <c r="FP6" s="276"/>
      <c r="FQ6" s="276"/>
      <c r="FR6" s="276"/>
      <c r="FS6" s="276"/>
      <c r="FT6" s="276"/>
      <c r="FU6" s="276"/>
      <c r="FV6" s="276"/>
      <c r="FW6" s="276"/>
      <c r="FX6" s="276"/>
      <c r="FY6" s="276"/>
      <c r="FZ6" s="276"/>
      <c r="GA6" s="276"/>
      <c r="GB6" s="276"/>
      <c r="GC6" s="276"/>
      <c r="GD6" s="276"/>
      <c r="GE6" s="276"/>
      <c r="GF6" s="276"/>
      <c r="GG6" s="276"/>
      <c r="GH6" s="276"/>
      <c r="GI6" s="276"/>
      <c r="GJ6" s="276"/>
      <c r="GK6" s="276"/>
      <c r="GL6" s="276"/>
      <c r="GM6" s="276"/>
      <c r="GN6" s="276"/>
      <c r="GO6" s="276"/>
      <c r="GP6" s="276"/>
      <c r="GQ6" s="276"/>
      <c r="GR6" s="276"/>
      <c r="GS6" s="276"/>
      <c r="GT6" s="276"/>
      <c r="GU6" s="276"/>
      <c r="GV6" s="276"/>
      <c r="GW6" s="276"/>
      <c r="GX6" s="276"/>
      <c r="GY6" s="276"/>
      <c r="GZ6" s="276"/>
      <c r="HA6" s="276"/>
      <c r="HB6" s="276"/>
      <c r="HC6" s="276"/>
      <c r="HD6" s="276"/>
      <c r="HE6" s="276"/>
      <c r="HF6" s="276"/>
      <c r="HG6" s="276"/>
      <c r="HH6" s="276"/>
      <c r="HI6" s="276"/>
      <c r="HJ6" s="276"/>
      <c r="HK6" s="276"/>
      <c r="HL6" s="276"/>
      <c r="HM6" s="276"/>
      <c r="HN6" s="276"/>
      <c r="HO6" s="276"/>
      <c r="HP6" s="276"/>
      <c r="HQ6" s="276"/>
      <c r="HR6" s="276"/>
      <c r="HS6" s="276"/>
      <c r="HT6" s="276"/>
      <c r="HU6" s="276"/>
      <c r="HV6" s="276"/>
      <c r="HW6" s="276"/>
      <c r="HX6" s="276"/>
      <c r="HY6" s="276"/>
      <c r="HZ6" s="276"/>
      <c r="IA6" s="276"/>
      <c r="IB6" s="290"/>
      <c r="IC6" s="290"/>
      <c r="ID6" s="290"/>
      <c r="IE6" s="290"/>
      <c r="IF6" s="290"/>
      <c r="IG6" s="290"/>
      <c r="IH6" s="290"/>
      <c r="II6" s="290"/>
      <c r="IJ6" s="290"/>
      <c r="IK6" s="290"/>
      <c r="IL6" s="290"/>
      <c r="IM6" s="290"/>
      <c r="IN6" s="290"/>
      <c r="IO6" s="290"/>
      <c r="IP6" s="290"/>
      <c r="IQ6" s="290"/>
      <c r="IR6" s="290"/>
      <c r="IS6" s="290"/>
      <c r="IT6" s="290"/>
      <c r="IU6" s="290"/>
      <c r="IV6" s="290"/>
    </row>
    <row r="7" s="105" customFormat="1" ht="38" customHeight="1" spans="1:256">
      <c r="A7" s="125">
        <v>44484</v>
      </c>
      <c r="B7" s="126" t="s">
        <v>4501</v>
      </c>
      <c r="C7" s="127" t="s">
        <v>600</v>
      </c>
      <c r="D7" s="126">
        <v>4500063511</v>
      </c>
      <c r="E7" s="126">
        <v>278313</v>
      </c>
      <c r="F7" s="128" t="s">
        <v>3246</v>
      </c>
      <c r="G7" s="127" t="s">
        <v>3247</v>
      </c>
      <c r="H7" s="126">
        <v>360</v>
      </c>
      <c r="I7" s="126">
        <v>0</v>
      </c>
      <c r="J7" s="126">
        <v>6</v>
      </c>
      <c r="K7" s="161">
        <f t="shared" si="1"/>
        <v>60</v>
      </c>
      <c r="L7" s="162">
        <v>44537</v>
      </c>
      <c r="M7" s="162">
        <v>44533</v>
      </c>
      <c r="N7" s="163">
        <v>44540</v>
      </c>
      <c r="O7" s="164" t="s">
        <v>56</v>
      </c>
      <c r="P7" s="164" t="s">
        <v>4502</v>
      </c>
      <c r="Q7" s="169">
        <v>44503</v>
      </c>
      <c r="R7" s="169" t="s">
        <v>2112</v>
      </c>
      <c r="S7" s="170" t="s">
        <v>4503</v>
      </c>
      <c r="T7" s="164" t="s">
        <v>1888</v>
      </c>
      <c r="U7" s="205" t="s">
        <v>4504</v>
      </c>
      <c r="V7" s="126" t="s">
        <v>4505</v>
      </c>
      <c r="W7" s="199">
        <v>4.1664</v>
      </c>
      <c r="X7" s="200">
        <f t="shared" ref="X7:X18" si="2">W7*H7</f>
        <v>1499.904</v>
      </c>
      <c r="Y7" s="236">
        <v>57725</v>
      </c>
      <c r="Z7" s="126"/>
      <c r="AA7" s="244">
        <v>360</v>
      </c>
      <c r="AB7" s="245" t="s">
        <v>327</v>
      </c>
      <c r="AC7" s="245"/>
      <c r="AD7" s="126">
        <f t="shared" si="0"/>
        <v>360</v>
      </c>
      <c r="AE7" s="237"/>
      <c r="AF7" s="237"/>
      <c r="AG7" s="237"/>
      <c r="AH7" s="237"/>
      <c r="AI7" s="237"/>
      <c r="AJ7" s="271"/>
      <c r="AK7" s="271"/>
      <c r="AL7" s="271"/>
      <c r="AM7" s="272"/>
      <c r="AN7" s="161"/>
      <c r="AO7" s="161"/>
      <c r="AP7" s="126"/>
      <c r="AQ7" s="161"/>
      <c r="AR7" s="161"/>
      <c r="AS7" s="161"/>
      <c r="AT7" s="161"/>
      <c r="AU7" s="161"/>
      <c r="AV7" s="161"/>
      <c r="AW7" s="161"/>
      <c r="AX7" s="161"/>
      <c r="AY7" s="161"/>
      <c r="AZ7" s="161"/>
      <c r="BA7" s="161"/>
      <c r="BB7" s="161"/>
      <c r="BC7" s="161"/>
      <c r="BD7" s="161"/>
      <c r="BE7" s="161"/>
      <c r="BF7" s="161"/>
      <c r="BG7" s="161"/>
      <c r="BH7" s="161"/>
      <c r="BI7" s="161"/>
      <c r="BJ7" s="161"/>
      <c r="BK7" s="161"/>
      <c r="BL7" s="161"/>
      <c r="BM7" s="161"/>
      <c r="BN7" s="161"/>
      <c r="BO7" s="161"/>
      <c r="BP7" s="161"/>
      <c r="BQ7" s="161"/>
      <c r="BR7" s="161"/>
      <c r="BS7" s="161"/>
      <c r="BT7" s="161"/>
      <c r="BU7" s="161"/>
      <c r="BV7" s="161"/>
      <c r="BW7" s="161"/>
      <c r="BX7" s="161"/>
      <c r="BY7" s="161"/>
      <c r="BZ7" s="161"/>
      <c r="CA7" s="161"/>
      <c r="CB7" s="161"/>
      <c r="CC7" s="161"/>
      <c r="CD7" s="161"/>
      <c r="CE7" s="161"/>
      <c r="CF7" s="161"/>
      <c r="CG7" s="161"/>
      <c r="CH7" s="161"/>
      <c r="CI7" s="161"/>
      <c r="CJ7" s="161"/>
      <c r="CK7" s="161"/>
      <c r="CL7" s="161"/>
      <c r="CM7" s="161"/>
      <c r="CN7" s="161"/>
      <c r="CO7" s="161"/>
      <c r="CP7" s="161"/>
      <c r="CQ7" s="161"/>
      <c r="CR7" s="161"/>
      <c r="CS7" s="161"/>
      <c r="CT7" s="161"/>
      <c r="CU7" s="161"/>
      <c r="CV7" s="161"/>
      <c r="CW7" s="161"/>
      <c r="CX7" s="161"/>
      <c r="CY7" s="161"/>
      <c r="CZ7" s="161"/>
      <c r="DA7" s="161"/>
      <c r="DB7" s="161"/>
      <c r="DC7" s="161"/>
      <c r="DD7" s="161"/>
      <c r="DE7" s="161"/>
      <c r="DF7" s="161"/>
      <c r="DG7" s="161"/>
      <c r="DH7" s="161"/>
      <c r="DI7" s="161"/>
      <c r="DJ7" s="161"/>
      <c r="DK7" s="161"/>
      <c r="DL7" s="161"/>
      <c r="DM7" s="161"/>
      <c r="DN7" s="161"/>
      <c r="DO7" s="161"/>
      <c r="DP7" s="161"/>
      <c r="DQ7" s="161"/>
      <c r="DR7" s="161"/>
      <c r="DS7" s="161"/>
      <c r="DT7" s="161"/>
      <c r="DU7" s="161"/>
      <c r="DV7" s="161"/>
      <c r="DW7" s="161"/>
      <c r="DX7" s="161"/>
      <c r="DY7" s="161"/>
      <c r="DZ7" s="161"/>
      <c r="EA7" s="161"/>
      <c r="EB7" s="161"/>
      <c r="EC7" s="161"/>
      <c r="ED7" s="161"/>
      <c r="EE7" s="161"/>
      <c r="EF7" s="161"/>
      <c r="EG7" s="161"/>
      <c r="EH7" s="161"/>
      <c r="EI7" s="161"/>
      <c r="EJ7" s="161"/>
      <c r="EK7" s="161"/>
      <c r="EL7" s="161"/>
      <c r="EM7" s="161"/>
      <c r="EN7" s="161"/>
      <c r="EO7" s="161"/>
      <c r="EP7" s="161"/>
      <c r="EQ7" s="161"/>
      <c r="ER7" s="161"/>
      <c r="ES7" s="161"/>
      <c r="ET7" s="161"/>
      <c r="EU7" s="161"/>
      <c r="EV7" s="161"/>
      <c r="EW7" s="161"/>
      <c r="EX7" s="161"/>
      <c r="EY7" s="161"/>
      <c r="EZ7" s="161"/>
      <c r="FA7" s="161"/>
      <c r="FB7" s="161"/>
      <c r="FC7" s="161"/>
      <c r="FD7" s="161"/>
      <c r="FE7" s="161"/>
      <c r="FF7" s="161"/>
      <c r="FG7" s="161"/>
      <c r="FH7" s="161"/>
      <c r="FI7" s="161"/>
      <c r="FJ7" s="161"/>
      <c r="FK7" s="161"/>
      <c r="FL7" s="161"/>
      <c r="FM7" s="161"/>
      <c r="FN7" s="161"/>
      <c r="FO7" s="161"/>
      <c r="FP7" s="161"/>
      <c r="FQ7" s="161"/>
      <c r="FR7" s="161"/>
      <c r="FS7" s="161"/>
      <c r="FT7" s="161"/>
      <c r="FU7" s="161"/>
      <c r="FV7" s="161"/>
      <c r="FW7" s="161"/>
      <c r="FX7" s="161"/>
      <c r="FY7" s="161"/>
      <c r="FZ7" s="161"/>
      <c r="GA7" s="161"/>
      <c r="GB7" s="161"/>
      <c r="GC7" s="161"/>
      <c r="GD7" s="161"/>
      <c r="GE7" s="161"/>
      <c r="GF7" s="161"/>
      <c r="GG7" s="161"/>
      <c r="GH7" s="161"/>
      <c r="GI7" s="161"/>
      <c r="GJ7" s="161"/>
      <c r="GK7" s="161"/>
      <c r="GL7" s="161"/>
      <c r="GM7" s="161"/>
      <c r="GN7" s="161"/>
      <c r="GO7" s="161"/>
      <c r="GP7" s="161"/>
      <c r="GQ7" s="161"/>
      <c r="GR7" s="161"/>
      <c r="GS7" s="161"/>
      <c r="GT7" s="161"/>
      <c r="GU7" s="161"/>
      <c r="GV7" s="161"/>
      <c r="GW7" s="161"/>
      <c r="GX7" s="161"/>
      <c r="GY7" s="161"/>
      <c r="GZ7" s="161"/>
      <c r="HA7" s="161"/>
      <c r="HB7" s="161"/>
      <c r="HC7" s="161"/>
      <c r="HD7" s="161"/>
      <c r="HE7" s="161"/>
      <c r="HF7" s="161"/>
      <c r="HG7" s="161"/>
      <c r="HH7" s="161"/>
      <c r="HI7" s="161"/>
      <c r="HJ7" s="161"/>
      <c r="HK7" s="161"/>
      <c r="HL7" s="161"/>
      <c r="HM7" s="161"/>
      <c r="HN7" s="161"/>
      <c r="HO7" s="161"/>
      <c r="HP7" s="161"/>
      <c r="HQ7" s="161"/>
      <c r="HR7" s="161"/>
      <c r="HS7" s="161"/>
      <c r="HT7" s="161"/>
      <c r="HU7" s="161"/>
      <c r="HV7" s="161"/>
      <c r="HW7" s="161"/>
      <c r="HX7" s="161"/>
      <c r="HY7" s="161"/>
      <c r="HZ7" s="161"/>
      <c r="IA7" s="161"/>
      <c r="IB7" s="292"/>
      <c r="IC7" s="292"/>
      <c r="ID7" s="292"/>
      <c r="IE7" s="292"/>
      <c r="IF7" s="292"/>
      <c r="IG7" s="292"/>
      <c r="IH7" s="292"/>
      <c r="II7" s="292"/>
      <c r="IJ7" s="292"/>
      <c r="IK7" s="292"/>
      <c r="IL7" s="292"/>
      <c r="IM7" s="292"/>
      <c r="IN7" s="292"/>
      <c r="IO7" s="292"/>
      <c r="IP7" s="292"/>
      <c r="IQ7" s="292"/>
      <c r="IR7" s="292"/>
      <c r="IS7" s="292"/>
      <c r="IT7" s="292"/>
      <c r="IU7" s="290"/>
      <c r="IV7" s="290"/>
    </row>
    <row r="8" s="105" customFormat="1" ht="38" customHeight="1" spans="1:256">
      <c r="A8" s="125">
        <v>44400</v>
      </c>
      <c r="B8" s="126" t="s">
        <v>3465</v>
      </c>
      <c r="C8" s="127" t="s">
        <v>3255</v>
      </c>
      <c r="D8" s="126">
        <v>4500057788</v>
      </c>
      <c r="E8" s="126">
        <v>4400066167</v>
      </c>
      <c r="F8" s="128" t="s">
        <v>3246</v>
      </c>
      <c r="G8" s="127" t="s">
        <v>3247</v>
      </c>
      <c r="H8" s="126">
        <v>6588</v>
      </c>
      <c r="I8" s="126">
        <v>0</v>
      </c>
      <c r="J8" s="126">
        <v>6</v>
      </c>
      <c r="K8" s="161">
        <f t="shared" si="1"/>
        <v>1098</v>
      </c>
      <c r="L8" s="162">
        <v>44606</v>
      </c>
      <c r="M8" s="162">
        <v>44606</v>
      </c>
      <c r="N8" s="163"/>
      <c r="O8" s="164" t="s">
        <v>56</v>
      </c>
      <c r="P8" s="169" t="s">
        <v>4506</v>
      </c>
      <c r="Q8" s="169">
        <v>44926</v>
      </c>
      <c r="R8" s="169" t="s">
        <v>58</v>
      </c>
      <c r="S8" s="164" t="s">
        <v>58</v>
      </c>
      <c r="T8" s="164" t="s">
        <v>3468</v>
      </c>
      <c r="U8" s="198" t="s">
        <v>4507</v>
      </c>
      <c r="V8" s="126" t="s">
        <v>1775</v>
      </c>
      <c r="W8" s="199">
        <v>3.8175</v>
      </c>
      <c r="X8" s="200">
        <f t="shared" si="2"/>
        <v>25149.69</v>
      </c>
      <c r="Y8" s="236">
        <v>58124</v>
      </c>
      <c r="Z8" s="126"/>
      <c r="AA8" s="246">
        <v>6588</v>
      </c>
      <c r="AB8" s="247" t="s">
        <v>58</v>
      </c>
      <c r="AC8" s="247" t="s">
        <v>81</v>
      </c>
      <c r="AD8" s="126">
        <f t="shared" si="0"/>
        <v>6588</v>
      </c>
      <c r="AE8" s="237"/>
      <c r="AF8" s="237"/>
      <c r="AG8" s="237"/>
      <c r="AH8" s="237"/>
      <c r="AI8" s="237"/>
      <c r="AJ8" s="271">
        <f t="shared" ref="AJ8:AJ17" si="3">H8</f>
        <v>6588</v>
      </c>
      <c r="AK8" s="271">
        <f t="shared" ref="AK8:AK17" si="4">H8</f>
        <v>6588</v>
      </c>
      <c r="AL8" s="271"/>
      <c r="AM8" s="277"/>
      <c r="AN8" s="161"/>
      <c r="AO8" s="161"/>
      <c r="AP8" s="126"/>
      <c r="AQ8" s="161"/>
      <c r="AR8" s="161"/>
      <c r="AS8" s="161"/>
      <c r="AT8" s="161"/>
      <c r="AU8" s="161"/>
      <c r="AV8" s="161"/>
      <c r="AW8" s="161"/>
      <c r="AX8" s="161"/>
      <c r="AY8" s="161"/>
      <c r="AZ8" s="161"/>
      <c r="BA8" s="161"/>
      <c r="BB8" s="161"/>
      <c r="BC8" s="161"/>
      <c r="BD8" s="161"/>
      <c r="BE8" s="161"/>
      <c r="BF8" s="161"/>
      <c r="BG8" s="161"/>
      <c r="BH8" s="161"/>
      <c r="BI8" s="161"/>
      <c r="BJ8" s="161"/>
      <c r="BK8" s="161"/>
      <c r="BL8" s="161"/>
      <c r="BM8" s="161"/>
      <c r="BN8" s="161"/>
      <c r="BO8" s="161"/>
      <c r="BP8" s="161"/>
      <c r="BQ8" s="161"/>
      <c r="BR8" s="161"/>
      <c r="BS8" s="161"/>
      <c r="BT8" s="161"/>
      <c r="BU8" s="161"/>
      <c r="BV8" s="161"/>
      <c r="BW8" s="161"/>
      <c r="BX8" s="161"/>
      <c r="BY8" s="161"/>
      <c r="BZ8" s="161"/>
      <c r="CA8" s="161"/>
      <c r="CB8" s="161"/>
      <c r="CC8" s="161"/>
      <c r="CD8" s="161"/>
      <c r="CE8" s="161"/>
      <c r="CF8" s="161"/>
      <c r="CG8" s="161"/>
      <c r="CH8" s="161"/>
      <c r="CI8" s="161"/>
      <c r="CJ8" s="161"/>
      <c r="CK8" s="161"/>
      <c r="CL8" s="161"/>
      <c r="CM8" s="161"/>
      <c r="CN8" s="161"/>
      <c r="CO8" s="161"/>
      <c r="CP8" s="161"/>
      <c r="CQ8" s="161"/>
      <c r="CR8" s="161"/>
      <c r="CS8" s="161"/>
      <c r="CT8" s="161"/>
      <c r="CU8" s="161"/>
      <c r="CV8" s="161"/>
      <c r="CW8" s="161"/>
      <c r="CX8" s="161"/>
      <c r="CY8" s="161"/>
      <c r="CZ8" s="161"/>
      <c r="DA8" s="161"/>
      <c r="DB8" s="161"/>
      <c r="DC8" s="161"/>
      <c r="DD8" s="161"/>
      <c r="DE8" s="161"/>
      <c r="DF8" s="161"/>
      <c r="DG8" s="161"/>
      <c r="DH8" s="161"/>
      <c r="DI8" s="161"/>
      <c r="DJ8" s="161"/>
      <c r="DK8" s="161"/>
      <c r="DL8" s="161"/>
      <c r="DM8" s="161"/>
      <c r="DN8" s="161"/>
      <c r="DO8" s="161"/>
      <c r="DP8" s="161"/>
      <c r="DQ8" s="161"/>
      <c r="DR8" s="161"/>
      <c r="DS8" s="161"/>
      <c r="DT8" s="161"/>
      <c r="DU8" s="161"/>
      <c r="DV8" s="161"/>
      <c r="DW8" s="161"/>
      <c r="DX8" s="161"/>
      <c r="DY8" s="161"/>
      <c r="DZ8" s="161"/>
      <c r="EA8" s="161"/>
      <c r="EB8" s="161"/>
      <c r="EC8" s="161"/>
      <c r="ED8" s="161"/>
      <c r="EE8" s="161"/>
      <c r="EF8" s="161"/>
      <c r="EG8" s="161"/>
      <c r="EH8" s="161"/>
      <c r="EI8" s="161"/>
      <c r="EJ8" s="161"/>
      <c r="EK8" s="161"/>
      <c r="EL8" s="161"/>
      <c r="EM8" s="161"/>
      <c r="EN8" s="161"/>
      <c r="EO8" s="161"/>
      <c r="EP8" s="161"/>
      <c r="EQ8" s="161"/>
      <c r="ER8" s="161"/>
      <c r="ES8" s="161"/>
      <c r="ET8" s="161"/>
      <c r="EU8" s="161"/>
      <c r="EV8" s="161"/>
      <c r="EW8" s="161"/>
      <c r="EX8" s="161"/>
      <c r="EY8" s="161"/>
      <c r="EZ8" s="161"/>
      <c r="FA8" s="161"/>
      <c r="FB8" s="161"/>
      <c r="FC8" s="161"/>
      <c r="FD8" s="161"/>
      <c r="FE8" s="161"/>
      <c r="FF8" s="161"/>
      <c r="FG8" s="161"/>
      <c r="FH8" s="161"/>
      <c r="FI8" s="161"/>
      <c r="FJ8" s="161"/>
      <c r="FK8" s="161"/>
      <c r="FL8" s="161"/>
      <c r="FM8" s="161"/>
      <c r="FN8" s="161"/>
      <c r="FO8" s="161"/>
      <c r="FP8" s="161"/>
      <c r="FQ8" s="161"/>
      <c r="FR8" s="161"/>
      <c r="FS8" s="161"/>
      <c r="FT8" s="161"/>
      <c r="FU8" s="161"/>
      <c r="FV8" s="161"/>
      <c r="FW8" s="161"/>
      <c r="FX8" s="161"/>
      <c r="FY8" s="161"/>
      <c r="FZ8" s="161"/>
      <c r="GA8" s="161"/>
      <c r="GB8" s="161"/>
      <c r="GC8" s="161"/>
      <c r="GD8" s="161"/>
      <c r="GE8" s="161"/>
      <c r="GF8" s="161"/>
      <c r="GG8" s="161"/>
      <c r="GH8" s="161"/>
      <c r="GI8" s="161"/>
      <c r="GJ8" s="161"/>
      <c r="GK8" s="161"/>
      <c r="GL8" s="161"/>
      <c r="GM8" s="161"/>
      <c r="GN8" s="161"/>
      <c r="GO8" s="161"/>
      <c r="GP8" s="161"/>
      <c r="GQ8" s="161"/>
      <c r="GR8" s="161"/>
      <c r="GS8" s="161"/>
      <c r="GT8" s="161"/>
      <c r="GU8" s="161"/>
      <c r="GV8" s="161"/>
      <c r="GW8" s="161"/>
      <c r="GX8" s="161"/>
      <c r="GY8" s="161"/>
      <c r="GZ8" s="161"/>
      <c r="HA8" s="161"/>
      <c r="HB8" s="161"/>
      <c r="HC8" s="161"/>
      <c r="HD8" s="161"/>
      <c r="HE8" s="161"/>
      <c r="HF8" s="161"/>
      <c r="HG8" s="161"/>
      <c r="HH8" s="161"/>
      <c r="HI8" s="161"/>
      <c r="HJ8" s="161"/>
      <c r="HK8" s="161"/>
      <c r="HL8" s="161"/>
      <c r="HM8" s="161"/>
      <c r="HN8" s="161"/>
      <c r="HO8" s="161"/>
      <c r="HP8" s="161"/>
      <c r="HQ8" s="161"/>
      <c r="HR8" s="161"/>
      <c r="HS8" s="161"/>
      <c r="HT8" s="161"/>
      <c r="HU8" s="161"/>
      <c r="HV8" s="161"/>
      <c r="HW8" s="161"/>
      <c r="HX8" s="161"/>
      <c r="HY8" s="161"/>
      <c r="HZ8" s="161"/>
      <c r="IA8" s="161"/>
      <c r="IB8" s="292"/>
      <c r="IC8" s="292"/>
      <c r="ID8" s="292"/>
      <c r="IE8" s="292"/>
      <c r="IF8" s="292"/>
      <c r="IG8" s="292"/>
      <c r="IH8" s="292"/>
      <c r="II8" s="292"/>
      <c r="IJ8" s="292"/>
      <c r="IK8" s="292"/>
      <c r="IL8" s="292"/>
      <c r="IM8" s="292"/>
      <c r="IN8" s="292"/>
      <c r="IO8" s="292"/>
      <c r="IP8" s="292"/>
      <c r="IQ8" s="292"/>
      <c r="IR8" s="292"/>
      <c r="IS8" s="292"/>
      <c r="IT8" s="292"/>
      <c r="IU8" s="290"/>
      <c r="IV8" s="290"/>
    </row>
    <row r="9" s="105" customFormat="1" ht="38" customHeight="1" spans="1:256">
      <c r="A9" s="125">
        <v>44400</v>
      </c>
      <c r="B9" s="126" t="s">
        <v>3465</v>
      </c>
      <c r="C9" s="127" t="s">
        <v>3255</v>
      </c>
      <c r="D9" s="126">
        <v>4500057788</v>
      </c>
      <c r="E9" s="126">
        <v>4400066168</v>
      </c>
      <c r="F9" s="128" t="s">
        <v>3246</v>
      </c>
      <c r="G9" s="127" t="s">
        <v>3247</v>
      </c>
      <c r="H9" s="126">
        <v>7644</v>
      </c>
      <c r="I9" s="126">
        <v>0</v>
      </c>
      <c r="J9" s="126">
        <v>6</v>
      </c>
      <c r="K9" s="161">
        <f t="shared" si="1"/>
        <v>1274</v>
      </c>
      <c r="L9" s="162">
        <v>44606</v>
      </c>
      <c r="M9" s="162">
        <v>44606</v>
      </c>
      <c r="N9" s="163"/>
      <c r="O9" s="164" t="s">
        <v>56</v>
      </c>
      <c r="P9" s="169" t="s">
        <v>4506</v>
      </c>
      <c r="Q9" s="169">
        <v>44926</v>
      </c>
      <c r="R9" s="169" t="s">
        <v>58</v>
      </c>
      <c r="S9" s="164" t="s">
        <v>58</v>
      </c>
      <c r="T9" s="164" t="s">
        <v>3468</v>
      </c>
      <c r="U9" s="198" t="s">
        <v>4507</v>
      </c>
      <c r="V9" s="126" t="s">
        <v>1775</v>
      </c>
      <c r="W9" s="199">
        <v>3.8175</v>
      </c>
      <c r="X9" s="200">
        <f t="shared" si="2"/>
        <v>29180.97</v>
      </c>
      <c r="Y9" s="236">
        <v>58124</v>
      </c>
      <c r="Z9" s="126"/>
      <c r="AA9" s="246">
        <v>7644</v>
      </c>
      <c r="AB9" s="247" t="s">
        <v>58</v>
      </c>
      <c r="AC9" s="247"/>
      <c r="AD9" s="126">
        <f t="shared" si="0"/>
        <v>7644</v>
      </c>
      <c r="AE9" s="237"/>
      <c r="AF9" s="237"/>
      <c r="AG9" s="237"/>
      <c r="AH9" s="237"/>
      <c r="AI9" s="237"/>
      <c r="AJ9" s="271">
        <f t="shared" si="3"/>
        <v>7644</v>
      </c>
      <c r="AK9" s="271">
        <f t="shared" si="4"/>
        <v>7644</v>
      </c>
      <c r="AL9" s="271"/>
      <c r="AM9" s="278">
        <v>44608</v>
      </c>
      <c r="AN9" s="161"/>
      <c r="AO9" s="161"/>
      <c r="AP9" s="126"/>
      <c r="AQ9" s="161"/>
      <c r="AR9" s="161"/>
      <c r="AS9" s="161"/>
      <c r="AT9" s="161"/>
      <c r="AU9" s="161"/>
      <c r="AV9" s="161"/>
      <c r="AW9" s="161"/>
      <c r="AX9" s="161"/>
      <c r="AY9" s="161"/>
      <c r="AZ9" s="161"/>
      <c r="BA9" s="161"/>
      <c r="BB9" s="161"/>
      <c r="BC9" s="161"/>
      <c r="BD9" s="161"/>
      <c r="BE9" s="161"/>
      <c r="BF9" s="161"/>
      <c r="BG9" s="161"/>
      <c r="BH9" s="161"/>
      <c r="BI9" s="161"/>
      <c r="BJ9" s="161"/>
      <c r="BK9" s="161"/>
      <c r="BL9" s="161"/>
      <c r="BM9" s="161"/>
      <c r="BN9" s="161"/>
      <c r="BO9" s="161"/>
      <c r="BP9" s="161"/>
      <c r="BQ9" s="161"/>
      <c r="BR9" s="161"/>
      <c r="BS9" s="161"/>
      <c r="BT9" s="161"/>
      <c r="BU9" s="161"/>
      <c r="BV9" s="161"/>
      <c r="BW9" s="161"/>
      <c r="BX9" s="161"/>
      <c r="BY9" s="161"/>
      <c r="BZ9" s="161"/>
      <c r="CA9" s="161"/>
      <c r="CB9" s="161"/>
      <c r="CC9" s="161"/>
      <c r="CD9" s="161"/>
      <c r="CE9" s="161"/>
      <c r="CF9" s="161"/>
      <c r="CG9" s="161"/>
      <c r="CH9" s="161"/>
      <c r="CI9" s="161"/>
      <c r="CJ9" s="161"/>
      <c r="CK9" s="161"/>
      <c r="CL9" s="161"/>
      <c r="CM9" s="161"/>
      <c r="CN9" s="161"/>
      <c r="CO9" s="161"/>
      <c r="CP9" s="161"/>
      <c r="CQ9" s="161"/>
      <c r="CR9" s="161"/>
      <c r="CS9" s="161"/>
      <c r="CT9" s="161"/>
      <c r="CU9" s="161"/>
      <c r="CV9" s="161"/>
      <c r="CW9" s="161"/>
      <c r="CX9" s="161"/>
      <c r="CY9" s="161"/>
      <c r="CZ9" s="161"/>
      <c r="DA9" s="161"/>
      <c r="DB9" s="161"/>
      <c r="DC9" s="161"/>
      <c r="DD9" s="161"/>
      <c r="DE9" s="161"/>
      <c r="DF9" s="161"/>
      <c r="DG9" s="161"/>
      <c r="DH9" s="161"/>
      <c r="DI9" s="161"/>
      <c r="DJ9" s="161"/>
      <c r="DK9" s="161"/>
      <c r="DL9" s="161"/>
      <c r="DM9" s="161"/>
      <c r="DN9" s="161"/>
      <c r="DO9" s="161"/>
      <c r="DP9" s="161"/>
      <c r="DQ9" s="161"/>
      <c r="DR9" s="161"/>
      <c r="DS9" s="161"/>
      <c r="DT9" s="161"/>
      <c r="DU9" s="161"/>
      <c r="DV9" s="161"/>
      <c r="DW9" s="161"/>
      <c r="DX9" s="161"/>
      <c r="DY9" s="161"/>
      <c r="DZ9" s="161"/>
      <c r="EA9" s="161"/>
      <c r="EB9" s="161"/>
      <c r="EC9" s="161"/>
      <c r="ED9" s="161"/>
      <c r="EE9" s="161"/>
      <c r="EF9" s="161"/>
      <c r="EG9" s="161"/>
      <c r="EH9" s="161"/>
      <c r="EI9" s="161"/>
      <c r="EJ9" s="161"/>
      <c r="EK9" s="161"/>
      <c r="EL9" s="161"/>
      <c r="EM9" s="161"/>
      <c r="EN9" s="161"/>
      <c r="EO9" s="161"/>
      <c r="EP9" s="161"/>
      <c r="EQ9" s="161"/>
      <c r="ER9" s="161"/>
      <c r="ES9" s="161"/>
      <c r="ET9" s="161"/>
      <c r="EU9" s="161"/>
      <c r="EV9" s="161"/>
      <c r="EW9" s="161"/>
      <c r="EX9" s="161"/>
      <c r="EY9" s="161"/>
      <c r="EZ9" s="161"/>
      <c r="FA9" s="161"/>
      <c r="FB9" s="161"/>
      <c r="FC9" s="161"/>
      <c r="FD9" s="161"/>
      <c r="FE9" s="161"/>
      <c r="FF9" s="161"/>
      <c r="FG9" s="161"/>
      <c r="FH9" s="161"/>
      <c r="FI9" s="161"/>
      <c r="FJ9" s="161"/>
      <c r="FK9" s="161"/>
      <c r="FL9" s="161"/>
      <c r="FM9" s="161"/>
      <c r="FN9" s="161"/>
      <c r="FO9" s="161"/>
      <c r="FP9" s="161"/>
      <c r="FQ9" s="161"/>
      <c r="FR9" s="161"/>
      <c r="FS9" s="161"/>
      <c r="FT9" s="161"/>
      <c r="FU9" s="161"/>
      <c r="FV9" s="161"/>
      <c r="FW9" s="161"/>
      <c r="FX9" s="161"/>
      <c r="FY9" s="161"/>
      <c r="FZ9" s="161"/>
      <c r="GA9" s="161"/>
      <c r="GB9" s="161"/>
      <c r="GC9" s="161"/>
      <c r="GD9" s="161"/>
      <c r="GE9" s="161"/>
      <c r="GF9" s="161"/>
      <c r="GG9" s="161"/>
      <c r="GH9" s="161"/>
      <c r="GI9" s="161"/>
      <c r="GJ9" s="161"/>
      <c r="GK9" s="161"/>
      <c r="GL9" s="161"/>
      <c r="GM9" s="161"/>
      <c r="GN9" s="161"/>
      <c r="GO9" s="161"/>
      <c r="GP9" s="161"/>
      <c r="GQ9" s="161"/>
      <c r="GR9" s="161"/>
      <c r="GS9" s="161"/>
      <c r="GT9" s="161"/>
      <c r="GU9" s="161"/>
      <c r="GV9" s="161"/>
      <c r="GW9" s="161"/>
      <c r="GX9" s="161"/>
      <c r="GY9" s="161"/>
      <c r="GZ9" s="161"/>
      <c r="HA9" s="161"/>
      <c r="HB9" s="161"/>
      <c r="HC9" s="161"/>
      <c r="HD9" s="161"/>
      <c r="HE9" s="161"/>
      <c r="HF9" s="161"/>
      <c r="HG9" s="161"/>
      <c r="HH9" s="161"/>
      <c r="HI9" s="161"/>
      <c r="HJ9" s="161"/>
      <c r="HK9" s="161"/>
      <c r="HL9" s="161"/>
      <c r="HM9" s="161"/>
      <c r="HN9" s="161"/>
      <c r="HO9" s="161"/>
      <c r="HP9" s="161"/>
      <c r="HQ9" s="161"/>
      <c r="HR9" s="161"/>
      <c r="HS9" s="161"/>
      <c r="HT9" s="161"/>
      <c r="HU9" s="161"/>
      <c r="HV9" s="161"/>
      <c r="HW9" s="161"/>
      <c r="HX9" s="161"/>
      <c r="HY9" s="161"/>
      <c r="HZ9" s="161"/>
      <c r="IA9" s="161"/>
      <c r="IB9" s="292"/>
      <c r="IC9" s="292"/>
      <c r="ID9" s="292"/>
      <c r="IE9" s="292"/>
      <c r="IF9" s="292"/>
      <c r="IG9" s="292"/>
      <c r="IH9" s="292"/>
      <c r="II9" s="292"/>
      <c r="IJ9" s="292"/>
      <c r="IK9" s="292"/>
      <c r="IL9" s="292"/>
      <c r="IM9" s="292"/>
      <c r="IN9" s="292"/>
      <c r="IO9" s="292"/>
      <c r="IP9" s="292"/>
      <c r="IQ9" s="292"/>
      <c r="IR9" s="292"/>
      <c r="IS9" s="292"/>
      <c r="IT9" s="292"/>
      <c r="IU9" s="290"/>
      <c r="IV9" s="290"/>
    </row>
    <row r="10" s="105" customFormat="1" ht="38" customHeight="1" spans="1:256">
      <c r="A10" s="125">
        <v>44400</v>
      </c>
      <c r="B10" s="126" t="s">
        <v>3465</v>
      </c>
      <c r="C10" s="127" t="s">
        <v>3255</v>
      </c>
      <c r="D10" s="126">
        <v>4500057788</v>
      </c>
      <c r="E10" s="126">
        <v>4400233602</v>
      </c>
      <c r="F10" s="128" t="s">
        <v>3246</v>
      </c>
      <c r="G10" s="127" t="s">
        <v>3247</v>
      </c>
      <c r="H10" s="126">
        <v>6588</v>
      </c>
      <c r="I10" s="126">
        <v>0</v>
      </c>
      <c r="J10" s="126">
        <v>6</v>
      </c>
      <c r="K10" s="161">
        <f t="shared" si="1"/>
        <v>1098</v>
      </c>
      <c r="L10" s="162">
        <v>44613</v>
      </c>
      <c r="M10" s="162">
        <v>44609</v>
      </c>
      <c r="N10" s="163"/>
      <c r="O10" s="164" t="s">
        <v>56</v>
      </c>
      <c r="P10" s="169" t="s">
        <v>4508</v>
      </c>
      <c r="Q10" s="169">
        <v>44926</v>
      </c>
      <c r="R10" s="169" t="s">
        <v>58</v>
      </c>
      <c r="S10" s="164" t="s">
        <v>58</v>
      </c>
      <c r="T10" s="164" t="s">
        <v>3468</v>
      </c>
      <c r="U10" s="198" t="s">
        <v>4507</v>
      </c>
      <c r="V10" s="126" t="s">
        <v>1775</v>
      </c>
      <c r="W10" s="199">
        <v>3.8175</v>
      </c>
      <c r="X10" s="200">
        <f t="shared" si="2"/>
        <v>25149.69</v>
      </c>
      <c r="Y10" s="236">
        <v>58211</v>
      </c>
      <c r="Z10" s="126"/>
      <c r="AA10" s="246">
        <f>4158+2430</f>
        <v>6588</v>
      </c>
      <c r="AB10" s="247" t="s">
        <v>58</v>
      </c>
      <c r="AC10" s="247"/>
      <c r="AD10" s="126">
        <f t="shared" si="0"/>
        <v>6588</v>
      </c>
      <c r="AE10" s="237"/>
      <c r="AF10" s="237"/>
      <c r="AG10" s="237"/>
      <c r="AH10" s="237"/>
      <c r="AI10" s="237"/>
      <c r="AJ10" s="271">
        <f t="shared" si="3"/>
        <v>6588</v>
      </c>
      <c r="AK10" s="271">
        <f t="shared" si="4"/>
        <v>6588</v>
      </c>
      <c r="AL10" s="271"/>
      <c r="AM10" s="278">
        <v>44623</v>
      </c>
      <c r="AN10" s="161"/>
      <c r="AO10" s="161"/>
      <c r="AP10" s="126"/>
      <c r="AQ10" s="161"/>
      <c r="AR10" s="161"/>
      <c r="AS10" s="161"/>
      <c r="AT10" s="161"/>
      <c r="AU10" s="161"/>
      <c r="AV10" s="161"/>
      <c r="AW10" s="161"/>
      <c r="AX10" s="161"/>
      <c r="AY10" s="161"/>
      <c r="AZ10" s="161"/>
      <c r="BA10" s="161"/>
      <c r="BB10" s="161"/>
      <c r="BC10" s="161"/>
      <c r="BD10" s="161"/>
      <c r="BE10" s="161"/>
      <c r="BF10" s="161"/>
      <c r="BG10" s="161"/>
      <c r="BH10" s="161"/>
      <c r="BI10" s="161"/>
      <c r="BJ10" s="161"/>
      <c r="BK10" s="161"/>
      <c r="BL10" s="161"/>
      <c r="BM10" s="161"/>
      <c r="BN10" s="161"/>
      <c r="BO10" s="161"/>
      <c r="BP10" s="161"/>
      <c r="BQ10" s="161"/>
      <c r="BR10" s="161"/>
      <c r="BS10" s="161"/>
      <c r="BT10" s="161"/>
      <c r="BU10" s="161"/>
      <c r="BV10" s="161"/>
      <c r="BW10" s="161"/>
      <c r="BX10" s="161"/>
      <c r="BY10" s="161"/>
      <c r="BZ10" s="161"/>
      <c r="CA10" s="161"/>
      <c r="CB10" s="161"/>
      <c r="CC10" s="161"/>
      <c r="CD10" s="161"/>
      <c r="CE10" s="161"/>
      <c r="CF10" s="161"/>
      <c r="CG10" s="161"/>
      <c r="CH10" s="161"/>
      <c r="CI10" s="161"/>
      <c r="CJ10" s="161"/>
      <c r="CK10" s="161"/>
      <c r="CL10" s="161"/>
      <c r="CM10" s="161"/>
      <c r="CN10" s="161"/>
      <c r="CO10" s="161"/>
      <c r="CP10" s="161"/>
      <c r="CQ10" s="161"/>
      <c r="CR10" s="161"/>
      <c r="CS10" s="161"/>
      <c r="CT10" s="161"/>
      <c r="CU10" s="161"/>
      <c r="CV10" s="161"/>
      <c r="CW10" s="161"/>
      <c r="CX10" s="161"/>
      <c r="CY10" s="161"/>
      <c r="CZ10" s="161"/>
      <c r="DA10" s="161"/>
      <c r="DB10" s="161"/>
      <c r="DC10" s="161"/>
      <c r="DD10" s="161"/>
      <c r="DE10" s="161"/>
      <c r="DF10" s="161"/>
      <c r="DG10" s="161"/>
      <c r="DH10" s="161"/>
      <c r="DI10" s="161"/>
      <c r="DJ10" s="161"/>
      <c r="DK10" s="161"/>
      <c r="DL10" s="161"/>
      <c r="DM10" s="161"/>
      <c r="DN10" s="161"/>
      <c r="DO10" s="161"/>
      <c r="DP10" s="161"/>
      <c r="DQ10" s="161"/>
      <c r="DR10" s="161"/>
      <c r="DS10" s="161"/>
      <c r="DT10" s="161"/>
      <c r="DU10" s="161"/>
      <c r="DV10" s="161"/>
      <c r="DW10" s="161"/>
      <c r="DX10" s="161"/>
      <c r="DY10" s="161"/>
      <c r="DZ10" s="161"/>
      <c r="EA10" s="161"/>
      <c r="EB10" s="161"/>
      <c r="EC10" s="161"/>
      <c r="ED10" s="161"/>
      <c r="EE10" s="161"/>
      <c r="EF10" s="161"/>
      <c r="EG10" s="161"/>
      <c r="EH10" s="161"/>
      <c r="EI10" s="161"/>
      <c r="EJ10" s="161"/>
      <c r="EK10" s="161"/>
      <c r="EL10" s="161"/>
      <c r="EM10" s="161"/>
      <c r="EN10" s="161"/>
      <c r="EO10" s="161"/>
      <c r="EP10" s="161"/>
      <c r="EQ10" s="161"/>
      <c r="ER10" s="161"/>
      <c r="ES10" s="161"/>
      <c r="ET10" s="161"/>
      <c r="EU10" s="161"/>
      <c r="EV10" s="161"/>
      <c r="EW10" s="161"/>
      <c r="EX10" s="161"/>
      <c r="EY10" s="161"/>
      <c r="EZ10" s="161"/>
      <c r="FA10" s="161"/>
      <c r="FB10" s="161"/>
      <c r="FC10" s="161"/>
      <c r="FD10" s="161"/>
      <c r="FE10" s="161"/>
      <c r="FF10" s="161"/>
      <c r="FG10" s="161"/>
      <c r="FH10" s="161"/>
      <c r="FI10" s="161"/>
      <c r="FJ10" s="161"/>
      <c r="FK10" s="161"/>
      <c r="FL10" s="161"/>
      <c r="FM10" s="161"/>
      <c r="FN10" s="161"/>
      <c r="FO10" s="161"/>
      <c r="FP10" s="161"/>
      <c r="FQ10" s="161"/>
      <c r="FR10" s="161"/>
      <c r="FS10" s="161"/>
      <c r="FT10" s="161"/>
      <c r="FU10" s="161"/>
      <c r="FV10" s="161"/>
      <c r="FW10" s="161"/>
      <c r="FX10" s="161"/>
      <c r="FY10" s="161"/>
      <c r="FZ10" s="161"/>
      <c r="GA10" s="161"/>
      <c r="GB10" s="161"/>
      <c r="GC10" s="161"/>
      <c r="GD10" s="161"/>
      <c r="GE10" s="161"/>
      <c r="GF10" s="161"/>
      <c r="GG10" s="161"/>
      <c r="GH10" s="161"/>
      <c r="GI10" s="161"/>
      <c r="GJ10" s="161"/>
      <c r="GK10" s="161"/>
      <c r="GL10" s="161"/>
      <c r="GM10" s="161"/>
      <c r="GN10" s="161"/>
      <c r="GO10" s="161"/>
      <c r="GP10" s="161"/>
      <c r="GQ10" s="161"/>
      <c r="GR10" s="161"/>
      <c r="GS10" s="161"/>
      <c r="GT10" s="161"/>
      <c r="GU10" s="161"/>
      <c r="GV10" s="161"/>
      <c r="GW10" s="161"/>
      <c r="GX10" s="161"/>
      <c r="GY10" s="161"/>
      <c r="GZ10" s="161"/>
      <c r="HA10" s="161"/>
      <c r="HB10" s="161"/>
      <c r="HC10" s="161"/>
      <c r="HD10" s="161"/>
      <c r="HE10" s="161"/>
      <c r="HF10" s="161"/>
      <c r="HG10" s="161"/>
      <c r="HH10" s="161"/>
      <c r="HI10" s="161"/>
      <c r="HJ10" s="161"/>
      <c r="HK10" s="161"/>
      <c r="HL10" s="161"/>
      <c r="HM10" s="161"/>
      <c r="HN10" s="161"/>
      <c r="HO10" s="161"/>
      <c r="HP10" s="161"/>
      <c r="HQ10" s="161"/>
      <c r="HR10" s="161"/>
      <c r="HS10" s="161"/>
      <c r="HT10" s="161"/>
      <c r="HU10" s="161"/>
      <c r="HV10" s="161"/>
      <c r="HW10" s="161"/>
      <c r="HX10" s="161"/>
      <c r="HY10" s="161"/>
      <c r="HZ10" s="161"/>
      <c r="IA10" s="161"/>
      <c r="IB10" s="292"/>
      <c r="IC10" s="292"/>
      <c r="ID10" s="292"/>
      <c r="IE10" s="292"/>
      <c r="IF10" s="292"/>
      <c r="IG10" s="292"/>
      <c r="IH10" s="292"/>
      <c r="II10" s="292"/>
      <c r="IJ10" s="292"/>
      <c r="IK10" s="292"/>
      <c r="IL10" s="292"/>
      <c r="IM10" s="292"/>
      <c r="IN10" s="292"/>
      <c r="IO10" s="292"/>
      <c r="IP10" s="292"/>
      <c r="IQ10" s="292"/>
      <c r="IR10" s="292"/>
      <c r="IS10" s="292"/>
      <c r="IT10" s="292"/>
      <c r="IU10" s="290"/>
      <c r="IV10" s="290"/>
    </row>
    <row r="11" s="105" customFormat="1" ht="38" customHeight="1" spans="1:256">
      <c r="A11" s="125">
        <v>44400</v>
      </c>
      <c r="B11" s="126" t="s">
        <v>3465</v>
      </c>
      <c r="C11" s="127" t="s">
        <v>3255</v>
      </c>
      <c r="D11" s="126">
        <v>4500057788</v>
      </c>
      <c r="E11" s="126">
        <v>4400053805</v>
      </c>
      <c r="F11" s="128" t="s">
        <v>3246</v>
      </c>
      <c r="G11" s="127" t="s">
        <v>3247</v>
      </c>
      <c r="H11" s="126">
        <v>7644</v>
      </c>
      <c r="I11" s="126">
        <v>0</v>
      </c>
      <c r="J11" s="126">
        <v>6</v>
      </c>
      <c r="K11" s="161">
        <f t="shared" si="1"/>
        <v>1274</v>
      </c>
      <c r="L11" s="162">
        <v>44609</v>
      </c>
      <c r="M11" s="162">
        <v>44627</v>
      </c>
      <c r="N11" s="163"/>
      <c r="O11" s="164" t="s">
        <v>56</v>
      </c>
      <c r="P11" s="169" t="s">
        <v>4509</v>
      </c>
      <c r="Q11" s="169">
        <v>44926</v>
      </c>
      <c r="R11" s="169" t="s">
        <v>58</v>
      </c>
      <c r="S11" s="164" t="s">
        <v>58</v>
      </c>
      <c r="T11" s="164" t="s">
        <v>3468</v>
      </c>
      <c r="U11" s="198" t="s">
        <v>4507</v>
      </c>
      <c r="V11" s="126" t="s">
        <v>1775</v>
      </c>
      <c r="W11" s="199">
        <v>3.8175</v>
      </c>
      <c r="X11" s="200">
        <f t="shared" si="2"/>
        <v>29180.97</v>
      </c>
      <c r="Y11" s="236">
        <v>58307</v>
      </c>
      <c r="Z11" s="126"/>
      <c r="AA11" s="246">
        <f>3456+2100+2088</f>
        <v>7644</v>
      </c>
      <c r="AB11" s="247" t="s">
        <v>58</v>
      </c>
      <c r="AC11" s="247"/>
      <c r="AD11" s="126">
        <f t="shared" si="0"/>
        <v>7644</v>
      </c>
      <c r="AE11" s="237"/>
      <c r="AF11" s="237"/>
      <c r="AG11" s="237"/>
      <c r="AH11" s="237"/>
      <c r="AI11" s="237"/>
      <c r="AJ11" s="271">
        <f t="shared" si="3"/>
        <v>7644</v>
      </c>
      <c r="AK11" s="271">
        <f t="shared" si="4"/>
        <v>7644</v>
      </c>
      <c r="AL11" s="271"/>
      <c r="AM11" s="278">
        <v>44620</v>
      </c>
      <c r="AN11" s="161"/>
      <c r="AO11" s="161"/>
      <c r="AP11" s="126"/>
      <c r="AQ11" s="161"/>
      <c r="AR11" s="161"/>
      <c r="AS11" s="161"/>
      <c r="AT11" s="161"/>
      <c r="AU11" s="161"/>
      <c r="AV11" s="161"/>
      <c r="AW11" s="161"/>
      <c r="AX11" s="161"/>
      <c r="AY11" s="161"/>
      <c r="AZ11" s="161"/>
      <c r="BA11" s="161"/>
      <c r="BB11" s="161"/>
      <c r="BC11" s="161"/>
      <c r="BD11" s="161"/>
      <c r="BE11" s="161"/>
      <c r="BF11" s="161"/>
      <c r="BG11" s="161"/>
      <c r="BH11" s="161"/>
      <c r="BI11" s="161"/>
      <c r="BJ11" s="161"/>
      <c r="BK11" s="161"/>
      <c r="BL11" s="161"/>
      <c r="BM11" s="161"/>
      <c r="BN11" s="161"/>
      <c r="BO11" s="161"/>
      <c r="BP11" s="161"/>
      <c r="BQ11" s="161"/>
      <c r="BR11" s="161"/>
      <c r="BS11" s="161"/>
      <c r="BT11" s="161"/>
      <c r="BU11" s="161"/>
      <c r="BV11" s="161"/>
      <c r="BW11" s="161"/>
      <c r="BX11" s="161"/>
      <c r="BY11" s="161"/>
      <c r="BZ11" s="161"/>
      <c r="CA11" s="161"/>
      <c r="CB11" s="161"/>
      <c r="CC11" s="161"/>
      <c r="CD11" s="161"/>
      <c r="CE11" s="161"/>
      <c r="CF11" s="161"/>
      <c r="CG11" s="161"/>
      <c r="CH11" s="161"/>
      <c r="CI11" s="161"/>
      <c r="CJ11" s="161"/>
      <c r="CK11" s="161"/>
      <c r="CL11" s="161"/>
      <c r="CM11" s="161"/>
      <c r="CN11" s="161"/>
      <c r="CO11" s="161"/>
      <c r="CP11" s="161"/>
      <c r="CQ11" s="161"/>
      <c r="CR11" s="161"/>
      <c r="CS11" s="161"/>
      <c r="CT11" s="161"/>
      <c r="CU11" s="161"/>
      <c r="CV11" s="161"/>
      <c r="CW11" s="161"/>
      <c r="CX11" s="161"/>
      <c r="CY11" s="161"/>
      <c r="CZ11" s="161"/>
      <c r="DA11" s="161"/>
      <c r="DB11" s="161"/>
      <c r="DC11" s="161"/>
      <c r="DD11" s="161"/>
      <c r="DE11" s="161"/>
      <c r="DF11" s="161"/>
      <c r="DG11" s="161"/>
      <c r="DH11" s="161"/>
      <c r="DI11" s="161"/>
      <c r="DJ11" s="161"/>
      <c r="DK11" s="161"/>
      <c r="DL11" s="161"/>
      <c r="DM11" s="161"/>
      <c r="DN11" s="161"/>
      <c r="DO11" s="161"/>
      <c r="DP11" s="161"/>
      <c r="DQ11" s="161"/>
      <c r="DR11" s="161"/>
      <c r="DS11" s="161"/>
      <c r="DT11" s="161"/>
      <c r="DU11" s="161"/>
      <c r="DV11" s="161"/>
      <c r="DW11" s="161"/>
      <c r="DX11" s="161"/>
      <c r="DY11" s="161"/>
      <c r="DZ11" s="161"/>
      <c r="EA11" s="161"/>
      <c r="EB11" s="161"/>
      <c r="EC11" s="161"/>
      <c r="ED11" s="161"/>
      <c r="EE11" s="161"/>
      <c r="EF11" s="161"/>
      <c r="EG11" s="161"/>
      <c r="EH11" s="161"/>
      <c r="EI11" s="161"/>
      <c r="EJ11" s="161"/>
      <c r="EK11" s="161"/>
      <c r="EL11" s="161"/>
      <c r="EM11" s="161"/>
      <c r="EN11" s="161"/>
      <c r="EO11" s="161"/>
      <c r="EP11" s="161"/>
      <c r="EQ11" s="161"/>
      <c r="ER11" s="161"/>
      <c r="ES11" s="161"/>
      <c r="ET11" s="161"/>
      <c r="EU11" s="161"/>
      <c r="EV11" s="161"/>
      <c r="EW11" s="161"/>
      <c r="EX11" s="161"/>
      <c r="EY11" s="161"/>
      <c r="EZ11" s="161"/>
      <c r="FA11" s="161"/>
      <c r="FB11" s="161"/>
      <c r="FC11" s="161"/>
      <c r="FD11" s="161"/>
      <c r="FE11" s="161"/>
      <c r="FF11" s="161"/>
      <c r="FG11" s="161"/>
      <c r="FH11" s="161"/>
      <c r="FI11" s="161"/>
      <c r="FJ11" s="161"/>
      <c r="FK11" s="161"/>
      <c r="FL11" s="161"/>
      <c r="FM11" s="161"/>
      <c r="FN11" s="161"/>
      <c r="FO11" s="161"/>
      <c r="FP11" s="161"/>
      <c r="FQ11" s="161"/>
      <c r="FR11" s="161"/>
      <c r="FS11" s="161"/>
      <c r="FT11" s="161"/>
      <c r="FU11" s="161"/>
      <c r="FV11" s="161"/>
      <c r="FW11" s="161"/>
      <c r="FX11" s="161"/>
      <c r="FY11" s="161"/>
      <c r="FZ11" s="161"/>
      <c r="GA11" s="161"/>
      <c r="GB11" s="161"/>
      <c r="GC11" s="161"/>
      <c r="GD11" s="161"/>
      <c r="GE11" s="161"/>
      <c r="GF11" s="161"/>
      <c r="GG11" s="161"/>
      <c r="GH11" s="161"/>
      <c r="GI11" s="161"/>
      <c r="GJ11" s="161"/>
      <c r="GK11" s="161"/>
      <c r="GL11" s="161"/>
      <c r="GM11" s="161"/>
      <c r="GN11" s="161"/>
      <c r="GO11" s="161"/>
      <c r="GP11" s="161"/>
      <c r="GQ11" s="161"/>
      <c r="GR11" s="161"/>
      <c r="GS11" s="161"/>
      <c r="GT11" s="161"/>
      <c r="GU11" s="161"/>
      <c r="GV11" s="161"/>
      <c r="GW11" s="161"/>
      <c r="GX11" s="161"/>
      <c r="GY11" s="161"/>
      <c r="GZ11" s="161"/>
      <c r="HA11" s="161"/>
      <c r="HB11" s="161"/>
      <c r="HC11" s="161"/>
      <c r="HD11" s="161"/>
      <c r="HE11" s="161"/>
      <c r="HF11" s="161"/>
      <c r="HG11" s="161"/>
      <c r="HH11" s="161"/>
      <c r="HI11" s="161"/>
      <c r="HJ11" s="161"/>
      <c r="HK11" s="161"/>
      <c r="HL11" s="161"/>
      <c r="HM11" s="161"/>
      <c r="HN11" s="161"/>
      <c r="HO11" s="161"/>
      <c r="HP11" s="161"/>
      <c r="HQ11" s="161"/>
      <c r="HR11" s="161"/>
      <c r="HS11" s="161"/>
      <c r="HT11" s="161"/>
      <c r="HU11" s="161"/>
      <c r="HV11" s="161"/>
      <c r="HW11" s="161"/>
      <c r="HX11" s="161"/>
      <c r="HY11" s="161"/>
      <c r="HZ11" s="161"/>
      <c r="IA11" s="161"/>
      <c r="IB11" s="292"/>
      <c r="IC11" s="292"/>
      <c r="ID11" s="292"/>
      <c r="IE11" s="292"/>
      <c r="IF11" s="292"/>
      <c r="IG11" s="292"/>
      <c r="IH11" s="292"/>
      <c r="II11" s="292"/>
      <c r="IJ11" s="292"/>
      <c r="IK11" s="292"/>
      <c r="IL11" s="292"/>
      <c r="IM11" s="292"/>
      <c r="IN11" s="292"/>
      <c r="IO11" s="292"/>
      <c r="IP11" s="292"/>
      <c r="IQ11" s="292"/>
      <c r="IR11" s="292"/>
      <c r="IS11" s="292"/>
      <c r="IT11" s="292"/>
      <c r="IU11" s="290"/>
      <c r="IV11" s="290"/>
    </row>
    <row r="12" s="105" customFormat="1" ht="38" customHeight="1" spans="1:256">
      <c r="A12" s="125">
        <v>44400</v>
      </c>
      <c r="B12" s="126" t="s">
        <v>3465</v>
      </c>
      <c r="C12" s="127" t="s">
        <v>3255</v>
      </c>
      <c r="D12" s="126">
        <v>4500057788</v>
      </c>
      <c r="E12" s="126">
        <v>4400247083</v>
      </c>
      <c r="F12" s="128" t="s">
        <v>3246</v>
      </c>
      <c r="G12" s="127" t="s">
        <v>3247</v>
      </c>
      <c r="H12" s="126">
        <v>7644</v>
      </c>
      <c r="I12" s="126">
        <v>0</v>
      </c>
      <c r="J12" s="126">
        <v>6</v>
      </c>
      <c r="K12" s="161">
        <f t="shared" si="1"/>
        <v>1274</v>
      </c>
      <c r="L12" s="162">
        <v>44620</v>
      </c>
      <c r="M12" s="162">
        <v>44634</v>
      </c>
      <c r="N12" s="163"/>
      <c r="O12" s="164" t="s">
        <v>56</v>
      </c>
      <c r="P12" s="170" t="s">
        <v>4510</v>
      </c>
      <c r="Q12" s="169">
        <v>44926</v>
      </c>
      <c r="R12" s="169" t="s">
        <v>58</v>
      </c>
      <c r="S12" s="164" t="s">
        <v>58</v>
      </c>
      <c r="T12" s="164" t="s">
        <v>3468</v>
      </c>
      <c r="U12" s="198" t="s">
        <v>4507</v>
      </c>
      <c r="V12" s="126" t="s">
        <v>1775</v>
      </c>
      <c r="W12" s="199">
        <v>3.8175</v>
      </c>
      <c r="X12" s="200">
        <f t="shared" si="2"/>
        <v>29180.97</v>
      </c>
      <c r="Y12" s="236">
        <v>58448</v>
      </c>
      <c r="Z12" s="126"/>
      <c r="AA12" s="246">
        <f>1368+3324+1728+1224</f>
        <v>7644</v>
      </c>
      <c r="AB12" s="247" t="s">
        <v>58</v>
      </c>
      <c r="AC12" s="247"/>
      <c r="AD12" s="126">
        <f t="shared" si="0"/>
        <v>7644</v>
      </c>
      <c r="AE12" s="237"/>
      <c r="AF12" s="237"/>
      <c r="AG12" s="237"/>
      <c r="AH12" s="237"/>
      <c r="AI12" s="237"/>
      <c r="AJ12" s="271">
        <f t="shared" si="3"/>
        <v>7644</v>
      </c>
      <c r="AK12" s="271">
        <f t="shared" si="4"/>
        <v>7644</v>
      </c>
      <c r="AL12" s="271"/>
      <c r="AM12" s="278">
        <v>44634</v>
      </c>
      <c r="AN12" s="161"/>
      <c r="AO12" s="161"/>
      <c r="AP12" s="126"/>
      <c r="AQ12" s="161"/>
      <c r="AR12" s="161"/>
      <c r="AS12" s="161"/>
      <c r="AT12" s="161"/>
      <c r="AU12" s="161"/>
      <c r="AV12" s="161"/>
      <c r="AW12" s="161"/>
      <c r="AX12" s="161"/>
      <c r="AY12" s="161"/>
      <c r="AZ12" s="161"/>
      <c r="BA12" s="161"/>
      <c r="BB12" s="161"/>
      <c r="BC12" s="161"/>
      <c r="BD12" s="161"/>
      <c r="BE12" s="161"/>
      <c r="BF12" s="161"/>
      <c r="BG12" s="161"/>
      <c r="BH12" s="161"/>
      <c r="BI12" s="161"/>
      <c r="BJ12" s="161"/>
      <c r="BK12" s="161"/>
      <c r="BL12" s="161"/>
      <c r="BM12" s="161"/>
      <c r="BN12" s="161"/>
      <c r="BO12" s="161"/>
      <c r="BP12" s="161"/>
      <c r="BQ12" s="161"/>
      <c r="BR12" s="161"/>
      <c r="BS12" s="161"/>
      <c r="BT12" s="161"/>
      <c r="BU12" s="161"/>
      <c r="BV12" s="161"/>
      <c r="BW12" s="161"/>
      <c r="BX12" s="161"/>
      <c r="BY12" s="161"/>
      <c r="BZ12" s="161"/>
      <c r="CA12" s="161"/>
      <c r="CB12" s="161"/>
      <c r="CC12" s="161"/>
      <c r="CD12" s="161"/>
      <c r="CE12" s="161"/>
      <c r="CF12" s="161"/>
      <c r="CG12" s="161"/>
      <c r="CH12" s="161"/>
      <c r="CI12" s="161"/>
      <c r="CJ12" s="161"/>
      <c r="CK12" s="161"/>
      <c r="CL12" s="161"/>
      <c r="CM12" s="161"/>
      <c r="CN12" s="161"/>
      <c r="CO12" s="161"/>
      <c r="CP12" s="161"/>
      <c r="CQ12" s="161"/>
      <c r="CR12" s="161"/>
      <c r="CS12" s="161"/>
      <c r="CT12" s="161"/>
      <c r="CU12" s="161"/>
      <c r="CV12" s="161"/>
      <c r="CW12" s="161"/>
      <c r="CX12" s="161"/>
      <c r="CY12" s="161"/>
      <c r="CZ12" s="161"/>
      <c r="DA12" s="161"/>
      <c r="DB12" s="161"/>
      <c r="DC12" s="161"/>
      <c r="DD12" s="161"/>
      <c r="DE12" s="161"/>
      <c r="DF12" s="161"/>
      <c r="DG12" s="161"/>
      <c r="DH12" s="161"/>
      <c r="DI12" s="161"/>
      <c r="DJ12" s="161"/>
      <c r="DK12" s="161"/>
      <c r="DL12" s="161"/>
      <c r="DM12" s="161"/>
      <c r="DN12" s="161"/>
      <c r="DO12" s="161"/>
      <c r="DP12" s="161"/>
      <c r="DQ12" s="161"/>
      <c r="DR12" s="161"/>
      <c r="DS12" s="161"/>
      <c r="DT12" s="161"/>
      <c r="DU12" s="161"/>
      <c r="DV12" s="161"/>
      <c r="DW12" s="161"/>
      <c r="DX12" s="161"/>
      <c r="DY12" s="161"/>
      <c r="DZ12" s="161"/>
      <c r="EA12" s="161"/>
      <c r="EB12" s="161"/>
      <c r="EC12" s="161"/>
      <c r="ED12" s="161"/>
      <c r="EE12" s="161"/>
      <c r="EF12" s="161"/>
      <c r="EG12" s="161"/>
      <c r="EH12" s="161"/>
      <c r="EI12" s="161"/>
      <c r="EJ12" s="161"/>
      <c r="EK12" s="161"/>
      <c r="EL12" s="161"/>
      <c r="EM12" s="161"/>
      <c r="EN12" s="161"/>
      <c r="EO12" s="161"/>
      <c r="EP12" s="161"/>
      <c r="EQ12" s="161"/>
      <c r="ER12" s="161"/>
      <c r="ES12" s="161"/>
      <c r="ET12" s="161"/>
      <c r="EU12" s="161"/>
      <c r="EV12" s="161"/>
      <c r="EW12" s="161"/>
      <c r="EX12" s="161"/>
      <c r="EY12" s="161"/>
      <c r="EZ12" s="161"/>
      <c r="FA12" s="161"/>
      <c r="FB12" s="161"/>
      <c r="FC12" s="161"/>
      <c r="FD12" s="161"/>
      <c r="FE12" s="161"/>
      <c r="FF12" s="161"/>
      <c r="FG12" s="161"/>
      <c r="FH12" s="161"/>
      <c r="FI12" s="161"/>
      <c r="FJ12" s="161"/>
      <c r="FK12" s="161"/>
      <c r="FL12" s="161"/>
      <c r="FM12" s="161"/>
      <c r="FN12" s="161"/>
      <c r="FO12" s="161"/>
      <c r="FP12" s="161"/>
      <c r="FQ12" s="161"/>
      <c r="FR12" s="161"/>
      <c r="FS12" s="161"/>
      <c r="FT12" s="161"/>
      <c r="FU12" s="161"/>
      <c r="FV12" s="161"/>
      <c r="FW12" s="161"/>
      <c r="FX12" s="161"/>
      <c r="FY12" s="161"/>
      <c r="FZ12" s="161"/>
      <c r="GA12" s="161"/>
      <c r="GB12" s="161"/>
      <c r="GC12" s="161"/>
      <c r="GD12" s="161"/>
      <c r="GE12" s="161"/>
      <c r="GF12" s="161"/>
      <c r="GG12" s="161"/>
      <c r="GH12" s="161"/>
      <c r="GI12" s="161"/>
      <c r="GJ12" s="161"/>
      <c r="GK12" s="161"/>
      <c r="GL12" s="161"/>
      <c r="GM12" s="161"/>
      <c r="GN12" s="161"/>
      <c r="GO12" s="161"/>
      <c r="GP12" s="161"/>
      <c r="GQ12" s="161"/>
      <c r="GR12" s="161"/>
      <c r="GS12" s="161"/>
      <c r="GT12" s="161"/>
      <c r="GU12" s="161"/>
      <c r="GV12" s="161"/>
      <c r="GW12" s="161"/>
      <c r="GX12" s="161"/>
      <c r="GY12" s="161"/>
      <c r="GZ12" s="161"/>
      <c r="HA12" s="161"/>
      <c r="HB12" s="161"/>
      <c r="HC12" s="161"/>
      <c r="HD12" s="161"/>
      <c r="HE12" s="161"/>
      <c r="HF12" s="161"/>
      <c r="HG12" s="161"/>
      <c r="HH12" s="161"/>
      <c r="HI12" s="161"/>
      <c r="HJ12" s="161"/>
      <c r="HK12" s="161"/>
      <c r="HL12" s="161"/>
      <c r="HM12" s="161"/>
      <c r="HN12" s="161"/>
      <c r="HO12" s="161"/>
      <c r="HP12" s="161"/>
      <c r="HQ12" s="161"/>
      <c r="HR12" s="161"/>
      <c r="HS12" s="161"/>
      <c r="HT12" s="161"/>
      <c r="HU12" s="161"/>
      <c r="HV12" s="161"/>
      <c r="HW12" s="161"/>
      <c r="HX12" s="161"/>
      <c r="HY12" s="161"/>
      <c r="HZ12" s="161"/>
      <c r="IA12" s="161"/>
      <c r="IB12" s="292"/>
      <c r="IC12" s="292"/>
      <c r="ID12" s="292"/>
      <c r="IE12" s="292"/>
      <c r="IF12" s="292"/>
      <c r="IG12" s="292"/>
      <c r="IH12" s="292"/>
      <c r="II12" s="292"/>
      <c r="IJ12" s="292"/>
      <c r="IK12" s="292"/>
      <c r="IL12" s="292"/>
      <c r="IM12" s="292"/>
      <c r="IN12" s="292"/>
      <c r="IO12" s="292"/>
      <c r="IP12" s="292"/>
      <c r="IQ12" s="292"/>
      <c r="IR12" s="292"/>
      <c r="IS12" s="292"/>
      <c r="IT12" s="292"/>
      <c r="IU12" s="290"/>
      <c r="IV12" s="290"/>
    </row>
    <row r="13" s="105" customFormat="1" ht="38" customHeight="1" spans="1:256">
      <c r="A13" s="125">
        <v>44400</v>
      </c>
      <c r="B13" s="126" t="s">
        <v>3465</v>
      </c>
      <c r="C13" s="127" t="s">
        <v>3255</v>
      </c>
      <c r="D13" s="126">
        <v>4500057788</v>
      </c>
      <c r="E13" s="126">
        <v>4400049322</v>
      </c>
      <c r="F13" s="128" t="s">
        <v>3246</v>
      </c>
      <c r="G13" s="127" t="s">
        <v>3247</v>
      </c>
      <c r="H13" s="126">
        <v>7644</v>
      </c>
      <c r="I13" s="126">
        <v>0</v>
      </c>
      <c r="J13" s="126">
        <v>6</v>
      </c>
      <c r="K13" s="161">
        <f t="shared" si="1"/>
        <v>1274</v>
      </c>
      <c r="L13" s="162">
        <v>44609</v>
      </c>
      <c r="M13" s="162">
        <v>44636</v>
      </c>
      <c r="N13" s="163"/>
      <c r="O13" s="164" t="s">
        <v>56</v>
      </c>
      <c r="P13" s="169" t="s">
        <v>4511</v>
      </c>
      <c r="Q13" s="169">
        <v>44926</v>
      </c>
      <c r="R13" s="169" t="s">
        <v>58</v>
      </c>
      <c r="S13" s="164" t="s">
        <v>58</v>
      </c>
      <c r="T13" s="164" t="s">
        <v>3468</v>
      </c>
      <c r="U13" s="198" t="s">
        <v>4507</v>
      </c>
      <c r="V13" s="126" t="s">
        <v>1775</v>
      </c>
      <c r="W13" s="199">
        <v>3.8175</v>
      </c>
      <c r="X13" s="200">
        <f t="shared" si="2"/>
        <v>29180.97</v>
      </c>
      <c r="Y13" s="236">
        <v>58448</v>
      </c>
      <c r="Z13" s="126"/>
      <c r="AA13" s="246">
        <f>972+1704+972+3696+300</f>
        <v>7644</v>
      </c>
      <c r="AB13" s="247" t="s">
        <v>58</v>
      </c>
      <c r="AC13" s="247"/>
      <c r="AD13" s="126">
        <f t="shared" si="0"/>
        <v>7644</v>
      </c>
      <c r="AE13" s="237"/>
      <c r="AF13" s="237"/>
      <c r="AG13" s="237"/>
      <c r="AH13" s="237"/>
      <c r="AI13" s="237"/>
      <c r="AJ13" s="271">
        <f t="shared" si="3"/>
        <v>7644</v>
      </c>
      <c r="AK13" s="271">
        <f t="shared" si="4"/>
        <v>7644</v>
      </c>
      <c r="AL13" s="271"/>
      <c r="AM13" s="278">
        <v>44614</v>
      </c>
      <c r="AN13" s="161"/>
      <c r="AO13" s="161"/>
      <c r="AP13" s="126"/>
      <c r="AQ13" s="161"/>
      <c r="AR13" s="161"/>
      <c r="AS13" s="161"/>
      <c r="AT13" s="161"/>
      <c r="AU13" s="161"/>
      <c r="AV13" s="161"/>
      <c r="AW13" s="161"/>
      <c r="AX13" s="161"/>
      <c r="AY13" s="161"/>
      <c r="AZ13" s="161"/>
      <c r="BA13" s="161"/>
      <c r="BB13" s="161"/>
      <c r="BC13" s="161"/>
      <c r="BD13" s="161"/>
      <c r="BE13" s="161"/>
      <c r="BF13" s="161"/>
      <c r="BG13" s="161"/>
      <c r="BH13" s="161"/>
      <c r="BI13" s="161"/>
      <c r="BJ13" s="161"/>
      <c r="BK13" s="161"/>
      <c r="BL13" s="161"/>
      <c r="BM13" s="161"/>
      <c r="BN13" s="161"/>
      <c r="BO13" s="161"/>
      <c r="BP13" s="161"/>
      <c r="BQ13" s="161"/>
      <c r="BR13" s="161"/>
      <c r="BS13" s="161"/>
      <c r="BT13" s="161"/>
      <c r="BU13" s="161"/>
      <c r="BV13" s="161"/>
      <c r="BW13" s="161"/>
      <c r="BX13" s="161"/>
      <c r="BY13" s="161"/>
      <c r="BZ13" s="161"/>
      <c r="CA13" s="161"/>
      <c r="CB13" s="161"/>
      <c r="CC13" s="161"/>
      <c r="CD13" s="161"/>
      <c r="CE13" s="161"/>
      <c r="CF13" s="161"/>
      <c r="CG13" s="161"/>
      <c r="CH13" s="161"/>
      <c r="CI13" s="161"/>
      <c r="CJ13" s="161"/>
      <c r="CK13" s="161"/>
      <c r="CL13" s="161"/>
      <c r="CM13" s="161"/>
      <c r="CN13" s="161"/>
      <c r="CO13" s="161"/>
      <c r="CP13" s="161"/>
      <c r="CQ13" s="161"/>
      <c r="CR13" s="161"/>
      <c r="CS13" s="161"/>
      <c r="CT13" s="161"/>
      <c r="CU13" s="161"/>
      <c r="CV13" s="161"/>
      <c r="CW13" s="161"/>
      <c r="CX13" s="161"/>
      <c r="CY13" s="161"/>
      <c r="CZ13" s="161"/>
      <c r="DA13" s="161"/>
      <c r="DB13" s="161"/>
      <c r="DC13" s="161"/>
      <c r="DD13" s="161"/>
      <c r="DE13" s="161"/>
      <c r="DF13" s="161"/>
      <c r="DG13" s="161"/>
      <c r="DH13" s="161"/>
      <c r="DI13" s="161"/>
      <c r="DJ13" s="161"/>
      <c r="DK13" s="161"/>
      <c r="DL13" s="161"/>
      <c r="DM13" s="161"/>
      <c r="DN13" s="161"/>
      <c r="DO13" s="161"/>
      <c r="DP13" s="161"/>
      <c r="DQ13" s="161"/>
      <c r="DR13" s="161"/>
      <c r="DS13" s="161"/>
      <c r="DT13" s="161"/>
      <c r="DU13" s="161"/>
      <c r="DV13" s="161"/>
      <c r="DW13" s="161"/>
      <c r="DX13" s="161"/>
      <c r="DY13" s="161"/>
      <c r="DZ13" s="161"/>
      <c r="EA13" s="161"/>
      <c r="EB13" s="161"/>
      <c r="EC13" s="161"/>
      <c r="ED13" s="161"/>
      <c r="EE13" s="161"/>
      <c r="EF13" s="161"/>
      <c r="EG13" s="161"/>
      <c r="EH13" s="161"/>
      <c r="EI13" s="161"/>
      <c r="EJ13" s="161"/>
      <c r="EK13" s="161"/>
      <c r="EL13" s="161"/>
      <c r="EM13" s="161"/>
      <c r="EN13" s="161"/>
      <c r="EO13" s="161"/>
      <c r="EP13" s="161"/>
      <c r="EQ13" s="161"/>
      <c r="ER13" s="161"/>
      <c r="ES13" s="161"/>
      <c r="ET13" s="161"/>
      <c r="EU13" s="161"/>
      <c r="EV13" s="161"/>
      <c r="EW13" s="161"/>
      <c r="EX13" s="161"/>
      <c r="EY13" s="161"/>
      <c r="EZ13" s="161"/>
      <c r="FA13" s="161"/>
      <c r="FB13" s="161"/>
      <c r="FC13" s="161"/>
      <c r="FD13" s="161"/>
      <c r="FE13" s="161"/>
      <c r="FF13" s="161"/>
      <c r="FG13" s="161"/>
      <c r="FH13" s="161"/>
      <c r="FI13" s="161"/>
      <c r="FJ13" s="161"/>
      <c r="FK13" s="161"/>
      <c r="FL13" s="161"/>
      <c r="FM13" s="161"/>
      <c r="FN13" s="161"/>
      <c r="FO13" s="161"/>
      <c r="FP13" s="161"/>
      <c r="FQ13" s="161"/>
      <c r="FR13" s="161"/>
      <c r="FS13" s="161"/>
      <c r="FT13" s="161"/>
      <c r="FU13" s="161"/>
      <c r="FV13" s="161"/>
      <c r="FW13" s="161"/>
      <c r="FX13" s="161"/>
      <c r="FY13" s="161"/>
      <c r="FZ13" s="161"/>
      <c r="GA13" s="161"/>
      <c r="GB13" s="161"/>
      <c r="GC13" s="161"/>
      <c r="GD13" s="161"/>
      <c r="GE13" s="161"/>
      <c r="GF13" s="161"/>
      <c r="GG13" s="161"/>
      <c r="GH13" s="161"/>
      <c r="GI13" s="161"/>
      <c r="GJ13" s="161"/>
      <c r="GK13" s="161"/>
      <c r="GL13" s="161"/>
      <c r="GM13" s="161"/>
      <c r="GN13" s="161"/>
      <c r="GO13" s="161"/>
      <c r="GP13" s="161"/>
      <c r="GQ13" s="161"/>
      <c r="GR13" s="161"/>
      <c r="GS13" s="161"/>
      <c r="GT13" s="161"/>
      <c r="GU13" s="161"/>
      <c r="GV13" s="161"/>
      <c r="GW13" s="161"/>
      <c r="GX13" s="161"/>
      <c r="GY13" s="161"/>
      <c r="GZ13" s="161"/>
      <c r="HA13" s="161"/>
      <c r="HB13" s="161"/>
      <c r="HC13" s="161"/>
      <c r="HD13" s="161"/>
      <c r="HE13" s="161"/>
      <c r="HF13" s="161"/>
      <c r="HG13" s="161"/>
      <c r="HH13" s="161"/>
      <c r="HI13" s="161"/>
      <c r="HJ13" s="161"/>
      <c r="HK13" s="161"/>
      <c r="HL13" s="161"/>
      <c r="HM13" s="161"/>
      <c r="HN13" s="161"/>
      <c r="HO13" s="161"/>
      <c r="HP13" s="161"/>
      <c r="HQ13" s="161"/>
      <c r="HR13" s="161"/>
      <c r="HS13" s="161"/>
      <c r="HT13" s="161"/>
      <c r="HU13" s="161"/>
      <c r="HV13" s="161"/>
      <c r="HW13" s="161"/>
      <c r="HX13" s="161"/>
      <c r="HY13" s="161"/>
      <c r="HZ13" s="161"/>
      <c r="IA13" s="161"/>
      <c r="IB13" s="292"/>
      <c r="IC13" s="292"/>
      <c r="ID13" s="292"/>
      <c r="IE13" s="292"/>
      <c r="IF13" s="292"/>
      <c r="IG13" s="292"/>
      <c r="IH13" s="292"/>
      <c r="II13" s="292"/>
      <c r="IJ13" s="292"/>
      <c r="IK13" s="292"/>
      <c r="IL13" s="292"/>
      <c r="IM13" s="292"/>
      <c r="IN13" s="292"/>
      <c r="IO13" s="292"/>
      <c r="IP13" s="292"/>
      <c r="IQ13" s="292"/>
      <c r="IR13" s="292"/>
      <c r="IS13" s="292"/>
      <c r="IT13" s="292"/>
      <c r="IU13" s="290"/>
      <c r="IV13" s="290"/>
    </row>
    <row r="14" s="105" customFormat="1" ht="38" customHeight="1" spans="1:256">
      <c r="A14" s="125">
        <v>44400</v>
      </c>
      <c r="B14" s="126" t="s">
        <v>3465</v>
      </c>
      <c r="C14" s="127" t="s">
        <v>3255</v>
      </c>
      <c r="D14" s="126">
        <v>4500057788</v>
      </c>
      <c r="E14" s="126">
        <v>4400129619</v>
      </c>
      <c r="F14" s="128" t="s">
        <v>3246</v>
      </c>
      <c r="G14" s="127" t="s">
        <v>3247</v>
      </c>
      <c r="H14" s="126">
        <v>6588</v>
      </c>
      <c r="I14" s="126">
        <v>0</v>
      </c>
      <c r="J14" s="126">
        <v>6</v>
      </c>
      <c r="K14" s="161">
        <f t="shared" si="1"/>
        <v>1098</v>
      </c>
      <c r="L14" s="162">
        <v>44613</v>
      </c>
      <c r="M14" s="162">
        <v>44641</v>
      </c>
      <c r="N14" s="163"/>
      <c r="O14" s="164" t="s">
        <v>56</v>
      </c>
      <c r="P14" s="169" t="s">
        <v>4512</v>
      </c>
      <c r="Q14" s="169">
        <v>44926</v>
      </c>
      <c r="R14" s="169" t="s">
        <v>58</v>
      </c>
      <c r="S14" s="164" t="s">
        <v>58</v>
      </c>
      <c r="T14" s="164" t="s">
        <v>3468</v>
      </c>
      <c r="U14" s="198" t="s">
        <v>4507</v>
      </c>
      <c r="V14" s="126" t="s">
        <v>1775</v>
      </c>
      <c r="W14" s="199">
        <v>3.8175</v>
      </c>
      <c r="X14" s="200">
        <f t="shared" si="2"/>
        <v>25149.69</v>
      </c>
      <c r="Y14" s="236">
        <v>58592</v>
      </c>
      <c r="Z14" s="126"/>
      <c r="AA14" s="246">
        <v>6588</v>
      </c>
      <c r="AB14" s="247" t="s">
        <v>58</v>
      </c>
      <c r="AC14" s="247"/>
      <c r="AD14" s="126">
        <f t="shared" si="0"/>
        <v>6588</v>
      </c>
      <c r="AE14" s="237"/>
      <c r="AF14" s="237"/>
      <c r="AG14" s="237"/>
      <c r="AH14" s="237"/>
      <c r="AI14" s="237"/>
      <c r="AJ14" s="271">
        <f t="shared" si="3"/>
        <v>6588</v>
      </c>
      <c r="AK14" s="271">
        <f t="shared" si="4"/>
        <v>6588</v>
      </c>
      <c r="AL14" s="271"/>
      <c r="AM14" s="278">
        <v>44627</v>
      </c>
      <c r="AN14" s="161"/>
      <c r="AO14" s="161"/>
      <c r="AP14" s="126"/>
      <c r="AQ14" s="161"/>
      <c r="AR14" s="161"/>
      <c r="AS14" s="161"/>
      <c r="AT14" s="161"/>
      <c r="AU14" s="161"/>
      <c r="AV14" s="161"/>
      <c r="AW14" s="161"/>
      <c r="AX14" s="161"/>
      <c r="AY14" s="161"/>
      <c r="AZ14" s="161"/>
      <c r="BA14" s="161"/>
      <c r="BB14" s="161"/>
      <c r="BC14" s="161"/>
      <c r="BD14" s="161"/>
      <c r="BE14" s="161"/>
      <c r="BF14" s="161"/>
      <c r="BG14" s="161"/>
      <c r="BH14" s="161"/>
      <c r="BI14" s="161"/>
      <c r="BJ14" s="161"/>
      <c r="BK14" s="161"/>
      <c r="BL14" s="161"/>
      <c r="BM14" s="161"/>
      <c r="BN14" s="161"/>
      <c r="BO14" s="161"/>
      <c r="BP14" s="161"/>
      <c r="BQ14" s="161"/>
      <c r="BR14" s="161"/>
      <c r="BS14" s="161"/>
      <c r="BT14" s="161"/>
      <c r="BU14" s="161"/>
      <c r="BV14" s="161"/>
      <c r="BW14" s="161"/>
      <c r="BX14" s="161"/>
      <c r="BY14" s="161"/>
      <c r="BZ14" s="161"/>
      <c r="CA14" s="161"/>
      <c r="CB14" s="161"/>
      <c r="CC14" s="161"/>
      <c r="CD14" s="161"/>
      <c r="CE14" s="161"/>
      <c r="CF14" s="161"/>
      <c r="CG14" s="161"/>
      <c r="CH14" s="161"/>
      <c r="CI14" s="161"/>
      <c r="CJ14" s="161"/>
      <c r="CK14" s="161"/>
      <c r="CL14" s="161"/>
      <c r="CM14" s="161"/>
      <c r="CN14" s="161"/>
      <c r="CO14" s="161"/>
      <c r="CP14" s="161"/>
      <c r="CQ14" s="161"/>
      <c r="CR14" s="161"/>
      <c r="CS14" s="161"/>
      <c r="CT14" s="161"/>
      <c r="CU14" s="161"/>
      <c r="CV14" s="161"/>
      <c r="CW14" s="161"/>
      <c r="CX14" s="161"/>
      <c r="CY14" s="161"/>
      <c r="CZ14" s="161"/>
      <c r="DA14" s="161"/>
      <c r="DB14" s="161"/>
      <c r="DC14" s="161"/>
      <c r="DD14" s="161"/>
      <c r="DE14" s="161"/>
      <c r="DF14" s="161"/>
      <c r="DG14" s="161"/>
      <c r="DH14" s="161"/>
      <c r="DI14" s="161"/>
      <c r="DJ14" s="161"/>
      <c r="DK14" s="161"/>
      <c r="DL14" s="161"/>
      <c r="DM14" s="161"/>
      <c r="DN14" s="161"/>
      <c r="DO14" s="161"/>
      <c r="DP14" s="161"/>
      <c r="DQ14" s="161"/>
      <c r="DR14" s="161"/>
      <c r="DS14" s="161"/>
      <c r="DT14" s="161"/>
      <c r="DU14" s="161"/>
      <c r="DV14" s="161"/>
      <c r="DW14" s="161"/>
      <c r="DX14" s="161"/>
      <c r="DY14" s="161"/>
      <c r="DZ14" s="161"/>
      <c r="EA14" s="161"/>
      <c r="EB14" s="161"/>
      <c r="EC14" s="161"/>
      <c r="ED14" s="161"/>
      <c r="EE14" s="161"/>
      <c r="EF14" s="161"/>
      <c r="EG14" s="161"/>
      <c r="EH14" s="161"/>
      <c r="EI14" s="161"/>
      <c r="EJ14" s="161"/>
      <c r="EK14" s="161"/>
      <c r="EL14" s="161"/>
      <c r="EM14" s="161"/>
      <c r="EN14" s="161"/>
      <c r="EO14" s="161"/>
      <c r="EP14" s="161"/>
      <c r="EQ14" s="161"/>
      <c r="ER14" s="161"/>
      <c r="ES14" s="161"/>
      <c r="ET14" s="161"/>
      <c r="EU14" s="161"/>
      <c r="EV14" s="161"/>
      <c r="EW14" s="161"/>
      <c r="EX14" s="161"/>
      <c r="EY14" s="161"/>
      <c r="EZ14" s="161"/>
      <c r="FA14" s="161"/>
      <c r="FB14" s="161"/>
      <c r="FC14" s="161"/>
      <c r="FD14" s="161"/>
      <c r="FE14" s="161"/>
      <c r="FF14" s="161"/>
      <c r="FG14" s="161"/>
      <c r="FH14" s="161"/>
      <c r="FI14" s="161"/>
      <c r="FJ14" s="161"/>
      <c r="FK14" s="161"/>
      <c r="FL14" s="161"/>
      <c r="FM14" s="161"/>
      <c r="FN14" s="161"/>
      <c r="FO14" s="161"/>
      <c r="FP14" s="161"/>
      <c r="FQ14" s="161"/>
      <c r="FR14" s="161"/>
      <c r="FS14" s="161"/>
      <c r="FT14" s="161"/>
      <c r="FU14" s="161"/>
      <c r="FV14" s="161"/>
      <c r="FW14" s="161"/>
      <c r="FX14" s="161"/>
      <c r="FY14" s="161"/>
      <c r="FZ14" s="161"/>
      <c r="GA14" s="161"/>
      <c r="GB14" s="161"/>
      <c r="GC14" s="161"/>
      <c r="GD14" s="161"/>
      <c r="GE14" s="161"/>
      <c r="GF14" s="161"/>
      <c r="GG14" s="161"/>
      <c r="GH14" s="161"/>
      <c r="GI14" s="161"/>
      <c r="GJ14" s="161"/>
      <c r="GK14" s="161"/>
      <c r="GL14" s="161"/>
      <c r="GM14" s="161"/>
      <c r="GN14" s="161"/>
      <c r="GO14" s="161"/>
      <c r="GP14" s="161"/>
      <c r="GQ14" s="161"/>
      <c r="GR14" s="161"/>
      <c r="GS14" s="161"/>
      <c r="GT14" s="161"/>
      <c r="GU14" s="161"/>
      <c r="GV14" s="161"/>
      <c r="GW14" s="161"/>
      <c r="GX14" s="161"/>
      <c r="GY14" s="161"/>
      <c r="GZ14" s="161"/>
      <c r="HA14" s="161"/>
      <c r="HB14" s="161"/>
      <c r="HC14" s="161"/>
      <c r="HD14" s="161"/>
      <c r="HE14" s="161"/>
      <c r="HF14" s="161"/>
      <c r="HG14" s="161"/>
      <c r="HH14" s="161"/>
      <c r="HI14" s="161"/>
      <c r="HJ14" s="161"/>
      <c r="HK14" s="161"/>
      <c r="HL14" s="161"/>
      <c r="HM14" s="161"/>
      <c r="HN14" s="161"/>
      <c r="HO14" s="161"/>
      <c r="HP14" s="161"/>
      <c r="HQ14" s="161"/>
      <c r="HR14" s="161"/>
      <c r="HS14" s="161"/>
      <c r="HT14" s="161"/>
      <c r="HU14" s="161"/>
      <c r="HV14" s="161"/>
      <c r="HW14" s="161"/>
      <c r="HX14" s="161"/>
      <c r="HY14" s="161"/>
      <c r="HZ14" s="161"/>
      <c r="IA14" s="161"/>
      <c r="IB14" s="292"/>
      <c r="IC14" s="292"/>
      <c r="ID14" s="292"/>
      <c r="IE14" s="292"/>
      <c r="IF14" s="292"/>
      <c r="IG14" s="292"/>
      <c r="IH14" s="292"/>
      <c r="II14" s="292"/>
      <c r="IJ14" s="292"/>
      <c r="IK14" s="292"/>
      <c r="IL14" s="292"/>
      <c r="IM14" s="292"/>
      <c r="IN14" s="292"/>
      <c r="IO14" s="292"/>
      <c r="IP14" s="292"/>
      <c r="IQ14" s="292"/>
      <c r="IR14" s="292"/>
      <c r="IS14" s="292"/>
      <c r="IT14" s="292"/>
      <c r="IU14" s="290"/>
      <c r="IV14" s="290"/>
    </row>
    <row r="15" s="105" customFormat="1" ht="38" customHeight="1" spans="1:256">
      <c r="A15" s="125">
        <v>44400</v>
      </c>
      <c r="B15" s="126" t="s">
        <v>3465</v>
      </c>
      <c r="C15" s="127" t="s">
        <v>3255</v>
      </c>
      <c r="D15" s="126">
        <v>4500057788</v>
      </c>
      <c r="E15" s="126">
        <v>4400144095</v>
      </c>
      <c r="F15" s="128" t="s">
        <v>3246</v>
      </c>
      <c r="G15" s="127" t="s">
        <v>3247</v>
      </c>
      <c r="H15" s="126">
        <v>7644</v>
      </c>
      <c r="I15" s="126">
        <v>0</v>
      </c>
      <c r="J15" s="126">
        <v>6</v>
      </c>
      <c r="K15" s="161">
        <f t="shared" si="1"/>
        <v>1274</v>
      </c>
      <c r="L15" s="162">
        <v>44620</v>
      </c>
      <c r="M15" s="162">
        <v>44641</v>
      </c>
      <c r="N15" s="163"/>
      <c r="O15" s="164" t="s">
        <v>56</v>
      </c>
      <c r="P15" s="169" t="s">
        <v>4511</v>
      </c>
      <c r="Q15" s="169">
        <v>44926</v>
      </c>
      <c r="R15" s="169" t="s">
        <v>58</v>
      </c>
      <c r="S15" s="164" t="s">
        <v>58</v>
      </c>
      <c r="T15" s="164" t="s">
        <v>3468</v>
      </c>
      <c r="U15" s="198" t="s">
        <v>4507</v>
      </c>
      <c r="V15" s="126" t="s">
        <v>1775</v>
      </c>
      <c r="W15" s="199">
        <v>3.8175</v>
      </c>
      <c r="X15" s="200">
        <f t="shared" si="2"/>
        <v>29180.97</v>
      </c>
      <c r="Y15" s="236">
        <v>58537</v>
      </c>
      <c r="Z15" s="126"/>
      <c r="AA15" s="246">
        <f>1680+2688+2142+1008+126</f>
        <v>7644</v>
      </c>
      <c r="AB15" s="247" t="s">
        <v>58</v>
      </c>
      <c r="AC15" s="247"/>
      <c r="AD15" s="126">
        <f t="shared" si="0"/>
        <v>7644</v>
      </c>
      <c r="AE15" s="237"/>
      <c r="AF15" s="237"/>
      <c r="AG15" s="237"/>
      <c r="AH15" s="237"/>
      <c r="AI15" s="237"/>
      <c r="AJ15" s="271">
        <f t="shared" si="3"/>
        <v>7644</v>
      </c>
      <c r="AK15" s="271">
        <f t="shared" si="4"/>
        <v>7644</v>
      </c>
      <c r="AL15" s="271"/>
      <c r="AM15" s="278">
        <v>44630</v>
      </c>
      <c r="AN15" s="161"/>
      <c r="AO15" s="161"/>
      <c r="AP15" s="126"/>
      <c r="AQ15" s="161"/>
      <c r="AR15" s="161"/>
      <c r="AS15" s="161"/>
      <c r="AT15" s="161"/>
      <c r="AU15" s="161"/>
      <c r="AV15" s="161"/>
      <c r="AW15" s="161"/>
      <c r="AX15" s="161"/>
      <c r="AY15" s="161"/>
      <c r="AZ15" s="161"/>
      <c r="BA15" s="161"/>
      <c r="BB15" s="161"/>
      <c r="BC15" s="161"/>
      <c r="BD15" s="161"/>
      <c r="BE15" s="161"/>
      <c r="BF15" s="161"/>
      <c r="BG15" s="161"/>
      <c r="BH15" s="161"/>
      <c r="BI15" s="161"/>
      <c r="BJ15" s="161"/>
      <c r="BK15" s="161"/>
      <c r="BL15" s="161"/>
      <c r="BM15" s="161"/>
      <c r="BN15" s="161"/>
      <c r="BO15" s="161"/>
      <c r="BP15" s="161"/>
      <c r="BQ15" s="161"/>
      <c r="BR15" s="161"/>
      <c r="BS15" s="161"/>
      <c r="BT15" s="161"/>
      <c r="BU15" s="161"/>
      <c r="BV15" s="161"/>
      <c r="BW15" s="161"/>
      <c r="BX15" s="161"/>
      <c r="BY15" s="161"/>
      <c r="BZ15" s="161"/>
      <c r="CA15" s="161"/>
      <c r="CB15" s="161"/>
      <c r="CC15" s="161"/>
      <c r="CD15" s="161"/>
      <c r="CE15" s="161"/>
      <c r="CF15" s="161"/>
      <c r="CG15" s="161"/>
      <c r="CH15" s="161"/>
      <c r="CI15" s="161"/>
      <c r="CJ15" s="161"/>
      <c r="CK15" s="161"/>
      <c r="CL15" s="161"/>
      <c r="CM15" s="161"/>
      <c r="CN15" s="161"/>
      <c r="CO15" s="161"/>
      <c r="CP15" s="161"/>
      <c r="CQ15" s="161"/>
      <c r="CR15" s="161"/>
      <c r="CS15" s="161"/>
      <c r="CT15" s="161"/>
      <c r="CU15" s="161"/>
      <c r="CV15" s="161"/>
      <c r="CW15" s="161"/>
      <c r="CX15" s="161"/>
      <c r="CY15" s="161"/>
      <c r="CZ15" s="161"/>
      <c r="DA15" s="161"/>
      <c r="DB15" s="161"/>
      <c r="DC15" s="161"/>
      <c r="DD15" s="161"/>
      <c r="DE15" s="161"/>
      <c r="DF15" s="161"/>
      <c r="DG15" s="161"/>
      <c r="DH15" s="161"/>
      <c r="DI15" s="161"/>
      <c r="DJ15" s="161"/>
      <c r="DK15" s="161"/>
      <c r="DL15" s="161"/>
      <c r="DM15" s="161"/>
      <c r="DN15" s="161"/>
      <c r="DO15" s="161"/>
      <c r="DP15" s="161"/>
      <c r="DQ15" s="161"/>
      <c r="DR15" s="161"/>
      <c r="DS15" s="161"/>
      <c r="DT15" s="161"/>
      <c r="DU15" s="161"/>
      <c r="DV15" s="161"/>
      <c r="DW15" s="161"/>
      <c r="DX15" s="161"/>
      <c r="DY15" s="161"/>
      <c r="DZ15" s="161"/>
      <c r="EA15" s="161"/>
      <c r="EB15" s="161"/>
      <c r="EC15" s="161"/>
      <c r="ED15" s="161"/>
      <c r="EE15" s="161"/>
      <c r="EF15" s="161"/>
      <c r="EG15" s="161"/>
      <c r="EH15" s="161"/>
      <c r="EI15" s="161"/>
      <c r="EJ15" s="161"/>
      <c r="EK15" s="161"/>
      <c r="EL15" s="161"/>
      <c r="EM15" s="161"/>
      <c r="EN15" s="161"/>
      <c r="EO15" s="161"/>
      <c r="EP15" s="161"/>
      <c r="EQ15" s="161"/>
      <c r="ER15" s="161"/>
      <c r="ES15" s="161"/>
      <c r="ET15" s="161"/>
      <c r="EU15" s="161"/>
      <c r="EV15" s="161"/>
      <c r="EW15" s="161"/>
      <c r="EX15" s="161"/>
      <c r="EY15" s="161"/>
      <c r="EZ15" s="161"/>
      <c r="FA15" s="161"/>
      <c r="FB15" s="161"/>
      <c r="FC15" s="161"/>
      <c r="FD15" s="161"/>
      <c r="FE15" s="161"/>
      <c r="FF15" s="161"/>
      <c r="FG15" s="161"/>
      <c r="FH15" s="161"/>
      <c r="FI15" s="161"/>
      <c r="FJ15" s="161"/>
      <c r="FK15" s="161"/>
      <c r="FL15" s="161"/>
      <c r="FM15" s="161"/>
      <c r="FN15" s="161"/>
      <c r="FO15" s="161"/>
      <c r="FP15" s="161"/>
      <c r="FQ15" s="161"/>
      <c r="FR15" s="161"/>
      <c r="FS15" s="161"/>
      <c r="FT15" s="161"/>
      <c r="FU15" s="161"/>
      <c r="FV15" s="161"/>
      <c r="FW15" s="161"/>
      <c r="FX15" s="161"/>
      <c r="FY15" s="161"/>
      <c r="FZ15" s="161"/>
      <c r="GA15" s="161"/>
      <c r="GB15" s="161"/>
      <c r="GC15" s="161"/>
      <c r="GD15" s="161"/>
      <c r="GE15" s="161"/>
      <c r="GF15" s="161"/>
      <c r="GG15" s="161"/>
      <c r="GH15" s="161"/>
      <c r="GI15" s="161"/>
      <c r="GJ15" s="161"/>
      <c r="GK15" s="161"/>
      <c r="GL15" s="161"/>
      <c r="GM15" s="161"/>
      <c r="GN15" s="161"/>
      <c r="GO15" s="161"/>
      <c r="GP15" s="161"/>
      <c r="GQ15" s="161"/>
      <c r="GR15" s="161"/>
      <c r="GS15" s="161"/>
      <c r="GT15" s="161"/>
      <c r="GU15" s="161"/>
      <c r="GV15" s="161"/>
      <c r="GW15" s="161"/>
      <c r="GX15" s="161"/>
      <c r="GY15" s="161"/>
      <c r="GZ15" s="161"/>
      <c r="HA15" s="161"/>
      <c r="HB15" s="161"/>
      <c r="HC15" s="161"/>
      <c r="HD15" s="161"/>
      <c r="HE15" s="161"/>
      <c r="HF15" s="161"/>
      <c r="HG15" s="161"/>
      <c r="HH15" s="161"/>
      <c r="HI15" s="161"/>
      <c r="HJ15" s="161"/>
      <c r="HK15" s="161"/>
      <c r="HL15" s="161"/>
      <c r="HM15" s="161"/>
      <c r="HN15" s="161"/>
      <c r="HO15" s="161"/>
      <c r="HP15" s="161"/>
      <c r="HQ15" s="161"/>
      <c r="HR15" s="161"/>
      <c r="HS15" s="161"/>
      <c r="HT15" s="161"/>
      <c r="HU15" s="161"/>
      <c r="HV15" s="161"/>
      <c r="HW15" s="161"/>
      <c r="HX15" s="161"/>
      <c r="HY15" s="161"/>
      <c r="HZ15" s="161"/>
      <c r="IA15" s="161"/>
      <c r="IB15" s="292"/>
      <c r="IC15" s="292"/>
      <c r="ID15" s="292"/>
      <c r="IE15" s="292"/>
      <c r="IF15" s="292"/>
      <c r="IG15" s="292"/>
      <c r="IH15" s="292"/>
      <c r="II15" s="292"/>
      <c r="IJ15" s="292"/>
      <c r="IK15" s="292"/>
      <c r="IL15" s="292"/>
      <c r="IM15" s="292"/>
      <c r="IN15" s="292"/>
      <c r="IO15" s="292"/>
      <c r="IP15" s="292"/>
      <c r="IQ15" s="292"/>
      <c r="IR15" s="292"/>
      <c r="IS15" s="292"/>
      <c r="IT15" s="292"/>
      <c r="IU15" s="290"/>
      <c r="IV15" s="290"/>
    </row>
    <row r="16" s="105" customFormat="1" ht="38" customHeight="1" spans="1:256">
      <c r="A16" s="125">
        <v>44400</v>
      </c>
      <c r="B16" s="126" t="s">
        <v>3465</v>
      </c>
      <c r="C16" s="127" t="s">
        <v>3255</v>
      </c>
      <c r="D16" s="126">
        <v>4500057788</v>
      </c>
      <c r="E16" s="126">
        <v>4400144096</v>
      </c>
      <c r="F16" s="128" t="s">
        <v>3246</v>
      </c>
      <c r="G16" s="127" t="s">
        <v>3247</v>
      </c>
      <c r="H16" s="126">
        <v>6588</v>
      </c>
      <c r="I16" s="126">
        <v>0</v>
      </c>
      <c r="J16" s="126">
        <v>6</v>
      </c>
      <c r="K16" s="161">
        <f t="shared" si="1"/>
        <v>1098</v>
      </c>
      <c r="L16" s="162">
        <v>44627</v>
      </c>
      <c r="M16" s="162">
        <v>44644</v>
      </c>
      <c r="N16" s="163"/>
      <c r="O16" s="164" t="s">
        <v>56</v>
      </c>
      <c r="P16" s="170" t="s">
        <v>4513</v>
      </c>
      <c r="Q16" s="169">
        <v>44926</v>
      </c>
      <c r="R16" s="169" t="s">
        <v>58</v>
      </c>
      <c r="S16" s="164" t="s">
        <v>58</v>
      </c>
      <c r="T16" s="164" t="s">
        <v>3468</v>
      </c>
      <c r="U16" s="198" t="s">
        <v>4507</v>
      </c>
      <c r="V16" s="126" t="s">
        <v>1775</v>
      </c>
      <c r="W16" s="199">
        <v>3.8175</v>
      </c>
      <c r="X16" s="200">
        <f t="shared" si="2"/>
        <v>25149.69</v>
      </c>
      <c r="Y16" s="236" t="s">
        <v>4514</v>
      </c>
      <c r="Z16" s="126"/>
      <c r="AA16" s="246">
        <f>3456+3132</f>
        <v>6588</v>
      </c>
      <c r="AB16" s="247" t="s">
        <v>58</v>
      </c>
      <c r="AC16" s="247"/>
      <c r="AD16" s="126">
        <f t="shared" si="0"/>
        <v>6588</v>
      </c>
      <c r="AE16" s="237"/>
      <c r="AF16" s="237"/>
      <c r="AG16" s="237"/>
      <c r="AH16" s="237"/>
      <c r="AI16" s="237"/>
      <c r="AJ16" s="271">
        <f t="shared" si="3"/>
        <v>6588</v>
      </c>
      <c r="AK16" s="271">
        <f t="shared" si="4"/>
        <v>6588</v>
      </c>
      <c r="AL16" s="271"/>
      <c r="AM16" s="278">
        <v>44637</v>
      </c>
      <c r="AN16" s="161"/>
      <c r="AO16" s="161"/>
      <c r="AP16" s="126"/>
      <c r="AQ16" s="161"/>
      <c r="AR16" s="161"/>
      <c r="AS16" s="161"/>
      <c r="AT16" s="161"/>
      <c r="AU16" s="161"/>
      <c r="AV16" s="161"/>
      <c r="AW16" s="161"/>
      <c r="AX16" s="161"/>
      <c r="AY16" s="161"/>
      <c r="AZ16" s="161"/>
      <c r="BA16" s="161"/>
      <c r="BB16" s="161"/>
      <c r="BC16" s="161"/>
      <c r="BD16" s="161"/>
      <c r="BE16" s="161"/>
      <c r="BF16" s="161"/>
      <c r="BG16" s="161"/>
      <c r="BH16" s="161"/>
      <c r="BI16" s="161"/>
      <c r="BJ16" s="161"/>
      <c r="BK16" s="161"/>
      <c r="BL16" s="161"/>
      <c r="BM16" s="161"/>
      <c r="BN16" s="161"/>
      <c r="BO16" s="161"/>
      <c r="BP16" s="161"/>
      <c r="BQ16" s="161"/>
      <c r="BR16" s="161"/>
      <c r="BS16" s="161"/>
      <c r="BT16" s="161"/>
      <c r="BU16" s="161"/>
      <c r="BV16" s="161"/>
      <c r="BW16" s="161"/>
      <c r="BX16" s="161"/>
      <c r="BY16" s="161"/>
      <c r="BZ16" s="161"/>
      <c r="CA16" s="161"/>
      <c r="CB16" s="161"/>
      <c r="CC16" s="161"/>
      <c r="CD16" s="161"/>
      <c r="CE16" s="161"/>
      <c r="CF16" s="161"/>
      <c r="CG16" s="161"/>
      <c r="CH16" s="161"/>
      <c r="CI16" s="161"/>
      <c r="CJ16" s="161"/>
      <c r="CK16" s="161"/>
      <c r="CL16" s="161"/>
      <c r="CM16" s="161"/>
      <c r="CN16" s="161"/>
      <c r="CO16" s="161"/>
      <c r="CP16" s="161"/>
      <c r="CQ16" s="161"/>
      <c r="CR16" s="161"/>
      <c r="CS16" s="161"/>
      <c r="CT16" s="161"/>
      <c r="CU16" s="161"/>
      <c r="CV16" s="161"/>
      <c r="CW16" s="161"/>
      <c r="CX16" s="161"/>
      <c r="CY16" s="161"/>
      <c r="CZ16" s="161"/>
      <c r="DA16" s="161"/>
      <c r="DB16" s="161"/>
      <c r="DC16" s="161"/>
      <c r="DD16" s="161"/>
      <c r="DE16" s="161"/>
      <c r="DF16" s="161"/>
      <c r="DG16" s="161"/>
      <c r="DH16" s="161"/>
      <c r="DI16" s="161"/>
      <c r="DJ16" s="161"/>
      <c r="DK16" s="161"/>
      <c r="DL16" s="161"/>
      <c r="DM16" s="161"/>
      <c r="DN16" s="161"/>
      <c r="DO16" s="161"/>
      <c r="DP16" s="161"/>
      <c r="DQ16" s="161"/>
      <c r="DR16" s="161"/>
      <c r="DS16" s="161"/>
      <c r="DT16" s="161"/>
      <c r="DU16" s="161"/>
      <c r="DV16" s="161"/>
      <c r="DW16" s="161"/>
      <c r="DX16" s="161"/>
      <c r="DY16" s="161"/>
      <c r="DZ16" s="161"/>
      <c r="EA16" s="161"/>
      <c r="EB16" s="161"/>
      <c r="EC16" s="161"/>
      <c r="ED16" s="161"/>
      <c r="EE16" s="161"/>
      <c r="EF16" s="161"/>
      <c r="EG16" s="161"/>
      <c r="EH16" s="161"/>
      <c r="EI16" s="161"/>
      <c r="EJ16" s="161"/>
      <c r="EK16" s="161"/>
      <c r="EL16" s="161"/>
      <c r="EM16" s="161"/>
      <c r="EN16" s="161"/>
      <c r="EO16" s="161"/>
      <c r="EP16" s="161"/>
      <c r="EQ16" s="161"/>
      <c r="ER16" s="161"/>
      <c r="ES16" s="161"/>
      <c r="ET16" s="161"/>
      <c r="EU16" s="161"/>
      <c r="EV16" s="161"/>
      <c r="EW16" s="161"/>
      <c r="EX16" s="161"/>
      <c r="EY16" s="161"/>
      <c r="EZ16" s="161"/>
      <c r="FA16" s="161"/>
      <c r="FB16" s="161"/>
      <c r="FC16" s="161"/>
      <c r="FD16" s="161"/>
      <c r="FE16" s="161"/>
      <c r="FF16" s="161"/>
      <c r="FG16" s="161"/>
      <c r="FH16" s="161"/>
      <c r="FI16" s="161"/>
      <c r="FJ16" s="161"/>
      <c r="FK16" s="161"/>
      <c r="FL16" s="161"/>
      <c r="FM16" s="161"/>
      <c r="FN16" s="161"/>
      <c r="FO16" s="161"/>
      <c r="FP16" s="161"/>
      <c r="FQ16" s="161"/>
      <c r="FR16" s="161"/>
      <c r="FS16" s="161"/>
      <c r="FT16" s="161"/>
      <c r="FU16" s="161"/>
      <c r="FV16" s="161"/>
      <c r="FW16" s="161"/>
      <c r="FX16" s="161"/>
      <c r="FY16" s="161"/>
      <c r="FZ16" s="161"/>
      <c r="GA16" s="161"/>
      <c r="GB16" s="161"/>
      <c r="GC16" s="161"/>
      <c r="GD16" s="161"/>
      <c r="GE16" s="161"/>
      <c r="GF16" s="161"/>
      <c r="GG16" s="161"/>
      <c r="GH16" s="161"/>
      <c r="GI16" s="161"/>
      <c r="GJ16" s="161"/>
      <c r="GK16" s="161"/>
      <c r="GL16" s="161"/>
      <c r="GM16" s="161"/>
      <c r="GN16" s="161"/>
      <c r="GO16" s="161"/>
      <c r="GP16" s="161"/>
      <c r="GQ16" s="161"/>
      <c r="GR16" s="161"/>
      <c r="GS16" s="161"/>
      <c r="GT16" s="161"/>
      <c r="GU16" s="161"/>
      <c r="GV16" s="161"/>
      <c r="GW16" s="161"/>
      <c r="GX16" s="161"/>
      <c r="GY16" s="161"/>
      <c r="GZ16" s="161"/>
      <c r="HA16" s="161"/>
      <c r="HB16" s="161"/>
      <c r="HC16" s="161"/>
      <c r="HD16" s="161"/>
      <c r="HE16" s="161"/>
      <c r="HF16" s="161"/>
      <c r="HG16" s="161"/>
      <c r="HH16" s="161"/>
      <c r="HI16" s="161"/>
      <c r="HJ16" s="161"/>
      <c r="HK16" s="161"/>
      <c r="HL16" s="161"/>
      <c r="HM16" s="161"/>
      <c r="HN16" s="161"/>
      <c r="HO16" s="161"/>
      <c r="HP16" s="161"/>
      <c r="HQ16" s="161"/>
      <c r="HR16" s="161"/>
      <c r="HS16" s="161"/>
      <c r="HT16" s="161"/>
      <c r="HU16" s="161"/>
      <c r="HV16" s="161"/>
      <c r="HW16" s="161"/>
      <c r="HX16" s="161"/>
      <c r="HY16" s="161"/>
      <c r="HZ16" s="161"/>
      <c r="IA16" s="161"/>
      <c r="IB16" s="292"/>
      <c r="IC16" s="292"/>
      <c r="ID16" s="292"/>
      <c r="IE16" s="292"/>
      <c r="IF16" s="292"/>
      <c r="IG16" s="292"/>
      <c r="IH16" s="292"/>
      <c r="II16" s="292"/>
      <c r="IJ16" s="292"/>
      <c r="IK16" s="292"/>
      <c r="IL16" s="292"/>
      <c r="IM16" s="292"/>
      <c r="IN16" s="292"/>
      <c r="IO16" s="292"/>
      <c r="IP16" s="292"/>
      <c r="IQ16" s="292"/>
      <c r="IR16" s="292"/>
      <c r="IS16" s="292"/>
      <c r="IT16" s="292"/>
      <c r="IU16" s="290"/>
      <c r="IV16" s="290"/>
    </row>
    <row r="17" s="105" customFormat="1" ht="38" customHeight="1" spans="1:256">
      <c r="A17" s="125">
        <v>44400</v>
      </c>
      <c r="B17" s="126" t="s">
        <v>3465</v>
      </c>
      <c r="C17" s="127" t="s">
        <v>3255</v>
      </c>
      <c r="D17" s="126">
        <v>4500057788</v>
      </c>
      <c r="E17" s="126">
        <v>4400129620</v>
      </c>
      <c r="F17" s="128" t="s">
        <v>3246</v>
      </c>
      <c r="G17" s="127" t="s">
        <v>3247</v>
      </c>
      <c r="H17" s="126">
        <v>7644</v>
      </c>
      <c r="I17" s="126">
        <v>0</v>
      </c>
      <c r="J17" s="126">
        <v>6</v>
      </c>
      <c r="K17" s="161">
        <f t="shared" si="1"/>
        <v>1274</v>
      </c>
      <c r="L17" s="162">
        <v>44627</v>
      </c>
      <c r="M17" s="162">
        <v>44648</v>
      </c>
      <c r="N17" s="163"/>
      <c r="O17" s="164" t="s">
        <v>56</v>
      </c>
      <c r="P17" s="170" t="s">
        <v>4512</v>
      </c>
      <c r="Q17" s="169">
        <v>44926</v>
      </c>
      <c r="R17" s="169" t="s">
        <v>58</v>
      </c>
      <c r="S17" s="164" t="s">
        <v>58</v>
      </c>
      <c r="T17" s="164" t="s">
        <v>3468</v>
      </c>
      <c r="U17" s="198" t="s">
        <v>4507</v>
      </c>
      <c r="V17" s="126" t="s">
        <v>1775</v>
      </c>
      <c r="W17" s="199">
        <v>3.8175</v>
      </c>
      <c r="X17" s="200">
        <f t="shared" si="2"/>
        <v>29180.97</v>
      </c>
      <c r="Y17" s="236">
        <v>58592</v>
      </c>
      <c r="Z17" s="126"/>
      <c r="AA17" s="246">
        <f>1722+3594+2328</f>
        <v>7644</v>
      </c>
      <c r="AB17" s="247" t="s">
        <v>58</v>
      </c>
      <c r="AC17" s="247"/>
      <c r="AD17" s="126">
        <f t="shared" si="0"/>
        <v>7644</v>
      </c>
      <c r="AE17" s="237"/>
      <c r="AF17" s="237"/>
      <c r="AG17" s="237"/>
      <c r="AH17" s="237"/>
      <c r="AI17" s="237"/>
      <c r="AJ17" s="271">
        <f t="shared" si="3"/>
        <v>7644</v>
      </c>
      <c r="AK17" s="271">
        <f t="shared" si="4"/>
        <v>7644</v>
      </c>
      <c r="AL17" s="271"/>
      <c r="AM17" s="278">
        <v>44641</v>
      </c>
      <c r="AN17" s="161"/>
      <c r="AO17" s="161"/>
      <c r="AP17" s="126"/>
      <c r="AQ17" s="161"/>
      <c r="AR17" s="161"/>
      <c r="AS17" s="161"/>
      <c r="AT17" s="161"/>
      <c r="AU17" s="161"/>
      <c r="AV17" s="161"/>
      <c r="AW17" s="161"/>
      <c r="AX17" s="161"/>
      <c r="AY17" s="161"/>
      <c r="AZ17" s="161"/>
      <c r="BA17" s="161"/>
      <c r="BB17" s="161"/>
      <c r="BC17" s="161"/>
      <c r="BD17" s="161"/>
      <c r="BE17" s="161"/>
      <c r="BF17" s="161"/>
      <c r="BG17" s="161"/>
      <c r="BH17" s="161"/>
      <c r="BI17" s="161"/>
      <c r="BJ17" s="161"/>
      <c r="BK17" s="161"/>
      <c r="BL17" s="161"/>
      <c r="BM17" s="161"/>
      <c r="BN17" s="161"/>
      <c r="BO17" s="161"/>
      <c r="BP17" s="161"/>
      <c r="BQ17" s="161"/>
      <c r="BR17" s="161"/>
      <c r="BS17" s="161"/>
      <c r="BT17" s="161"/>
      <c r="BU17" s="161"/>
      <c r="BV17" s="161"/>
      <c r="BW17" s="161"/>
      <c r="BX17" s="161"/>
      <c r="BY17" s="161"/>
      <c r="BZ17" s="161"/>
      <c r="CA17" s="161"/>
      <c r="CB17" s="161"/>
      <c r="CC17" s="161"/>
      <c r="CD17" s="161"/>
      <c r="CE17" s="161"/>
      <c r="CF17" s="161"/>
      <c r="CG17" s="161"/>
      <c r="CH17" s="161"/>
      <c r="CI17" s="161"/>
      <c r="CJ17" s="161"/>
      <c r="CK17" s="161"/>
      <c r="CL17" s="161"/>
      <c r="CM17" s="161"/>
      <c r="CN17" s="161"/>
      <c r="CO17" s="161"/>
      <c r="CP17" s="161"/>
      <c r="CQ17" s="161"/>
      <c r="CR17" s="161"/>
      <c r="CS17" s="161"/>
      <c r="CT17" s="161"/>
      <c r="CU17" s="161"/>
      <c r="CV17" s="161"/>
      <c r="CW17" s="161"/>
      <c r="CX17" s="161"/>
      <c r="CY17" s="161"/>
      <c r="CZ17" s="161"/>
      <c r="DA17" s="161"/>
      <c r="DB17" s="161"/>
      <c r="DC17" s="161"/>
      <c r="DD17" s="161"/>
      <c r="DE17" s="161"/>
      <c r="DF17" s="161"/>
      <c r="DG17" s="161"/>
      <c r="DH17" s="161"/>
      <c r="DI17" s="161"/>
      <c r="DJ17" s="161"/>
      <c r="DK17" s="161"/>
      <c r="DL17" s="161"/>
      <c r="DM17" s="161"/>
      <c r="DN17" s="161"/>
      <c r="DO17" s="161"/>
      <c r="DP17" s="161"/>
      <c r="DQ17" s="161"/>
      <c r="DR17" s="161"/>
      <c r="DS17" s="161"/>
      <c r="DT17" s="161"/>
      <c r="DU17" s="161"/>
      <c r="DV17" s="161"/>
      <c r="DW17" s="161"/>
      <c r="DX17" s="161"/>
      <c r="DY17" s="161"/>
      <c r="DZ17" s="161"/>
      <c r="EA17" s="161"/>
      <c r="EB17" s="161"/>
      <c r="EC17" s="161"/>
      <c r="ED17" s="161"/>
      <c r="EE17" s="161"/>
      <c r="EF17" s="161"/>
      <c r="EG17" s="161"/>
      <c r="EH17" s="161"/>
      <c r="EI17" s="161"/>
      <c r="EJ17" s="161"/>
      <c r="EK17" s="161"/>
      <c r="EL17" s="161"/>
      <c r="EM17" s="161"/>
      <c r="EN17" s="161"/>
      <c r="EO17" s="161"/>
      <c r="EP17" s="161"/>
      <c r="EQ17" s="161"/>
      <c r="ER17" s="161"/>
      <c r="ES17" s="161"/>
      <c r="ET17" s="161"/>
      <c r="EU17" s="161"/>
      <c r="EV17" s="161"/>
      <c r="EW17" s="161"/>
      <c r="EX17" s="161"/>
      <c r="EY17" s="161"/>
      <c r="EZ17" s="161"/>
      <c r="FA17" s="161"/>
      <c r="FB17" s="161"/>
      <c r="FC17" s="161"/>
      <c r="FD17" s="161"/>
      <c r="FE17" s="161"/>
      <c r="FF17" s="161"/>
      <c r="FG17" s="161"/>
      <c r="FH17" s="161"/>
      <c r="FI17" s="161"/>
      <c r="FJ17" s="161"/>
      <c r="FK17" s="161"/>
      <c r="FL17" s="161"/>
      <c r="FM17" s="161"/>
      <c r="FN17" s="161"/>
      <c r="FO17" s="161"/>
      <c r="FP17" s="161"/>
      <c r="FQ17" s="161"/>
      <c r="FR17" s="161"/>
      <c r="FS17" s="161"/>
      <c r="FT17" s="161"/>
      <c r="FU17" s="161"/>
      <c r="FV17" s="161"/>
      <c r="FW17" s="161"/>
      <c r="FX17" s="161"/>
      <c r="FY17" s="161"/>
      <c r="FZ17" s="161"/>
      <c r="GA17" s="161"/>
      <c r="GB17" s="161"/>
      <c r="GC17" s="161"/>
      <c r="GD17" s="161"/>
      <c r="GE17" s="161"/>
      <c r="GF17" s="161"/>
      <c r="GG17" s="161"/>
      <c r="GH17" s="161"/>
      <c r="GI17" s="161"/>
      <c r="GJ17" s="161"/>
      <c r="GK17" s="161"/>
      <c r="GL17" s="161"/>
      <c r="GM17" s="161"/>
      <c r="GN17" s="161"/>
      <c r="GO17" s="161"/>
      <c r="GP17" s="161"/>
      <c r="GQ17" s="161"/>
      <c r="GR17" s="161"/>
      <c r="GS17" s="161"/>
      <c r="GT17" s="161"/>
      <c r="GU17" s="161"/>
      <c r="GV17" s="161"/>
      <c r="GW17" s="161"/>
      <c r="GX17" s="161"/>
      <c r="GY17" s="161"/>
      <c r="GZ17" s="161"/>
      <c r="HA17" s="161"/>
      <c r="HB17" s="161"/>
      <c r="HC17" s="161"/>
      <c r="HD17" s="161"/>
      <c r="HE17" s="161"/>
      <c r="HF17" s="161"/>
      <c r="HG17" s="161"/>
      <c r="HH17" s="161"/>
      <c r="HI17" s="161"/>
      <c r="HJ17" s="161"/>
      <c r="HK17" s="161"/>
      <c r="HL17" s="161"/>
      <c r="HM17" s="161"/>
      <c r="HN17" s="161"/>
      <c r="HO17" s="161"/>
      <c r="HP17" s="161"/>
      <c r="HQ17" s="161"/>
      <c r="HR17" s="161"/>
      <c r="HS17" s="161"/>
      <c r="HT17" s="161"/>
      <c r="HU17" s="161"/>
      <c r="HV17" s="161"/>
      <c r="HW17" s="161"/>
      <c r="HX17" s="161"/>
      <c r="HY17" s="161"/>
      <c r="HZ17" s="161"/>
      <c r="IA17" s="161"/>
      <c r="IB17" s="292"/>
      <c r="IC17" s="292"/>
      <c r="ID17" s="292"/>
      <c r="IE17" s="292"/>
      <c r="IF17" s="292"/>
      <c r="IG17" s="292"/>
      <c r="IH17" s="292"/>
      <c r="II17" s="292"/>
      <c r="IJ17" s="292"/>
      <c r="IK17" s="292"/>
      <c r="IL17" s="292"/>
      <c r="IM17" s="292"/>
      <c r="IN17" s="292"/>
      <c r="IO17" s="292"/>
      <c r="IP17" s="292"/>
      <c r="IQ17" s="292"/>
      <c r="IR17" s="292"/>
      <c r="IS17" s="292"/>
      <c r="IT17" s="292"/>
      <c r="IU17" s="290"/>
      <c r="IV17" s="290"/>
    </row>
    <row r="18" s="106" customFormat="1" ht="38" customHeight="1" spans="1:256">
      <c r="A18" s="134">
        <v>44643</v>
      </c>
      <c r="B18" s="135" t="s">
        <v>4494</v>
      </c>
      <c r="C18" s="136" t="s">
        <v>52</v>
      </c>
      <c r="D18" s="135" t="s">
        <v>4515</v>
      </c>
      <c r="E18" s="135"/>
      <c r="F18" s="137" t="s">
        <v>3246</v>
      </c>
      <c r="G18" s="138" t="s">
        <v>3247</v>
      </c>
      <c r="H18" s="139">
        <v>60</v>
      </c>
      <c r="I18" s="139">
        <v>0</v>
      </c>
      <c r="J18" s="139">
        <v>6</v>
      </c>
      <c r="K18" s="171">
        <f t="shared" si="1"/>
        <v>10</v>
      </c>
      <c r="L18" s="172">
        <v>44658</v>
      </c>
      <c r="M18" s="172">
        <v>44655</v>
      </c>
      <c r="N18" s="173"/>
      <c r="O18" s="174"/>
      <c r="P18" s="175"/>
      <c r="Q18" s="206"/>
      <c r="R18" s="206"/>
      <c r="S18" s="207"/>
      <c r="T18" s="207"/>
      <c r="U18" s="208" t="s">
        <v>4516</v>
      </c>
      <c r="V18" s="135"/>
      <c r="W18" s="209">
        <v>4.0037</v>
      </c>
      <c r="X18" s="210">
        <f t="shared" si="2"/>
        <v>240.222</v>
      </c>
      <c r="Y18" s="248"/>
      <c r="Z18" s="135"/>
      <c r="AA18" s="249">
        <v>60</v>
      </c>
      <c r="AB18" s="250"/>
      <c r="AC18" s="250"/>
      <c r="AD18" s="139">
        <f t="shared" si="0"/>
        <v>60</v>
      </c>
      <c r="AE18" s="251"/>
      <c r="AF18" s="251"/>
      <c r="AG18" s="251"/>
      <c r="AH18" s="251"/>
      <c r="AI18" s="251"/>
      <c r="AJ18" s="279"/>
      <c r="AK18" s="279"/>
      <c r="AL18" s="279"/>
      <c r="AM18" s="280"/>
      <c r="AN18" s="107"/>
      <c r="AO18" s="107"/>
      <c r="AP18" s="288"/>
      <c r="AQ18" s="107"/>
      <c r="AR18" s="107"/>
      <c r="AS18" s="107"/>
      <c r="AT18" s="107"/>
      <c r="AU18" s="107"/>
      <c r="AV18" s="107"/>
      <c r="AW18" s="107"/>
      <c r="AX18" s="107"/>
      <c r="AY18" s="107"/>
      <c r="AZ18" s="107"/>
      <c r="BA18" s="107"/>
      <c r="BB18" s="107"/>
      <c r="BC18" s="107"/>
      <c r="BD18" s="107"/>
      <c r="BE18" s="107"/>
      <c r="BF18" s="107"/>
      <c r="BG18" s="107"/>
      <c r="BH18" s="107"/>
      <c r="BI18" s="107"/>
      <c r="BJ18" s="107"/>
      <c r="BK18" s="107"/>
      <c r="BL18" s="107"/>
      <c r="BM18" s="107"/>
      <c r="BN18" s="107"/>
      <c r="BO18" s="107"/>
      <c r="BP18" s="107"/>
      <c r="BQ18" s="107"/>
      <c r="BR18" s="107"/>
      <c r="BS18" s="107"/>
      <c r="BT18" s="107"/>
      <c r="BU18" s="107"/>
      <c r="BV18" s="107"/>
      <c r="BW18" s="107"/>
      <c r="BX18" s="107"/>
      <c r="BY18" s="107"/>
      <c r="BZ18" s="107"/>
      <c r="CA18" s="107"/>
      <c r="CB18" s="107"/>
      <c r="CC18" s="107"/>
      <c r="CD18" s="107"/>
      <c r="CE18" s="107"/>
      <c r="CF18" s="107"/>
      <c r="CG18" s="107"/>
      <c r="CH18" s="107"/>
      <c r="CI18" s="107"/>
      <c r="CJ18" s="107"/>
      <c r="CK18" s="107"/>
      <c r="CL18" s="107"/>
      <c r="CM18" s="107"/>
      <c r="CN18" s="107"/>
      <c r="CO18" s="107"/>
      <c r="CP18" s="107"/>
      <c r="CQ18" s="107"/>
      <c r="CR18" s="107"/>
      <c r="CS18" s="107"/>
      <c r="CT18" s="107"/>
      <c r="CU18" s="107"/>
      <c r="CV18" s="107"/>
      <c r="CW18" s="107"/>
      <c r="CX18" s="107"/>
      <c r="CY18" s="107"/>
      <c r="CZ18" s="107"/>
      <c r="DA18" s="107"/>
      <c r="DB18" s="107"/>
      <c r="DC18" s="107"/>
      <c r="DD18" s="107"/>
      <c r="DE18" s="107"/>
      <c r="DF18" s="107"/>
      <c r="DG18" s="107"/>
      <c r="DH18" s="107"/>
      <c r="DI18" s="107"/>
      <c r="DJ18" s="107"/>
      <c r="DK18" s="107"/>
      <c r="DL18" s="107"/>
      <c r="DM18" s="107"/>
      <c r="DN18" s="107"/>
      <c r="DO18" s="107"/>
      <c r="DP18" s="107"/>
      <c r="DQ18" s="107"/>
      <c r="DR18" s="107"/>
      <c r="DS18" s="107"/>
      <c r="DT18" s="107"/>
      <c r="DU18" s="107"/>
      <c r="DV18" s="107"/>
      <c r="DW18" s="107"/>
      <c r="DX18" s="107"/>
      <c r="DY18" s="107"/>
      <c r="DZ18" s="107"/>
      <c r="EA18" s="107"/>
      <c r="EB18" s="107"/>
      <c r="EC18" s="107"/>
      <c r="ED18" s="107"/>
      <c r="EE18" s="107"/>
      <c r="EF18" s="107"/>
      <c r="EG18" s="107"/>
      <c r="EH18" s="107"/>
      <c r="EI18" s="107"/>
      <c r="EJ18" s="107"/>
      <c r="EK18" s="107"/>
      <c r="EL18" s="107"/>
      <c r="EM18" s="107"/>
      <c r="EN18" s="107"/>
      <c r="EO18" s="107"/>
      <c r="EP18" s="107"/>
      <c r="EQ18" s="107"/>
      <c r="ER18" s="107"/>
      <c r="ES18" s="107"/>
      <c r="ET18" s="107"/>
      <c r="EU18" s="107"/>
      <c r="EV18" s="107"/>
      <c r="EW18" s="107"/>
      <c r="EX18" s="107"/>
      <c r="EY18" s="107"/>
      <c r="EZ18" s="107"/>
      <c r="FA18" s="107"/>
      <c r="FB18" s="107"/>
      <c r="FC18" s="107"/>
      <c r="FD18" s="107"/>
      <c r="FE18" s="107"/>
      <c r="FF18" s="107"/>
      <c r="FG18" s="107"/>
      <c r="FH18" s="107"/>
      <c r="FI18" s="107"/>
      <c r="FJ18" s="107"/>
      <c r="FK18" s="107"/>
      <c r="FL18" s="107"/>
      <c r="FM18" s="107"/>
      <c r="FN18" s="107"/>
      <c r="FO18" s="107"/>
      <c r="FP18" s="107"/>
      <c r="FQ18" s="107"/>
      <c r="FR18" s="107"/>
      <c r="FS18" s="107"/>
      <c r="FT18" s="107"/>
      <c r="FU18" s="107"/>
      <c r="FV18" s="107"/>
      <c r="FW18" s="107"/>
      <c r="FX18" s="107"/>
      <c r="FY18" s="107"/>
      <c r="FZ18" s="107"/>
      <c r="GA18" s="107"/>
      <c r="GB18" s="107"/>
      <c r="GC18" s="107"/>
      <c r="GD18" s="107"/>
      <c r="GE18" s="107"/>
      <c r="GF18" s="107"/>
      <c r="GG18" s="107"/>
      <c r="GH18" s="107"/>
      <c r="GI18" s="107"/>
      <c r="GJ18" s="107"/>
      <c r="GK18" s="107"/>
      <c r="GL18" s="107"/>
      <c r="GM18" s="107"/>
      <c r="GN18" s="107"/>
      <c r="GO18" s="107"/>
      <c r="GP18" s="107"/>
      <c r="GQ18" s="107"/>
      <c r="GR18" s="107"/>
      <c r="GS18" s="107"/>
      <c r="GT18" s="107"/>
      <c r="GU18" s="107"/>
      <c r="GV18" s="107"/>
      <c r="GW18" s="107"/>
      <c r="GX18" s="107"/>
      <c r="GY18" s="107"/>
      <c r="GZ18" s="107"/>
      <c r="HA18" s="107"/>
      <c r="HB18" s="107"/>
      <c r="HC18" s="107"/>
      <c r="HD18" s="107"/>
      <c r="HE18" s="107"/>
      <c r="HF18" s="107"/>
      <c r="HG18" s="107"/>
      <c r="HH18" s="107"/>
      <c r="HI18" s="107"/>
      <c r="HJ18" s="107"/>
      <c r="HK18" s="107"/>
      <c r="HL18" s="107"/>
      <c r="HM18" s="107"/>
      <c r="HN18" s="107"/>
      <c r="HO18" s="107"/>
      <c r="HP18" s="107"/>
      <c r="HQ18" s="107"/>
      <c r="HR18" s="107"/>
      <c r="HS18" s="107"/>
      <c r="HT18" s="107"/>
      <c r="HU18" s="107"/>
      <c r="HV18" s="107"/>
      <c r="HW18" s="107"/>
      <c r="HX18" s="107"/>
      <c r="HY18" s="107"/>
      <c r="HZ18" s="107"/>
      <c r="IA18" s="107"/>
      <c r="IB18" s="289"/>
      <c r="IC18" s="289"/>
      <c r="ID18" s="289"/>
      <c r="IE18" s="289"/>
      <c r="IF18" s="289"/>
      <c r="IG18" s="289"/>
      <c r="IH18" s="289"/>
      <c r="II18" s="289"/>
      <c r="IJ18" s="289"/>
      <c r="IK18" s="289"/>
      <c r="IL18" s="289"/>
      <c r="IM18" s="289"/>
      <c r="IN18" s="289"/>
      <c r="IO18" s="289"/>
      <c r="IP18" s="289"/>
      <c r="IQ18" s="289"/>
      <c r="IR18" s="289"/>
      <c r="IS18" s="289"/>
      <c r="IT18" s="289"/>
      <c r="IU18" s="103"/>
      <c r="IV18" s="103"/>
    </row>
    <row r="19" s="107" customFormat="1" customHeight="1" spans="1:254">
      <c r="A19" s="134"/>
      <c r="B19" s="140"/>
      <c r="C19" s="141"/>
      <c r="D19" s="142"/>
      <c r="E19" s="140"/>
      <c r="F19" s="142"/>
      <c r="G19" s="142"/>
      <c r="H19" s="143"/>
      <c r="I19" s="142"/>
      <c r="J19" s="142"/>
      <c r="K19" s="142"/>
      <c r="L19" s="172"/>
      <c r="M19" s="176"/>
      <c r="N19" s="177"/>
      <c r="O19" s="178"/>
      <c r="P19" s="179"/>
      <c r="Q19" s="211"/>
      <c r="R19" s="211"/>
      <c r="S19" s="211"/>
      <c r="T19" s="211"/>
      <c r="U19" s="212"/>
      <c r="V19" s="142"/>
      <c r="W19" s="213"/>
      <c r="X19" s="214"/>
      <c r="Y19" s="252"/>
      <c r="Z19" s="141"/>
      <c r="AA19" s="249"/>
      <c r="AB19" s="253"/>
      <c r="AC19" s="253"/>
      <c r="AD19" s="142"/>
      <c r="AE19" s="254"/>
      <c r="AF19" s="254"/>
      <c r="AG19" s="254"/>
      <c r="AH19" s="254"/>
      <c r="AI19" s="254"/>
      <c r="AJ19" s="254"/>
      <c r="AK19" s="254"/>
      <c r="AL19" s="254"/>
      <c r="AM19" s="116"/>
      <c r="AP19" s="289"/>
      <c r="AQ19" s="289"/>
      <c r="AR19" s="289"/>
      <c r="AS19" s="289"/>
      <c r="AT19" s="289"/>
      <c r="AU19" s="289"/>
      <c r="AV19" s="289"/>
      <c r="AW19" s="289"/>
      <c r="AX19" s="289"/>
      <c r="AY19" s="289"/>
      <c r="AZ19" s="289"/>
      <c r="BA19" s="289"/>
      <c r="BB19" s="289"/>
      <c r="BC19" s="289"/>
      <c r="BD19" s="289"/>
      <c r="BE19" s="289"/>
      <c r="BF19" s="289"/>
      <c r="BG19" s="289"/>
      <c r="BH19" s="289"/>
      <c r="BI19" s="289"/>
      <c r="BJ19" s="289"/>
      <c r="BK19" s="289"/>
      <c r="BL19" s="289"/>
      <c r="BM19" s="289"/>
      <c r="BN19" s="289"/>
      <c r="BO19" s="289"/>
      <c r="BP19" s="289"/>
      <c r="BQ19" s="289"/>
      <c r="BR19" s="289"/>
      <c r="BS19" s="289"/>
      <c r="BT19" s="289"/>
      <c r="BU19" s="289"/>
      <c r="BV19" s="289"/>
      <c r="BW19" s="289"/>
      <c r="BX19" s="289"/>
      <c r="BY19" s="289"/>
      <c r="BZ19" s="289"/>
      <c r="CA19" s="289"/>
      <c r="CB19" s="289"/>
      <c r="CC19" s="289"/>
      <c r="CD19" s="289"/>
      <c r="CE19" s="289"/>
      <c r="CF19" s="289"/>
      <c r="CG19" s="289"/>
      <c r="CH19" s="289"/>
      <c r="CI19" s="289"/>
      <c r="CJ19" s="289"/>
      <c r="CK19" s="289"/>
      <c r="CL19" s="289"/>
      <c r="CM19" s="289"/>
      <c r="CN19" s="289"/>
      <c r="CO19" s="289"/>
      <c r="CP19" s="289"/>
      <c r="CQ19" s="289"/>
      <c r="CR19" s="289"/>
      <c r="CS19" s="289"/>
      <c r="CT19" s="289"/>
      <c r="CU19" s="289"/>
      <c r="CV19" s="289"/>
      <c r="CW19" s="289"/>
      <c r="CX19" s="289"/>
      <c r="CY19" s="289"/>
      <c r="CZ19" s="289"/>
      <c r="DA19" s="289"/>
      <c r="DB19" s="289"/>
      <c r="DC19" s="289"/>
      <c r="DD19" s="289"/>
      <c r="DE19" s="289"/>
      <c r="DF19" s="289"/>
      <c r="DG19" s="289"/>
      <c r="DH19" s="289"/>
      <c r="DI19" s="289"/>
      <c r="DJ19" s="289"/>
      <c r="DK19" s="289"/>
      <c r="DL19" s="289"/>
      <c r="DM19" s="289"/>
      <c r="DN19" s="289"/>
      <c r="DO19" s="289"/>
      <c r="DP19" s="289"/>
      <c r="DQ19" s="289"/>
      <c r="DR19" s="289"/>
      <c r="DS19" s="289"/>
      <c r="DT19" s="289"/>
      <c r="DU19" s="289"/>
      <c r="DV19" s="289"/>
      <c r="DW19" s="289"/>
      <c r="DX19" s="289"/>
      <c r="DY19" s="289"/>
      <c r="DZ19" s="289"/>
      <c r="EA19" s="289"/>
      <c r="EB19" s="289"/>
      <c r="EC19" s="289"/>
      <c r="ED19" s="289"/>
      <c r="EE19" s="289"/>
      <c r="EF19" s="289"/>
      <c r="EG19" s="289"/>
      <c r="EH19" s="289"/>
      <c r="EI19" s="289"/>
      <c r="EJ19" s="289"/>
      <c r="EK19" s="289"/>
      <c r="EL19" s="289"/>
      <c r="EM19" s="289"/>
      <c r="EN19" s="289"/>
      <c r="EO19" s="289"/>
      <c r="EP19" s="289"/>
      <c r="EQ19" s="289"/>
      <c r="ER19" s="289"/>
      <c r="ES19" s="289"/>
      <c r="ET19" s="289"/>
      <c r="EU19" s="289"/>
      <c r="EV19" s="289"/>
      <c r="EW19" s="289"/>
      <c r="EX19" s="289"/>
      <c r="EY19" s="289"/>
      <c r="EZ19" s="289"/>
      <c r="FA19" s="289"/>
      <c r="FB19" s="289"/>
      <c r="FC19" s="289"/>
      <c r="FD19" s="289"/>
      <c r="FE19" s="289"/>
      <c r="FF19" s="289"/>
      <c r="FG19" s="289"/>
      <c r="FH19" s="289"/>
      <c r="FI19" s="289"/>
      <c r="FJ19" s="289"/>
      <c r="FK19" s="289"/>
      <c r="FL19" s="289"/>
      <c r="FM19" s="289"/>
      <c r="FN19" s="289"/>
      <c r="FO19" s="289"/>
      <c r="FP19" s="289"/>
      <c r="FQ19" s="289"/>
      <c r="FR19" s="289"/>
      <c r="FS19" s="289"/>
      <c r="FT19" s="289"/>
      <c r="FU19" s="289"/>
      <c r="FV19" s="289"/>
      <c r="FW19" s="289"/>
      <c r="FX19" s="289"/>
      <c r="FY19" s="289"/>
      <c r="FZ19" s="289"/>
      <c r="GA19" s="289"/>
      <c r="GB19" s="289"/>
      <c r="GC19" s="289"/>
      <c r="GD19" s="289"/>
      <c r="GE19" s="289"/>
      <c r="GF19" s="289"/>
      <c r="GG19" s="289"/>
      <c r="GH19" s="289"/>
      <c r="GI19" s="289"/>
      <c r="GJ19" s="289"/>
      <c r="GK19" s="289"/>
      <c r="GL19" s="289"/>
      <c r="GM19" s="289"/>
      <c r="GN19" s="289"/>
      <c r="GO19" s="289"/>
      <c r="GP19" s="289"/>
      <c r="GQ19" s="289"/>
      <c r="GR19" s="289"/>
      <c r="GS19" s="289"/>
      <c r="GT19" s="289"/>
      <c r="GU19" s="289"/>
      <c r="GV19" s="289"/>
      <c r="GW19" s="289"/>
      <c r="GX19" s="289"/>
      <c r="GY19" s="289"/>
      <c r="GZ19" s="289"/>
      <c r="HA19" s="289"/>
      <c r="HB19" s="289"/>
      <c r="HC19" s="289"/>
      <c r="HD19" s="289"/>
      <c r="HE19" s="289"/>
      <c r="HF19" s="289"/>
      <c r="HG19" s="289"/>
      <c r="HH19" s="289"/>
      <c r="HI19" s="289"/>
      <c r="HJ19" s="289"/>
      <c r="HK19" s="289"/>
      <c r="HL19" s="289"/>
      <c r="HM19" s="289"/>
      <c r="HN19" s="289"/>
      <c r="HO19" s="289"/>
      <c r="HP19" s="289"/>
      <c r="HQ19" s="289"/>
      <c r="HR19" s="289"/>
      <c r="HS19" s="289"/>
      <c r="HT19" s="289"/>
      <c r="HU19" s="289"/>
      <c r="HV19" s="289"/>
      <c r="HW19" s="289"/>
      <c r="HX19" s="289"/>
      <c r="HY19" s="289"/>
      <c r="HZ19" s="289"/>
      <c r="IA19" s="289"/>
      <c r="IB19" s="289"/>
      <c r="IC19" s="289"/>
      <c r="ID19" s="289"/>
      <c r="IE19" s="289"/>
      <c r="IF19" s="289"/>
      <c r="IG19" s="289"/>
      <c r="IH19" s="289"/>
      <c r="II19" s="289"/>
      <c r="IJ19" s="289"/>
      <c r="IK19" s="289"/>
      <c r="IL19" s="289"/>
      <c r="IM19" s="289"/>
      <c r="IN19" s="289"/>
      <c r="IO19" s="289"/>
      <c r="IP19" s="289"/>
      <c r="IQ19" s="289"/>
      <c r="IR19" s="289"/>
      <c r="IS19" s="289"/>
      <c r="IT19" s="289"/>
    </row>
    <row r="20" s="103" customFormat="1" customHeight="1" spans="1:39">
      <c r="A20" s="144"/>
      <c r="B20" s="145"/>
      <c r="C20" s="70"/>
      <c r="D20" s="71"/>
      <c r="E20" s="145"/>
      <c r="F20" s="71"/>
      <c r="G20" s="71"/>
      <c r="H20" s="74"/>
      <c r="I20" s="71"/>
      <c r="J20" s="71"/>
      <c r="K20" s="71"/>
      <c r="L20" s="180"/>
      <c r="M20" s="181"/>
      <c r="N20" s="182"/>
      <c r="O20" s="183"/>
      <c r="P20" s="184"/>
      <c r="Q20" s="215"/>
      <c r="R20" s="215"/>
      <c r="S20" s="215"/>
      <c r="T20" s="215"/>
      <c r="U20" s="216"/>
      <c r="V20" s="71"/>
      <c r="W20" s="217"/>
      <c r="X20" s="86"/>
      <c r="Y20" s="255"/>
      <c r="Z20" s="256"/>
      <c r="AA20" s="257"/>
      <c r="AB20" s="258"/>
      <c r="AC20" s="258"/>
      <c r="AD20" s="259"/>
      <c r="AE20" s="88"/>
      <c r="AF20" s="96"/>
      <c r="AG20" s="88"/>
      <c r="AH20" s="96"/>
      <c r="AI20" s="281"/>
      <c r="AJ20" s="282"/>
      <c r="AK20" s="282"/>
      <c r="AL20" s="282"/>
      <c r="AM20" s="116"/>
    </row>
    <row r="21" customHeight="1" spans="1:38">
      <c r="A21" s="146"/>
      <c r="C21" s="146"/>
      <c r="G21" s="65" t="s">
        <v>1441</v>
      </c>
      <c r="H21" s="65">
        <f>SUM(H4:H20)</f>
        <v>72826</v>
      </c>
      <c r="L21" s="185"/>
      <c r="M21" s="56"/>
      <c r="X21" s="218">
        <f>SUM(X5:X20)*7.75</f>
        <v>2150041.4715</v>
      </c>
      <c r="Z21" s="146"/>
      <c r="AA21" s="113"/>
      <c r="AB21" s="56"/>
      <c r="AC21" s="56"/>
      <c r="AD21" s="56">
        <f>SUM(AD3:AD20)</f>
        <v>72826</v>
      </c>
      <c r="AE21" s="65">
        <f>SUM(AE3:AE20)</f>
        <v>0</v>
      </c>
      <c r="AF21" s="260">
        <f>SUM(AF3:AF20)</f>
        <v>60</v>
      </c>
      <c r="AG21" s="65">
        <f>SUM(AG3:AG20)</f>
        <v>0</v>
      </c>
      <c r="AH21" s="260">
        <f>SUM(AH3:AH20)</f>
        <v>60</v>
      </c>
      <c r="AI21" s="260"/>
      <c r="AJ21" s="283">
        <f>SUM(AJ3:AJ20)</f>
        <v>72216</v>
      </c>
      <c r="AK21" s="283">
        <f>SUM(AK5:AK20)</f>
        <v>72216</v>
      </c>
      <c r="AL21" s="283"/>
    </row>
    <row r="22" customHeight="1" spans="1:29">
      <c r="A22" s="146"/>
      <c r="C22" s="146"/>
      <c r="G22" s="65"/>
      <c r="L22" s="185"/>
      <c r="M22" s="56"/>
      <c r="Z22" s="146"/>
      <c r="AA22" s="113"/>
      <c r="AB22" s="56"/>
      <c r="AC22" s="56"/>
    </row>
    <row r="23" customHeight="1" spans="1:29">
      <c r="A23" s="146"/>
      <c r="C23" s="146"/>
      <c r="G23" s="65"/>
      <c r="L23" s="185"/>
      <c r="M23" s="56"/>
      <c r="Z23" s="146"/>
      <c r="AA23" s="56"/>
      <c r="AB23" s="56"/>
      <c r="AC23" s="56"/>
    </row>
    <row r="24" customHeight="1" spans="3:29">
      <c r="C24" s="146"/>
      <c r="L24" s="185"/>
      <c r="M24" s="56"/>
      <c r="Z24" s="146"/>
      <c r="AA24" s="56"/>
      <c r="AB24" s="56"/>
      <c r="AC24" s="56"/>
    </row>
    <row r="25" customHeight="1" spans="1:29">
      <c r="A25" s="146"/>
      <c r="C25" s="146"/>
      <c r="L25" s="185"/>
      <c r="M25" s="56"/>
      <c r="Z25" s="146"/>
      <c r="AA25" s="56"/>
      <c r="AB25" s="56"/>
      <c r="AC25" s="56"/>
    </row>
    <row r="26" customHeight="1" spans="1:29">
      <c r="A26" s="146"/>
      <c r="C26" s="146"/>
      <c r="L26" s="185"/>
      <c r="M26" s="56"/>
      <c r="Z26" s="146"/>
      <c r="AA26" s="56"/>
      <c r="AB26" s="56"/>
      <c r="AC26" s="56"/>
    </row>
    <row r="27" customHeight="1" spans="1:29">
      <c r="A27" s="146"/>
      <c r="C27" s="146"/>
      <c r="L27" s="185"/>
      <c r="M27" s="56"/>
      <c r="Z27" s="146"/>
      <c r="AA27" s="56"/>
      <c r="AB27" s="56"/>
      <c r="AC27" s="56"/>
    </row>
    <row r="28" customHeight="1" spans="1:29">
      <c r="A28" s="146"/>
      <c r="C28" s="146"/>
      <c r="L28" s="185"/>
      <c r="M28" s="56"/>
      <c r="Z28" s="146"/>
      <c r="AA28" s="56"/>
      <c r="AB28" s="56"/>
      <c r="AC28" s="56"/>
    </row>
    <row r="29" customHeight="1" spans="1:29">
      <c r="A29" s="146"/>
      <c r="C29" s="146"/>
      <c r="L29" s="185"/>
      <c r="M29" s="56"/>
      <c r="Z29" s="146"/>
      <c r="AA29" s="56"/>
      <c r="AB29" s="56"/>
      <c r="AC29" s="56"/>
    </row>
    <row r="30" customHeight="1" spans="1:29">
      <c r="A30" s="146"/>
      <c r="C30" s="146"/>
      <c r="L30" s="185"/>
      <c r="M30" s="56"/>
      <c r="Z30" s="146"/>
      <c r="AA30" s="56"/>
      <c r="AB30" s="56"/>
      <c r="AC30" s="56"/>
    </row>
    <row r="31" customHeight="1" spans="1:29">
      <c r="A31" s="146"/>
      <c r="C31" s="146"/>
      <c r="L31" s="185"/>
      <c r="M31" s="56"/>
      <c r="Z31" s="146"/>
      <c r="AA31" s="56"/>
      <c r="AB31" s="56"/>
      <c r="AC31" s="56"/>
    </row>
    <row r="32" customHeight="1" spans="1:29">
      <c r="A32" s="146"/>
      <c r="C32" s="146"/>
      <c r="L32" s="185"/>
      <c r="M32" s="56"/>
      <c r="Z32" s="146"/>
      <c r="AA32" s="56"/>
      <c r="AB32" s="56"/>
      <c r="AC32" s="56"/>
    </row>
    <row r="33" customHeight="1" spans="1:29">
      <c r="A33" s="146"/>
      <c r="C33" s="146"/>
      <c r="L33" s="185"/>
      <c r="M33" s="56"/>
      <c r="Z33" s="146"/>
      <c r="AA33" s="56"/>
      <c r="AB33" s="56"/>
      <c r="AC33" s="56"/>
    </row>
    <row r="34" customHeight="1" spans="1:29">
      <c r="A34" s="146"/>
      <c r="C34" s="146"/>
      <c r="L34" s="185"/>
      <c r="M34" s="56"/>
      <c r="Z34" s="146"/>
      <c r="AA34" s="56"/>
      <c r="AB34" s="56"/>
      <c r="AC34" s="56"/>
    </row>
    <row r="35" customHeight="1" spans="1:29">
      <c r="A35" s="146"/>
      <c r="C35" s="146"/>
      <c r="L35" s="185"/>
      <c r="M35" s="56"/>
      <c r="Z35" s="146"/>
      <c r="AA35" s="56"/>
      <c r="AB35" s="56"/>
      <c r="AC35" s="56"/>
    </row>
    <row r="36" customHeight="1" spans="1:29">
      <c r="A36" s="146"/>
      <c r="C36" s="146"/>
      <c r="L36" s="185"/>
      <c r="M36" s="56"/>
      <c r="Z36" s="146"/>
      <c r="AA36" s="56"/>
      <c r="AB36" s="56"/>
      <c r="AC36" s="56"/>
    </row>
    <row r="37" customHeight="1" spans="1:29">
      <c r="A37" s="146"/>
      <c r="C37" s="146"/>
      <c r="L37" s="185"/>
      <c r="M37" s="56"/>
      <c r="Z37" s="146"/>
      <c r="AA37" s="56"/>
      <c r="AB37" s="56"/>
      <c r="AC37" s="56"/>
    </row>
    <row r="38" customHeight="1" spans="1:29">
      <c r="A38" s="146"/>
      <c r="C38" s="146"/>
      <c r="L38" s="185"/>
      <c r="M38" s="56"/>
      <c r="Z38" s="146"/>
      <c r="AA38" s="56"/>
      <c r="AB38" s="56"/>
      <c r="AC38" s="56"/>
    </row>
    <row r="39" customHeight="1" spans="1:29">
      <c r="A39" s="146"/>
      <c r="C39" s="146"/>
      <c r="L39" s="185"/>
      <c r="M39" s="56"/>
      <c r="Z39" s="146"/>
      <c r="AA39" s="56"/>
      <c r="AB39" s="56"/>
      <c r="AC39" s="56"/>
    </row>
    <row r="40" customHeight="1" spans="1:29">
      <c r="A40" s="146"/>
      <c r="C40" s="146"/>
      <c r="L40" s="185"/>
      <c r="M40" s="56"/>
      <c r="Z40" s="146"/>
      <c r="AA40" s="56"/>
      <c r="AB40" s="56"/>
      <c r="AC40" s="56"/>
    </row>
    <row r="41" customHeight="1" spans="1:29">
      <c r="A41" s="146"/>
      <c r="C41" s="146"/>
      <c r="L41" s="185"/>
      <c r="M41" s="56"/>
      <c r="Z41" s="146"/>
      <c r="AA41" s="56"/>
      <c r="AB41" s="56"/>
      <c r="AC41" s="56"/>
    </row>
    <row r="42" customHeight="1" spans="1:29">
      <c r="A42" s="146"/>
      <c r="C42" s="146"/>
      <c r="L42" s="185"/>
      <c r="M42" s="56"/>
      <c r="Z42" s="146"/>
      <c r="AA42" s="56"/>
      <c r="AB42" s="56"/>
      <c r="AC42" s="56"/>
    </row>
    <row r="43" customHeight="1" spans="1:29">
      <c r="A43" s="146"/>
      <c r="C43" s="146"/>
      <c r="L43" s="185"/>
      <c r="M43" s="56"/>
      <c r="Z43" s="146"/>
      <c r="AA43" s="56"/>
      <c r="AB43" s="56"/>
      <c r="AC43" s="56"/>
    </row>
    <row r="44" customHeight="1" spans="1:29">
      <c r="A44" s="146"/>
      <c r="C44" s="146"/>
      <c r="L44" s="185"/>
      <c r="M44" s="56"/>
      <c r="Z44" s="146"/>
      <c r="AA44" s="56"/>
      <c r="AB44" s="56"/>
      <c r="AC44" s="56"/>
    </row>
    <row r="45" customHeight="1" spans="1:29">
      <c r="A45" s="146"/>
      <c r="C45" s="146"/>
      <c r="L45" s="185"/>
      <c r="M45" s="56"/>
      <c r="Z45" s="146"/>
      <c r="AA45" s="56"/>
      <c r="AB45" s="56"/>
      <c r="AC45" s="56"/>
    </row>
    <row r="46" customHeight="1" spans="1:29">
      <c r="A46" s="146"/>
      <c r="C46" s="146"/>
      <c r="L46" s="185"/>
      <c r="M46" s="56"/>
      <c r="Z46" s="146"/>
      <c r="AA46" s="56"/>
      <c r="AB46" s="56"/>
      <c r="AC46" s="56"/>
    </row>
    <row r="47" customHeight="1" spans="1:29">
      <c r="A47" s="146"/>
      <c r="C47" s="146"/>
      <c r="L47" s="185"/>
      <c r="M47" s="56"/>
      <c r="Z47" s="146"/>
      <c r="AA47" s="56"/>
      <c r="AB47" s="56"/>
      <c r="AC47" s="56"/>
    </row>
    <row r="48" customHeight="1" spans="1:29">
      <c r="A48" s="146"/>
      <c r="C48" s="146"/>
      <c r="L48" s="185"/>
      <c r="M48" s="56"/>
      <c r="Z48" s="146"/>
      <c r="AA48" s="56"/>
      <c r="AB48" s="56"/>
      <c r="AC48" s="56"/>
    </row>
    <row r="49" customHeight="1" spans="1:29">
      <c r="A49" s="146"/>
      <c r="C49" s="146"/>
      <c r="L49" s="185"/>
      <c r="M49" s="56"/>
      <c r="Z49" s="146"/>
      <c r="AA49" s="56"/>
      <c r="AB49" s="56"/>
      <c r="AC49" s="56"/>
    </row>
    <row r="50" customHeight="1" spans="1:29">
      <c r="A50" s="146"/>
      <c r="C50" s="146"/>
      <c r="L50" s="185"/>
      <c r="M50" s="56"/>
      <c r="Z50" s="146"/>
      <c r="AA50" s="56"/>
      <c r="AB50" s="56"/>
      <c r="AC50" s="56"/>
    </row>
    <row r="51" customHeight="1" spans="1:29">
      <c r="A51" s="146"/>
      <c r="C51" s="146"/>
      <c r="L51" s="185"/>
      <c r="M51" s="56"/>
      <c r="Z51" s="146"/>
      <c r="AA51" s="56"/>
      <c r="AB51" s="56"/>
      <c r="AC51" s="56"/>
    </row>
    <row r="52" customHeight="1" spans="1:29">
      <c r="A52" s="146"/>
      <c r="C52" s="146"/>
      <c r="L52" s="185"/>
      <c r="M52" s="56"/>
      <c r="Z52" s="146"/>
      <c r="AA52" s="56"/>
      <c r="AB52" s="56"/>
      <c r="AC52" s="56"/>
    </row>
    <row r="53" customHeight="1" spans="1:29">
      <c r="A53" s="146"/>
      <c r="C53" s="146"/>
      <c r="L53" s="185"/>
      <c r="M53" s="56"/>
      <c r="Z53" s="146"/>
      <c r="AA53" s="56"/>
      <c r="AB53" s="56"/>
      <c r="AC53" s="56"/>
    </row>
    <row r="54" customHeight="1" spans="1:29">
      <c r="A54" s="146"/>
      <c r="C54" s="146"/>
      <c r="L54" s="185"/>
      <c r="M54" s="56"/>
      <c r="Z54" s="146"/>
      <c r="AA54" s="56"/>
      <c r="AB54" s="56"/>
      <c r="AC54" s="56"/>
    </row>
    <row r="55" customHeight="1" spans="1:29">
      <c r="A55" s="146"/>
      <c r="C55" s="146"/>
      <c r="L55" s="185"/>
      <c r="M55" s="56"/>
      <c r="Z55" s="146"/>
      <c r="AA55" s="56"/>
      <c r="AB55" s="56"/>
      <c r="AC55" s="56"/>
    </row>
    <row r="56" customHeight="1" spans="1:29">
      <c r="A56" s="146"/>
      <c r="C56" s="146"/>
      <c r="L56" s="185"/>
      <c r="M56" s="56"/>
      <c r="Z56" s="146"/>
      <c r="AA56" s="56"/>
      <c r="AB56" s="56"/>
      <c r="AC56" s="56"/>
    </row>
    <row r="57" customHeight="1" spans="1:29">
      <c r="A57" s="146"/>
      <c r="C57" s="146"/>
      <c r="L57" s="185"/>
      <c r="M57" s="56"/>
      <c r="Z57" s="146"/>
      <c r="AA57" s="56"/>
      <c r="AB57" s="56"/>
      <c r="AC57" s="56"/>
    </row>
    <row r="58" customHeight="1" spans="1:29">
      <c r="A58" s="146"/>
      <c r="C58" s="146"/>
      <c r="L58" s="185"/>
      <c r="M58" s="56"/>
      <c r="Z58" s="146"/>
      <c r="AA58" s="56"/>
      <c r="AB58" s="56"/>
      <c r="AC58" s="56"/>
    </row>
    <row r="59" customHeight="1" spans="1:29">
      <c r="A59" s="146"/>
      <c r="C59" s="146"/>
      <c r="L59" s="185"/>
      <c r="M59" s="56"/>
      <c r="Z59" s="146"/>
      <c r="AA59" s="56"/>
      <c r="AB59" s="56"/>
      <c r="AC59" s="56"/>
    </row>
    <row r="60" customHeight="1" spans="1:29">
      <c r="A60" s="146"/>
      <c r="C60" s="146"/>
      <c r="L60" s="185"/>
      <c r="M60" s="56"/>
      <c r="Z60" s="146"/>
      <c r="AA60" s="56"/>
      <c r="AB60" s="56"/>
      <c r="AC60" s="56"/>
    </row>
    <row r="61" customHeight="1" spans="1:29">
      <c r="A61" s="146"/>
      <c r="C61" s="146"/>
      <c r="L61" s="185"/>
      <c r="M61" s="56"/>
      <c r="Z61" s="146"/>
      <c r="AA61" s="56"/>
      <c r="AB61" s="56"/>
      <c r="AC61" s="56"/>
    </row>
    <row r="62" customHeight="1" spans="1:29">
      <c r="A62" s="146"/>
      <c r="C62" s="146"/>
      <c r="L62" s="185"/>
      <c r="M62" s="56"/>
      <c r="Z62" s="146"/>
      <c r="AA62" s="56"/>
      <c r="AB62" s="56"/>
      <c r="AC62" s="56"/>
    </row>
    <row r="63" customHeight="1" spans="1:29">
      <c r="A63" s="146"/>
      <c r="C63" s="146"/>
      <c r="L63" s="185"/>
      <c r="M63" s="56"/>
      <c r="Z63" s="146"/>
      <c r="AA63" s="56"/>
      <c r="AB63" s="56"/>
      <c r="AC63" s="56"/>
    </row>
    <row r="64" customHeight="1" spans="1:29">
      <c r="A64" s="146"/>
      <c r="C64" s="146"/>
      <c r="L64" s="185"/>
      <c r="M64" s="56"/>
      <c r="Z64" s="146"/>
      <c r="AA64" s="56"/>
      <c r="AB64" s="56"/>
      <c r="AC64" s="56"/>
    </row>
    <row r="65" customHeight="1" spans="1:29">
      <c r="A65" s="146"/>
      <c r="C65" s="146"/>
      <c r="L65" s="185"/>
      <c r="M65" s="56"/>
      <c r="Z65" s="146"/>
      <c r="AA65" s="56"/>
      <c r="AB65" s="56"/>
      <c r="AC65" s="56"/>
    </row>
    <row r="66" customHeight="1" spans="1:29">
      <c r="A66" s="146"/>
      <c r="C66" s="146"/>
      <c r="L66" s="185"/>
      <c r="M66" s="56"/>
      <c r="Z66" s="146"/>
      <c r="AA66" s="56"/>
      <c r="AB66" s="56"/>
      <c r="AC66" s="56"/>
    </row>
    <row r="67" customHeight="1" spans="1:29">
      <c r="A67" s="146"/>
      <c r="C67" s="146"/>
      <c r="L67" s="185"/>
      <c r="M67" s="56"/>
      <c r="Z67" s="146"/>
      <c r="AA67" s="56"/>
      <c r="AB67" s="56"/>
      <c r="AC67" s="56"/>
    </row>
    <row r="68" customHeight="1" spans="1:29">
      <c r="A68" s="146"/>
      <c r="C68" s="146"/>
      <c r="L68" s="185"/>
      <c r="M68" s="56"/>
      <c r="Z68" s="146"/>
      <c r="AA68" s="56"/>
      <c r="AB68" s="56"/>
      <c r="AC68" s="56"/>
    </row>
    <row r="69" customHeight="1" spans="1:29">
      <c r="A69" s="146"/>
      <c r="C69" s="146"/>
      <c r="L69" s="185"/>
      <c r="M69" s="56"/>
      <c r="Z69" s="146"/>
      <c r="AA69" s="56"/>
      <c r="AB69" s="56"/>
      <c r="AC69" s="56"/>
    </row>
    <row r="70" customHeight="1" spans="1:29">
      <c r="A70" s="146"/>
      <c r="C70" s="146"/>
      <c r="L70" s="185"/>
      <c r="M70" s="56"/>
      <c r="Z70" s="146"/>
      <c r="AA70" s="56"/>
      <c r="AB70" s="56"/>
      <c r="AC70" s="56"/>
    </row>
    <row r="71" customHeight="1" spans="1:29">
      <c r="A71" s="146"/>
      <c r="C71" s="146"/>
      <c r="L71" s="185"/>
      <c r="M71" s="56"/>
      <c r="Z71" s="146"/>
      <c r="AA71" s="56"/>
      <c r="AB71" s="56"/>
      <c r="AC71" s="56"/>
    </row>
    <row r="72" customHeight="1" spans="1:29">
      <c r="A72" s="146"/>
      <c r="C72" s="146"/>
      <c r="L72" s="185"/>
      <c r="M72" s="56"/>
      <c r="Z72" s="146"/>
      <c r="AA72" s="56"/>
      <c r="AB72" s="56"/>
      <c r="AC72" s="56"/>
    </row>
    <row r="73" customHeight="1" spans="1:29">
      <c r="A73" s="146"/>
      <c r="C73" s="146"/>
      <c r="L73" s="185"/>
      <c r="M73" s="56"/>
      <c r="Z73" s="146"/>
      <c r="AA73" s="56"/>
      <c r="AB73" s="56"/>
      <c r="AC73" s="56"/>
    </row>
    <row r="74" customHeight="1" spans="1:29">
      <c r="A74" s="146"/>
      <c r="C74" s="146"/>
      <c r="L74" s="185"/>
      <c r="M74" s="56"/>
      <c r="Z74" s="146"/>
      <c r="AA74" s="56"/>
      <c r="AB74" s="56"/>
      <c r="AC74" s="56"/>
    </row>
    <row r="75" customHeight="1" spans="1:29">
      <c r="A75" s="146"/>
      <c r="C75" s="146"/>
      <c r="L75" s="185"/>
      <c r="M75" s="56"/>
      <c r="Z75" s="146"/>
      <c r="AA75" s="56"/>
      <c r="AB75" s="56"/>
      <c r="AC75" s="56"/>
    </row>
    <row r="76" customHeight="1" spans="1:29">
      <c r="A76" s="146"/>
      <c r="C76" s="146"/>
      <c r="L76" s="185"/>
      <c r="M76" s="56"/>
      <c r="Z76" s="146"/>
      <c r="AA76" s="56"/>
      <c r="AB76" s="56"/>
      <c r="AC76" s="56"/>
    </row>
    <row r="77" customHeight="1" spans="1:29">
      <c r="A77" s="146"/>
      <c r="C77" s="146"/>
      <c r="L77" s="185"/>
      <c r="M77" s="56"/>
      <c r="Z77" s="146"/>
      <c r="AA77" s="56"/>
      <c r="AB77" s="56"/>
      <c r="AC77" s="56"/>
    </row>
    <row r="78" customHeight="1" spans="1:29">
      <c r="A78" s="146"/>
      <c r="C78" s="146"/>
      <c r="L78" s="185"/>
      <c r="M78" s="56"/>
      <c r="Z78" s="146"/>
      <c r="AA78" s="56"/>
      <c r="AB78" s="56"/>
      <c r="AC78" s="56"/>
    </row>
    <row r="79" customHeight="1" spans="1:29">
      <c r="A79" s="146"/>
      <c r="C79" s="146"/>
      <c r="L79" s="185"/>
      <c r="M79" s="56"/>
      <c r="Z79" s="146"/>
      <c r="AA79" s="56"/>
      <c r="AB79" s="56"/>
      <c r="AC79" s="56"/>
    </row>
    <row r="80" customHeight="1" spans="1:29">
      <c r="A80" s="146"/>
      <c r="C80" s="146"/>
      <c r="L80" s="185"/>
      <c r="M80" s="56"/>
      <c r="Z80" s="146"/>
      <c r="AA80" s="56"/>
      <c r="AB80" s="56"/>
      <c r="AC80" s="56"/>
    </row>
    <row r="81" customHeight="1" spans="1:29">
      <c r="A81" s="146"/>
      <c r="C81" s="146"/>
      <c r="L81" s="185"/>
      <c r="M81" s="56"/>
      <c r="Z81" s="146"/>
      <c r="AA81" s="56"/>
      <c r="AB81" s="56"/>
      <c r="AC81" s="56"/>
    </row>
    <row r="82" customHeight="1" spans="1:29">
      <c r="A82" s="146"/>
      <c r="C82" s="146"/>
      <c r="L82" s="185"/>
      <c r="M82" s="56"/>
      <c r="Z82" s="146"/>
      <c r="AA82" s="56"/>
      <c r="AB82" s="56"/>
      <c r="AC82" s="56"/>
    </row>
    <row r="83" customHeight="1" spans="1:29">
      <c r="A83" s="146"/>
      <c r="C83" s="146"/>
      <c r="L83" s="185"/>
      <c r="M83" s="56"/>
      <c r="Z83" s="146"/>
      <c r="AA83" s="56"/>
      <c r="AB83" s="56"/>
      <c r="AC83" s="56"/>
    </row>
    <row r="84" customHeight="1" spans="1:29">
      <c r="A84" s="146"/>
      <c r="C84" s="146"/>
      <c r="L84" s="185"/>
      <c r="M84" s="56"/>
      <c r="Z84" s="146"/>
      <c r="AA84" s="56"/>
      <c r="AB84" s="56"/>
      <c r="AC84" s="56"/>
    </row>
    <row r="85" customHeight="1" spans="1:29">
      <c r="A85" s="146"/>
      <c r="C85" s="146"/>
      <c r="L85" s="185"/>
      <c r="M85" s="56"/>
      <c r="Z85" s="146"/>
      <c r="AA85" s="56"/>
      <c r="AB85" s="56"/>
      <c r="AC85" s="56"/>
    </row>
    <row r="86" customHeight="1" spans="1:29">
      <c r="A86" s="146"/>
      <c r="C86" s="146"/>
      <c r="L86" s="185"/>
      <c r="M86" s="56"/>
      <c r="Z86" s="146"/>
      <c r="AA86" s="56"/>
      <c r="AB86" s="56"/>
      <c r="AC86" s="56"/>
    </row>
    <row r="87" customHeight="1" spans="1:29">
      <c r="A87" s="146"/>
      <c r="L87" s="185"/>
      <c r="M87" s="56"/>
      <c r="AA87" s="56"/>
      <c r="AB87" s="56"/>
      <c r="AC87" s="56"/>
    </row>
    <row r="88" customHeight="1" spans="1:29">
      <c r="A88" s="146"/>
      <c r="L88" s="185"/>
      <c r="M88" s="56"/>
      <c r="AA88" s="56"/>
      <c r="AB88" s="56"/>
      <c r="AC88" s="56"/>
    </row>
    <row r="89" customHeight="1" spans="1:29">
      <c r="A89" s="146"/>
      <c r="L89" s="185"/>
      <c r="M89" s="56"/>
      <c r="AA89" s="56"/>
      <c r="AB89" s="56"/>
      <c r="AC89" s="56"/>
    </row>
    <row r="90" customHeight="1" spans="1:29">
      <c r="A90" s="146"/>
      <c r="L90" s="185"/>
      <c r="M90" s="56"/>
      <c r="AA90" s="56"/>
      <c r="AB90" s="56"/>
      <c r="AC90" s="56"/>
    </row>
    <row r="91" customHeight="1" spans="1:29">
      <c r="A91" s="146"/>
      <c r="L91" s="185"/>
      <c r="M91" s="56"/>
      <c r="AA91" s="56"/>
      <c r="AB91" s="56"/>
      <c r="AC91" s="56"/>
    </row>
    <row r="92" customHeight="1" spans="1:29">
      <c r="A92" s="146"/>
      <c r="L92" s="185"/>
      <c r="M92" s="56"/>
      <c r="AA92" s="56"/>
      <c r="AB92" s="56"/>
      <c r="AC92" s="56"/>
    </row>
    <row r="93" customHeight="1" spans="1:29">
      <c r="A93" s="146"/>
      <c r="L93" s="185"/>
      <c r="M93" s="56"/>
      <c r="AA93" s="56"/>
      <c r="AB93" s="56"/>
      <c r="AC93" s="56"/>
    </row>
    <row r="94" customHeight="1" spans="1:29">
      <c r="A94" s="146"/>
      <c r="L94" s="185"/>
      <c r="M94" s="56"/>
      <c r="AA94" s="56"/>
      <c r="AB94" s="56"/>
      <c r="AC94" s="56"/>
    </row>
    <row r="95" customHeight="1" spans="1:29">
      <c r="A95" s="146"/>
      <c r="L95" s="185"/>
      <c r="M95" s="56"/>
      <c r="AA95" s="56"/>
      <c r="AB95" s="56"/>
      <c r="AC95" s="56"/>
    </row>
    <row r="96" customHeight="1" spans="1:29">
      <c r="A96" s="146"/>
      <c r="L96" s="185"/>
      <c r="M96" s="56"/>
      <c r="AA96" s="56"/>
      <c r="AB96" s="56"/>
      <c r="AC96" s="56"/>
    </row>
    <row r="97" customHeight="1" spans="1:29">
      <c r="A97" s="146"/>
      <c r="L97" s="185"/>
      <c r="M97" s="56"/>
      <c r="AA97" s="56"/>
      <c r="AB97" s="56"/>
      <c r="AC97" s="56"/>
    </row>
    <row r="98" customHeight="1" spans="1:29">
      <c r="A98" s="146"/>
      <c r="L98" s="185"/>
      <c r="M98" s="56"/>
      <c r="AA98" s="56"/>
      <c r="AB98" s="56"/>
      <c r="AC98" s="56"/>
    </row>
    <row r="99" customHeight="1" spans="1:29">
      <c r="A99" s="146"/>
      <c r="L99" s="185"/>
      <c r="M99" s="56"/>
      <c r="AA99" s="56"/>
      <c r="AB99" s="56"/>
      <c r="AC99" s="56"/>
    </row>
    <row r="100" customHeight="1" spans="1:29">
      <c r="A100" s="146"/>
      <c r="L100" s="185"/>
      <c r="M100" s="56"/>
      <c r="AA100" s="56"/>
      <c r="AB100" s="56"/>
      <c r="AC100" s="56"/>
    </row>
    <row r="101" customHeight="1" spans="1:29">
      <c r="A101" s="146"/>
      <c r="L101" s="185"/>
      <c r="M101" s="56"/>
      <c r="AA101" s="56"/>
      <c r="AB101" s="56"/>
      <c r="AC101" s="56"/>
    </row>
    <row r="102" customHeight="1" spans="1:29">
      <c r="A102" s="146"/>
      <c r="L102" s="185"/>
      <c r="M102" s="56"/>
      <c r="AA102" s="56"/>
      <c r="AB102" s="56"/>
      <c r="AC102" s="56"/>
    </row>
    <row r="103" customHeight="1" spans="1:29">
      <c r="A103" s="146"/>
      <c r="L103" s="185"/>
      <c r="M103" s="56"/>
      <c r="AA103" s="56"/>
      <c r="AB103" s="56"/>
      <c r="AC103" s="56"/>
    </row>
    <row r="104" customHeight="1" spans="1:29">
      <c r="A104" s="146"/>
      <c r="L104" s="185"/>
      <c r="M104" s="56"/>
      <c r="AA104" s="56"/>
      <c r="AB104" s="56"/>
      <c r="AC104" s="56"/>
    </row>
    <row r="105" customHeight="1" spans="1:29">
      <c r="A105" s="146"/>
      <c r="L105" s="185"/>
      <c r="M105" s="56"/>
      <c r="AA105" s="56"/>
      <c r="AB105" s="56"/>
      <c r="AC105" s="56"/>
    </row>
    <row r="106" customHeight="1" spans="1:29">
      <c r="A106" s="146"/>
      <c r="L106" s="185"/>
      <c r="M106" s="56"/>
      <c r="AA106" s="56"/>
      <c r="AB106" s="56"/>
      <c r="AC106" s="56"/>
    </row>
    <row r="107" customHeight="1" spans="1:29">
      <c r="A107" s="146"/>
      <c r="L107" s="185"/>
      <c r="M107" s="56"/>
      <c r="AA107" s="56"/>
      <c r="AB107" s="56"/>
      <c r="AC107" s="56"/>
    </row>
    <row r="108" customHeight="1" spans="1:29">
      <c r="A108" s="146"/>
      <c r="L108" s="185"/>
      <c r="M108" s="56"/>
      <c r="AA108" s="56"/>
      <c r="AB108" s="56"/>
      <c r="AC108" s="56"/>
    </row>
    <row r="109" customHeight="1" spans="1:29">
      <c r="A109" s="146"/>
      <c r="L109" s="185"/>
      <c r="M109" s="56"/>
      <c r="AA109" s="56"/>
      <c r="AB109" s="56"/>
      <c r="AC109" s="56"/>
    </row>
    <row r="110" customHeight="1" spans="1:29">
      <c r="A110" s="146"/>
      <c r="L110" s="185"/>
      <c r="M110" s="56"/>
      <c r="AA110" s="56"/>
      <c r="AB110" s="56"/>
      <c r="AC110" s="56"/>
    </row>
    <row r="111" customHeight="1" spans="1:29">
      <c r="A111" s="146"/>
      <c r="L111" s="185"/>
      <c r="M111" s="56"/>
      <c r="AA111" s="56"/>
      <c r="AB111" s="56"/>
      <c r="AC111" s="56"/>
    </row>
    <row r="112" customHeight="1" spans="1:29">
      <c r="A112" s="146"/>
      <c r="L112" s="185"/>
      <c r="M112" s="56"/>
      <c r="AA112" s="56"/>
      <c r="AB112" s="56"/>
      <c r="AC112" s="56"/>
    </row>
    <row r="113" customHeight="1" spans="1:29">
      <c r="A113" s="146"/>
      <c r="L113" s="185"/>
      <c r="M113" s="56"/>
      <c r="AA113" s="56"/>
      <c r="AB113" s="56"/>
      <c r="AC113" s="56"/>
    </row>
    <row r="114" customHeight="1" spans="1:29">
      <c r="A114" s="146"/>
      <c r="L114" s="185"/>
      <c r="M114" s="56"/>
      <c r="AA114" s="56"/>
      <c r="AB114" s="56"/>
      <c r="AC114" s="56"/>
    </row>
    <row r="115" customHeight="1" spans="1:29">
      <c r="A115" s="146"/>
      <c r="L115" s="185"/>
      <c r="M115" s="56"/>
      <c r="AA115" s="56"/>
      <c r="AB115" s="56"/>
      <c r="AC115" s="56"/>
    </row>
    <row r="116" customHeight="1" spans="1:29">
      <c r="A116" s="146"/>
      <c r="L116" s="185"/>
      <c r="M116" s="56"/>
      <c r="AA116" s="56"/>
      <c r="AB116" s="56"/>
      <c r="AC116" s="56"/>
    </row>
    <row r="117" customHeight="1" spans="1:29">
      <c r="A117" s="146"/>
      <c r="L117" s="185"/>
      <c r="M117" s="56"/>
      <c r="AA117" s="56"/>
      <c r="AB117" s="56"/>
      <c r="AC117" s="56"/>
    </row>
    <row r="118" customHeight="1" spans="1:29">
      <c r="A118" s="146"/>
      <c r="L118" s="185"/>
      <c r="M118" s="56"/>
      <c r="AA118" s="56"/>
      <c r="AB118" s="56"/>
      <c r="AC118" s="56"/>
    </row>
    <row r="119" customHeight="1" spans="1:29">
      <c r="A119" s="146"/>
      <c r="L119" s="185"/>
      <c r="M119" s="56"/>
      <c r="AA119" s="56"/>
      <c r="AB119" s="56"/>
      <c r="AC119" s="56"/>
    </row>
    <row r="120" customHeight="1" spans="1:29">
      <c r="A120" s="146"/>
      <c r="L120" s="185"/>
      <c r="M120" s="56"/>
      <c r="AA120" s="56"/>
      <c r="AB120" s="56"/>
      <c r="AC120" s="56"/>
    </row>
    <row r="121" customHeight="1" spans="1:29">
      <c r="A121" s="146"/>
      <c r="L121" s="185"/>
      <c r="M121" s="56"/>
      <c r="AA121" s="56"/>
      <c r="AB121" s="56"/>
      <c r="AC121" s="56"/>
    </row>
    <row r="122" customHeight="1" spans="1:29">
      <c r="A122" s="146"/>
      <c r="L122" s="185"/>
      <c r="M122" s="56"/>
      <c r="AA122" s="56"/>
      <c r="AB122" s="56"/>
      <c r="AC122" s="56"/>
    </row>
    <row r="123" customHeight="1" spans="1:29">
      <c r="A123" s="146"/>
      <c r="L123" s="185"/>
      <c r="M123" s="56"/>
      <c r="AA123" s="56"/>
      <c r="AB123" s="56"/>
      <c r="AC123" s="56"/>
    </row>
    <row r="124" customHeight="1" spans="1:29">
      <c r="A124" s="146"/>
      <c r="L124" s="185"/>
      <c r="M124" s="56"/>
      <c r="AA124" s="56"/>
      <c r="AB124" s="56"/>
      <c r="AC124" s="56"/>
    </row>
    <row r="125" customHeight="1" spans="1:29">
      <c r="A125" s="146"/>
      <c r="L125" s="185"/>
      <c r="M125" s="56"/>
      <c r="AA125" s="56"/>
      <c r="AB125" s="56"/>
      <c r="AC125" s="56"/>
    </row>
    <row r="126" customHeight="1" spans="1:29">
      <c r="A126" s="146"/>
      <c r="L126" s="185"/>
      <c r="M126" s="56"/>
      <c r="AA126" s="56"/>
      <c r="AB126" s="56"/>
      <c r="AC126" s="56"/>
    </row>
    <row r="127" customHeight="1" spans="1:29">
      <c r="A127" s="146"/>
      <c r="L127" s="185"/>
      <c r="M127" s="56"/>
      <c r="AA127" s="56"/>
      <c r="AB127" s="56"/>
      <c r="AC127" s="56"/>
    </row>
    <row r="128" customHeight="1" spans="1:29">
      <c r="A128" s="146"/>
      <c r="L128" s="185"/>
      <c r="M128" s="56"/>
      <c r="AA128" s="56"/>
      <c r="AB128" s="56"/>
      <c r="AC128" s="56"/>
    </row>
    <row r="129" customHeight="1" spans="1:29">
      <c r="A129" s="146"/>
      <c r="L129" s="185"/>
      <c r="M129" s="56"/>
      <c r="AA129" s="56"/>
      <c r="AB129" s="56"/>
      <c r="AC129" s="56"/>
    </row>
    <row r="130" customHeight="1" spans="1:29">
      <c r="A130" s="146"/>
      <c r="L130" s="185"/>
      <c r="M130" s="56"/>
      <c r="AA130" s="56"/>
      <c r="AB130" s="56"/>
      <c r="AC130" s="56"/>
    </row>
    <row r="131" customHeight="1" spans="1:29">
      <c r="A131" s="146"/>
      <c r="L131" s="185"/>
      <c r="M131" s="56"/>
      <c r="AA131" s="56"/>
      <c r="AB131" s="56"/>
      <c r="AC131" s="56"/>
    </row>
    <row r="132" customHeight="1" spans="1:29">
      <c r="A132" s="146"/>
      <c r="L132" s="185"/>
      <c r="M132" s="56"/>
      <c r="AA132" s="56"/>
      <c r="AB132" s="56"/>
      <c r="AC132" s="56"/>
    </row>
    <row r="133" customHeight="1" spans="1:29">
      <c r="A133" s="146"/>
      <c r="L133" s="185"/>
      <c r="M133" s="56"/>
      <c r="AA133" s="56"/>
      <c r="AB133" s="56"/>
      <c r="AC133" s="56"/>
    </row>
    <row r="134" customHeight="1" spans="1:29">
      <c r="A134" s="146"/>
      <c r="L134" s="185"/>
      <c r="M134" s="56"/>
      <c r="AA134" s="56"/>
      <c r="AB134" s="56"/>
      <c r="AC134" s="56"/>
    </row>
    <row r="135" customHeight="1" spans="1:29">
      <c r="A135" s="146"/>
      <c r="L135" s="185"/>
      <c r="M135" s="56"/>
      <c r="AA135" s="56"/>
      <c r="AB135" s="56"/>
      <c r="AC135" s="56"/>
    </row>
    <row r="136" customHeight="1" spans="1:29">
      <c r="A136" s="146"/>
      <c r="L136" s="185"/>
      <c r="M136" s="56"/>
      <c r="AA136" s="56"/>
      <c r="AB136" s="56"/>
      <c r="AC136" s="56"/>
    </row>
    <row r="137" customHeight="1" spans="1:29">
      <c r="A137" s="146"/>
      <c r="L137" s="185"/>
      <c r="M137" s="56"/>
      <c r="AA137" s="56"/>
      <c r="AB137" s="56"/>
      <c r="AC137" s="56"/>
    </row>
    <row r="138" customHeight="1" spans="1:29">
      <c r="A138" s="146"/>
      <c r="L138" s="185"/>
      <c r="M138" s="56"/>
      <c r="AA138" s="56"/>
      <c r="AB138" s="56"/>
      <c r="AC138" s="56"/>
    </row>
    <row r="139" customHeight="1" spans="1:29">
      <c r="A139" s="146"/>
      <c r="L139" s="185"/>
      <c r="M139" s="56"/>
      <c r="AA139" s="56"/>
      <c r="AB139" s="56"/>
      <c r="AC139" s="56"/>
    </row>
    <row r="140" customHeight="1" spans="1:29">
      <c r="A140" s="146"/>
      <c r="L140" s="185"/>
      <c r="M140" s="56"/>
      <c r="AA140" s="56"/>
      <c r="AB140" s="56"/>
      <c r="AC140" s="56"/>
    </row>
    <row r="141" customHeight="1" spans="1:29">
      <c r="A141" s="146"/>
      <c r="L141" s="185"/>
      <c r="M141" s="56"/>
      <c r="AA141" s="56"/>
      <c r="AB141" s="56"/>
      <c r="AC141" s="56"/>
    </row>
    <row r="142" customHeight="1" spans="1:29">
      <c r="A142" s="146"/>
      <c r="L142" s="185"/>
      <c r="M142" s="56"/>
      <c r="AA142" s="56"/>
      <c r="AB142" s="56"/>
      <c r="AC142" s="56"/>
    </row>
    <row r="143" customHeight="1" spans="1:29">
      <c r="A143" s="146"/>
      <c r="L143" s="185"/>
      <c r="M143" s="56"/>
      <c r="AA143" s="56"/>
      <c r="AB143" s="56"/>
      <c r="AC143" s="56"/>
    </row>
    <row r="144" customHeight="1" spans="1:29">
      <c r="A144" s="146"/>
      <c r="L144" s="185"/>
      <c r="M144" s="56"/>
      <c r="AA144" s="56"/>
      <c r="AB144" s="56"/>
      <c r="AC144" s="56"/>
    </row>
    <row r="145" customHeight="1" spans="1:29">
      <c r="A145" s="146"/>
      <c r="L145" s="185"/>
      <c r="M145" s="56"/>
      <c r="AA145" s="56"/>
      <c r="AB145" s="56"/>
      <c r="AC145" s="56"/>
    </row>
    <row r="146" customHeight="1" spans="1:29">
      <c r="A146" s="146"/>
      <c r="L146" s="185"/>
      <c r="M146" s="56"/>
      <c r="AA146" s="56"/>
      <c r="AB146" s="56"/>
      <c r="AC146" s="56"/>
    </row>
    <row r="147" customHeight="1" spans="1:29">
      <c r="A147" s="146"/>
      <c r="L147" s="185"/>
      <c r="M147" s="56"/>
      <c r="AA147" s="56"/>
      <c r="AB147" s="56"/>
      <c r="AC147" s="56"/>
    </row>
    <row r="148" customHeight="1" spans="1:29">
      <c r="A148" s="146"/>
      <c r="L148" s="185"/>
      <c r="M148" s="56"/>
      <c r="AA148" s="56"/>
      <c r="AB148" s="56"/>
      <c r="AC148" s="56"/>
    </row>
    <row r="149" customHeight="1" spans="1:29">
      <c r="A149" s="146"/>
      <c r="L149" s="185"/>
      <c r="M149" s="56"/>
      <c r="AA149" s="56"/>
      <c r="AB149" s="56"/>
      <c r="AC149" s="56"/>
    </row>
    <row r="150" customHeight="1" spans="1:29">
      <c r="A150" s="146"/>
      <c r="L150" s="185"/>
      <c r="M150" s="56"/>
      <c r="AA150" s="56"/>
      <c r="AB150" s="56"/>
      <c r="AC150" s="56"/>
    </row>
    <row r="151" customHeight="1" spans="1:29">
      <c r="A151" s="146"/>
      <c r="L151" s="185"/>
      <c r="M151" s="56"/>
      <c r="AA151" s="56"/>
      <c r="AB151" s="56"/>
      <c r="AC151" s="56"/>
    </row>
    <row r="152" customHeight="1" spans="1:29">
      <c r="A152" s="146"/>
      <c r="L152" s="185"/>
      <c r="M152" s="56"/>
      <c r="AA152" s="56"/>
      <c r="AB152" s="56"/>
      <c r="AC152" s="56"/>
    </row>
    <row r="153" customHeight="1" spans="1:29">
      <c r="A153" s="146"/>
      <c r="L153" s="185"/>
      <c r="M153" s="56"/>
      <c r="AA153" s="56"/>
      <c r="AB153" s="56"/>
      <c r="AC153" s="56"/>
    </row>
    <row r="154" customHeight="1" spans="1:29">
      <c r="A154" s="146"/>
      <c r="L154" s="185"/>
      <c r="M154" s="56"/>
      <c r="AA154" s="56"/>
      <c r="AB154" s="56"/>
      <c r="AC154" s="56"/>
    </row>
    <row r="155" customHeight="1" spans="1:29">
      <c r="A155" s="146"/>
      <c r="L155" s="185"/>
      <c r="M155" s="56"/>
      <c r="AA155" s="56"/>
      <c r="AB155" s="56"/>
      <c r="AC155" s="56"/>
    </row>
    <row r="156" customHeight="1" spans="1:29">
      <c r="A156" s="146"/>
      <c r="L156" s="185"/>
      <c r="M156" s="56"/>
      <c r="AA156" s="56"/>
      <c r="AB156" s="56"/>
      <c r="AC156" s="56"/>
    </row>
    <row r="157" customHeight="1" spans="1:29">
      <c r="A157" s="146"/>
      <c r="L157" s="185"/>
      <c r="M157" s="56"/>
      <c r="AA157" s="56"/>
      <c r="AB157" s="56"/>
      <c r="AC157" s="56"/>
    </row>
    <row r="158" customHeight="1" spans="1:29">
      <c r="A158" s="146"/>
      <c r="L158" s="185"/>
      <c r="M158" s="56"/>
      <c r="AA158" s="56"/>
      <c r="AB158" s="56"/>
      <c r="AC158" s="56"/>
    </row>
    <row r="159" customHeight="1" spans="1:29">
      <c r="A159" s="146"/>
      <c r="L159" s="185"/>
      <c r="M159" s="56"/>
      <c r="AA159" s="56"/>
      <c r="AB159" s="56"/>
      <c r="AC159" s="56"/>
    </row>
    <row r="160" customHeight="1" spans="1:29">
      <c r="A160" s="146"/>
      <c r="L160" s="185"/>
      <c r="M160" s="56"/>
      <c r="AA160" s="56"/>
      <c r="AB160" s="56"/>
      <c r="AC160" s="56"/>
    </row>
    <row r="161" customHeight="1" spans="1:29">
      <c r="A161" s="146"/>
      <c r="L161" s="185"/>
      <c r="M161" s="56"/>
      <c r="AA161" s="56"/>
      <c r="AB161" s="56"/>
      <c r="AC161" s="56"/>
    </row>
    <row r="162" customHeight="1" spans="1:29">
      <c r="A162" s="146"/>
      <c r="L162" s="185"/>
      <c r="M162" s="56"/>
      <c r="AA162" s="56"/>
      <c r="AB162" s="56"/>
      <c r="AC162" s="56"/>
    </row>
    <row r="163" customHeight="1" spans="1:29">
      <c r="A163" s="146"/>
      <c r="L163" s="185"/>
      <c r="M163" s="56"/>
      <c r="AA163" s="56"/>
      <c r="AB163" s="56"/>
      <c r="AC163" s="56"/>
    </row>
    <row r="164" customHeight="1" spans="1:29">
      <c r="A164" s="146"/>
      <c r="L164" s="185"/>
      <c r="M164" s="56"/>
      <c r="AA164" s="56"/>
      <c r="AB164" s="56"/>
      <c r="AC164" s="56"/>
    </row>
    <row r="165" customHeight="1" spans="1:29">
      <c r="A165" s="146"/>
      <c r="L165" s="185"/>
      <c r="M165" s="56"/>
      <c r="AA165" s="56"/>
      <c r="AB165" s="56"/>
      <c r="AC165" s="56"/>
    </row>
    <row r="166" customHeight="1" spans="1:29">
      <c r="A166" s="146"/>
      <c r="L166" s="185"/>
      <c r="M166" s="56"/>
      <c r="AA166" s="56"/>
      <c r="AB166" s="56"/>
      <c r="AC166" s="56"/>
    </row>
    <row r="167" customHeight="1" spans="1:29">
      <c r="A167" s="146"/>
      <c r="L167" s="185"/>
      <c r="M167" s="56"/>
      <c r="AA167" s="56"/>
      <c r="AB167" s="56"/>
      <c r="AC167" s="56"/>
    </row>
    <row r="168" customHeight="1" spans="1:29">
      <c r="A168" s="146"/>
      <c r="L168" s="185"/>
      <c r="M168" s="56"/>
      <c r="AA168" s="56"/>
      <c r="AB168" s="56"/>
      <c r="AC168" s="56"/>
    </row>
    <row r="169" customHeight="1" spans="1:29">
      <c r="A169" s="146"/>
      <c r="L169" s="185"/>
      <c r="M169" s="56"/>
      <c r="AA169" s="56"/>
      <c r="AB169" s="56"/>
      <c r="AC169" s="56"/>
    </row>
    <row r="170" customHeight="1" spans="1:29">
      <c r="A170" s="146"/>
      <c r="L170" s="185"/>
      <c r="M170" s="56"/>
      <c r="AA170" s="56"/>
      <c r="AB170" s="56"/>
      <c r="AC170" s="56"/>
    </row>
    <row r="171" customHeight="1" spans="1:29">
      <c r="A171" s="146"/>
      <c r="L171" s="185"/>
      <c r="M171" s="56"/>
      <c r="AA171" s="56"/>
      <c r="AB171" s="56"/>
      <c r="AC171" s="56"/>
    </row>
    <row r="172" customHeight="1" spans="1:29">
      <c r="A172" s="146"/>
      <c r="L172" s="185"/>
      <c r="M172" s="56"/>
      <c r="AA172" s="56"/>
      <c r="AB172" s="56"/>
      <c r="AC172" s="56"/>
    </row>
    <row r="173" customHeight="1" spans="1:29">
      <c r="A173" s="146"/>
      <c r="L173" s="185"/>
      <c r="M173" s="56"/>
      <c r="AA173" s="56"/>
      <c r="AB173" s="56"/>
      <c r="AC173" s="56"/>
    </row>
    <row r="174" customHeight="1" spans="1:29">
      <c r="A174" s="146"/>
      <c r="L174" s="185"/>
      <c r="M174" s="56"/>
      <c r="AA174" s="56"/>
      <c r="AB174" s="56"/>
      <c r="AC174" s="56"/>
    </row>
    <row r="175" customHeight="1" spans="1:29">
      <c r="A175" s="146"/>
      <c r="L175" s="185"/>
      <c r="M175" s="56"/>
      <c r="AA175" s="56"/>
      <c r="AB175" s="56"/>
      <c r="AC175" s="56"/>
    </row>
    <row r="176" customHeight="1" spans="1:29">
      <c r="A176" s="146"/>
      <c r="L176" s="185"/>
      <c r="M176" s="56"/>
      <c r="AA176" s="56"/>
      <c r="AB176" s="56"/>
      <c r="AC176" s="56"/>
    </row>
    <row r="177" customHeight="1" spans="1:29">
      <c r="A177" s="146"/>
      <c r="L177" s="185"/>
      <c r="M177" s="56"/>
      <c r="AA177" s="56"/>
      <c r="AB177" s="56"/>
      <c r="AC177" s="56"/>
    </row>
    <row r="178" customHeight="1" spans="1:29">
      <c r="A178" s="146"/>
      <c r="L178" s="185"/>
      <c r="M178" s="56"/>
      <c r="AA178" s="56"/>
      <c r="AB178" s="56"/>
      <c r="AC178" s="56"/>
    </row>
    <row r="179" customHeight="1" spans="1:29">
      <c r="A179" s="146"/>
      <c r="L179" s="185"/>
      <c r="M179" s="56"/>
      <c r="AA179" s="56"/>
      <c r="AB179" s="56"/>
      <c r="AC179" s="56"/>
    </row>
    <row r="180" customHeight="1" spans="1:29">
      <c r="A180" s="146"/>
      <c r="L180" s="185"/>
      <c r="M180" s="56"/>
      <c r="AA180" s="56"/>
      <c r="AB180" s="56"/>
      <c r="AC180" s="56"/>
    </row>
    <row r="181" customHeight="1" spans="1:29">
      <c r="A181" s="146"/>
      <c r="L181" s="185"/>
      <c r="M181" s="56"/>
      <c r="AA181" s="56"/>
      <c r="AB181" s="56"/>
      <c r="AC181" s="56"/>
    </row>
    <row r="182" customHeight="1" spans="1:29">
      <c r="A182" s="146"/>
      <c r="M182" s="56"/>
      <c r="AA182" s="56"/>
      <c r="AB182" s="56"/>
      <c r="AC182" s="56"/>
    </row>
    <row r="183" customHeight="1" spans="1:29">
      <c r="A183" s="146"/>
      <c r="M183" s="56"/>
      <c r="AA183" s="56"/>
      <c r="AB183" s="56"/>
      <c r="AC183" s="56"/>
    </row>
    <row r="184" customHeight="1" spans="1:29">
      <c r="A184" s="146"/>
      <c r="M184" s="56"/>
      <c r="AA184" s="56"/>
      <c r="AB184" s="56"/>
      <c r="AC184" s="56"/>
    </row>
    <row r="185" customHeight="1" spans="1:29">
      <c r="A185" s="146"/>
      <c r="M185" s="56"/>
      <c r="AA185" s="56"/>
      <c r="AB185" s="56"/>
      <c r="AC185" s="56"/>
    </row>
    <row r="186" customHeight="1" spans="13:29">
      <c r="M186" s="56"/>
      <c r="AA186" s="56"/>
      <c r="AB186" s="56"/>
      <c r="AC186" s="56"/>
    </row>
    <row r="187" customHeight="1" spans="13:29">
      <c r="M187" s="56"/>
      <c r="AA187" s="56"/>
      <c r="AB187" s="56"/>
      <c r="AC187" s="56"/>
    </row>
    <row r="188" customHeight="1" spans="13:29">
      <c r="M188" s="56"/>
      <c r="AA188" s="56"/>
      <c r="AB188" s="56"/>
      <c r="AC188" s="56"/>
    </row>
    <row r="189" customHeight="1" spans="13:29">
      <c r="M189" s="56"/>
      <c r="AA189" s="56"/>
      <c r="AB189" s="56"/>
      <c r="AC189" s="56"/>
    </row>
    <row r="190" customHeight="1" spans="13:29">
      <c r="M190" s="56"/>
      <c r="AA190" s="56"/>
      <c r="AB190" s="56"/>
      <c r="AC190" s="56"/>
    </row>
    <row r="191" customHeight="1" spans="13:29">
      <c r="M191" s="56"/>
      <c r="AA191" s="56"/>
      <c r="AB191" s="56"/>
      <c r="AC191" s="56"/>
    </row>
    <row r="192" customHeight="1" spans="13:29">
      <c r="M192" s="56"/>
      <c r="AA192" s="56"/>
      <c r="AB192" s="56"/>
      <c r="AC192" s="56"/>
    </row>
    <row r="193" customHeight="1" spans="13:29">
      <c r="M193" s="56"/>
      <c r="AA193" s="56"/>
      <c r="AB193" s="56"/>
      <c r="AC193" s="56"/>
    </row>
    <row r="194" customHeight="1" spans="13:29">
      <c r="M194" s="56"/>
      <c r="AA194" s="56"/>
      <c r="AB194" s="56"/>
      <c r="AC194" s="56"/>
    </row>
    <row r="195" customHeight="1" spans="13:29">
      <c r="M195" s="56"/>
      <c r="AA195" s="56"/>
      <c r="AB195" s="56"/>
      <c r="AC195" s="56"/>
    </row>
    <row r="196" customHeight="1" spans="13:29">
      <c r="M196" s="56"/>
      <c r="AA196" s="56"/>
      <c r="AB196" s="56"/>
      <c r="AC196" s="56"/>
    </row>
    <row r="197" customHeight="1" spans="13:29">
      <c r="M197" s="56"/>
      <c r="AA197" s="56"/>
      <c r="AB197" s="56"/>
      <c r="AC197" s="56"/>
    </row>
    <row r="198" customHeight="1" spans="13:29">
      <c r="M198" s="56"/>
      <c r="AA198" s="56"/>
      <c r="AB198" s="56"/>
      <c r="AC198" s="56"/>
    </row>
    <row r="199" customHeight="1" spans="13:29">
      <c r="M199" s="56"/>
      <c r="AA199" s="56"/>
      <c r="AB199" s="56"/>
      <c r="AC199" s="56"/>
    </row>
    <row r="200" customHeight="1" spans="13:29">
      <c r="M200" s="56"/>
      <c r="AA200" s="56"/>
      <c r="AB200" s="56"/>
      <c r="AC200" s="56"/>
    </row>
    <row r="201" customHeight="1" spans="13:29">
      <c r="M201" s="56"/>
      <c r="AA201" s="56"/>
      <c r="AB201" s="56"/>
      <c r="AC201" s="56"/>
    </row>
    <row r="202" customHeight="1" spans="13:29">
      <c r="M202" s="56"/>
      <c r="AA202" s="56"/>
      <c r="AB202" s="56"/>
      <c r="AC202" s="56"/>
    </row>
    <row r="203" customHeight="1" spans="13:29">
      <c r="M203" s="56"/>
      <c r="AA203" s="56"/>
      <c r="AB203" s="56"/>
      <c r="AC203" s="56"/>
    </row>
    <row r="204" customHeight="1" spans="13:29">
      <c r="M204" s="56"/>
      <c r="AA204" s="56"/>
      <c r="AB204" s="56"/>
      <c r="AC204" s="56"/>
    </row>
    <row r="205" customHeight="1" spans="13:29">
      <c r="M205" s="56"/>
      <c r="AA205" s="56"/>
      <c r="AB205" s="56"/>
      <c r="AC205" s="56"/>
    </row>
    <row r="206" customHeight="1" spans="13:29">
      <c r="M206" s="56"/>
      <c r="AA206" s="56"/>
      <c r="AB206" s="56"/>
      <c r="AC206" s="56"/>
    </row>
    <row r="207" customHeight="1" spans="13:29">
      <c r="M207" s="56"/>
      <c r="AA207" s="56"/>
      <c r="AB207" s="56"/>
      <c r="AC207" s="56"/>
    </row>
    <row r="208" customHeight="1" spans="13:29">
      <c r="M208" s="56"/>
      <c r="AA208" s="56"/>
      <c r="AB208" s="56"/>
      <c r="AC208" s="56"/>
    </row>
    <row r="209" customHeight="1" spans="13:29">
      <c r="M209" s="56"/>
      <c r="AA209" s="56"/>
      <c r="AB209" s="56"/>
      <c r="AC209" s="56"/>
    </row>
    <row r="210" customHeight="1" spans="13:29">
      <c r="M210" s="56"/>
      <c r="AA210" s="56"/>
      <c r="AB210" s="56"/>
      <c r="AC210" s="56"/>
    </row>
    <row r="211" customHeight="1" spans="13:29">
      <c r="M211" s="56"/>
      <c r="AA211" s="56"/>
      <c r="AB211" s="56"/>
      <c r="AC211" s="56"/>
    </row>
    <row r="212" customHeight="1" spans="13:29">
      <c r="M212" s="56"/>
      <c r="AA212" s="56"/>
      <c r="AB212" s="56"/>
      <c r="AC212" s="56"/>
    </row>
    <row r="213" customHeight="1" spans="13:29">
      <c r="M213" s="56"/>
      <c r="AA213" s="56"/>
      <c r="AB213" s="56"/>
      <c r="AC213" s="56"/>
    </row>
    <row r="214" customHeight="1" spans="13:29">
      <c r="M214" s="56"/>
      <c r="AA214" s="56"/>
      <c r="AB214" s="56"/>
      <c r="AC214" s="56"/>
    </row>
    <row r="215" customHeight="1" spans="13:29">
      <c r="M215" s="56"/>
      <c r="AA215" s="56"/>
      <c r="AB215" s="56"/>
      <c r="AC215" s="56"/>
    </row>
    <row r="216" customHeight="1" spans="13:29">
      <c r="M216" s="56"/>
      <c r="AA216" s="56"/>
      <c r="AB216" s="56"/>
      <c r="AC216" s="56"/>
    </row>
    <row r="217" customHeight="1" spans="13:29">
      <c r="M217" s="56"/>
      <c r="AA217" s="56"/>
      <c r="AB217" s="56"/>
      <c r="AC217" s="56"/>
    </row>
    <row r="218" customHeight="1" spans="13:29">
      <c r="M218" s="56"/>
      <c r="AA218" s="56"/>
      <c r="AB218" s="56"/>
      <c r="AC218" s="56"/>
    </row>
    <row r="219" customHeight="1" spans="13:29">
      <c r="M219" s="56"/>
      <c r="AA219" s="56"/>
      <c r="AB219" s="56"/>
      <c r="AC219" s="56"/>
    </row>
    <row r="220" customHeight="1" spans="13:29">
      <c r="M220" s="56"/>
      <c r="AA220" s="56"/>
      <c r="AB220" s="56"/>
      <c r="AC220" s="56"/>
    </row>
    <row r="221" customHeight="1" spans="13:29">
      <c r="M221" s="56"/>
      <c r="AA221" s="56"/>
      <c r="AB221" s="56"/>
      <c r="AC221" s="56"/>
    </row>
    <row r="222" customHeight="1" spans="13:29">
      <c r="M222" s="56"/>
      <c r="AA222" s="56"/>
      <c r="AB222" s="56"/>
      <c r="AC222" s="56"/>
    </row>
    <row r="223" customHeight="1" spans="13:29">
      <c r="M223" s="56"/>
      <c r="AA223" s="56"/>
      <c r="AB223" s="56"/>
      <c r="AC223" s="56"/>
    </row>
    <row r="224" customHeight="1" spans="13:29">
      <c r="M224" s="56"/>
      <c r="AA224" s="56"/>
      <c r="AB224" s="56"/>
      <c r="AC224" s="56"/>
    </row>
    <row r="225" customHeight="1" spans="13:29">
      <c r="M225" s="56"/>
      <c r="AA225" s="56"/>
      <c r="AB225" s="56"/>
      <c r="AC225" s="56"/>
    </row>
    <row r="226" customHeight="1" spans="13:29">
      <c r="M226" s="56"/>
      <c r="AA226" s="56"/>
      <c r="AB226" s="56"/>
      <c r="AC226" s="56"/>
    </row>
    <row r="227" customHeight="1" spans="13:29">
      <c r="M227" s="56"/>
      <c r="AA227" s="56"/>
      <c r="AB227" s="56"/>
      <c r="AC227" s="56"/>
    </row>
    <row r="228" customHeight="1" spans="13:29">
      <c r="M228" s="56"/>
      <c r="AA228" s="56"/>
      <c r="AB228" s="56"/>
      <c r="AC228" s="56"/>
    </row>
    <row r="229" customHeight="1" spans="13:29">
      <c r="M229" s="56"/>
      <c r="AA229" s="56"/>
      <c r="AB229" s="56"/>
      <c r="AC229" s="56"/>
    </row>
    <row r="230" customHeight="1" spans="13:29">
      <c r="M230" s="56"/>
      <c r="AA230" s="56"/>
      <c r="AB230" s="56"/>
      <c r="AC230" s="56"/>
    </row>
    <row r="231" customHeight="1" spans="13:29">
      <c r="M231" s="56"/>
      <c r="AA231" s="56"/>
      <c r="AB231" s="56"/>
      <c r="AC231" s="56"/>
    </row>
    <row r="232" customHeight="1" spans="13:29">
      <c r="M232" s="56"/>
      <c r="AA232" s="56"/>
      <c r="AB232" s="56"/>
      <c r="AC232" s="56"/>
    </row>
    <row r="233" customHeight="1" spans="13:29">
      <c r="M233" s="56"/>
      <c r="AA233" s="56"/>
      <c r="AB233" s="56"/>
      <c r="AC233" s="56"/>
    </row>
    <row r="234" customHeight="1" spans="13:29">
      <c r="M234" s="56"/>
      <c r="AA234" s="56"/>
      <c r="AB234" s="56"/>
      <c r="AC234" s="56"/>
    </row>
    <row r="235" customHeight="1" spans="13:29">
      <c r="M235" s="56"/>
      <c r="AA235" s="56"/>
      <c r="AB235" s="56"/>
      <c r="AC235" s="56"/>
    </row>
    <row r="236" customHeight="1" spans="13:29">
      <c r="M236" s="56"/>
      <c r="AA236" s="56"/>
      <c r="AB236" s="56"/>
      <c r="AC236" s="56"/>
    </row>
    <row r="237" customHeight="1" spans="13:29">
      <c r="M237" s="56"/>
      <c r="AA237" s="56"/>
      <c r="AB237" s="56"/>
      <c r="AC237" s="56"/>
    </row>
    <row r="238" customHeight="1" spans="13:29">
      <c r="M238" s="56"/>
      <c r="AA238" s="56"/>
      <c r="AB238" s="56"/>
      <c r="AC238" s="56"/>
    </row>
    <row r="239" customHeight="1" spans="13:29">
      <c r="M239" s="56"/>
      <c r="AA239" s="56"/>
      <c r="AB239" s="56"/>
      <c r="AC239" s="56"/>
    </row>
    <row r="240" customHeight="1" spans="13:29">
      <c r="M240" s="56"/>
      <c r="AA240" s="56"/>
      <c r="AB240" s="56"/>
      <c r="AC240" s="56"/>
    </row>
    <row r="241" customHeight="1" spans="13:29">
      <c r="M241" s="56"/>
      <c r="AA241" s="56"/>
      <c r="AB241" s="56"/>
      <c r="AC241" s="56"/>
    </row>
    <row r="242" customHeight="1" spans="13:29">
      <c r="M242" s="56"/>
      <c r="AA242" s="56"/>
      <c r="AB242" s="56"/>
      <c r="AC242" s="56"/>
    </row>
    <row r="243" customHeight="1" spans="13:29">
      <c r="M243" s="56"/>
      <c r="AA243" s="56"/>
      <c r="AB243" s="56"/>
      <c r="AC243" s="56"/>
    </row>
    <row r="244" customHeight="1" spans="13:29">
      <c r="M244" s="56"/>
      <c r="AA244" s="56"/>
      <c r="AB244" s="56"/>
      <c r="AC244" s="56"/>
    </row>
    <row r="245" customHeight="1" spans="13:29">
      <c r="M245" s="56"/>
      <c r="AA245" s="56"/>
      <c r="AB245" s="56"/>
      <c r="AC245" s="56"/>
    </row>
    <row r="246" customHeight="1" spans="13:29">
      <c r="M246" s="56"/>
      <c r="AA246" s="56"/>
      <c r="AB246" s="56"/>
      <c r="AC246" s="56"/>
    </row>
    <row r="247" customHeight="1" spans="13:29">
      <c r="M247" s="56"/>
      <c r="AA247" s="56"/>
      <c r="AB247" s="56"/>
      <c r="AC247" s="56"/>
    </row>
    <row r="248" customHeight="1" spans="13:29">
      <c r="M248" s="56"/>
      <c r="AA248" s="56"/>
      <c r="AB248" s="56"/>
      <c r="AC248" s="56"/>
    </row>
    <row r="249" customHeight="1" spans="13:29">
      <c r="M249" s="56"/>
      <c r="AA249" s="56"/>
      <c r="AB249" s="56"/>
      <c r="AC249" s="56"/>
    </row>
    <row r="250" customHeight="1" spans="13:29">
      <c r="M250" s="56"/>
      <c r="AA250" s="56"/>
      <c r="AB250" s="56"/>
      <c r="AC250" s="56"/>
    </row>
    <row r="251" customHeight="1" spans="13:29">
      <c r="M251" s="56"/>
      <c r="AA251" s="56"/>
      <c r="AB251" s="56"/>
      <c r="AC251" s="56"/>
    </row>
    <row r="252" customHeight="1" spans="13:29">
      <c r="M252" s="56"/>
      <c r="AA252" s="56"/>
      <c r="AB252" s="56"/>
      <c r="AC252" s="56"/>
    </row>
    <row r="253" customHeight="1" spans="13:29">
      <c r="M253" s="56"/>
      <c r="AA253" s="56"/>
      <c r="AB253" s="56"/>
      <c r="AC253" s="56"/>
    </row>
    <row r="254" customHeight="1" spans="13:29">
      <c r="M254" s="56"/>
      <c r="AA254" s="56"/>
      <c r="AB254" s="56"/>
      <c r="AC254" s="56"/>
    </row>
    <row r="255" customHeight="1" spans="13:29">
      <c r="M255" s="56"/>
      <c r="AA255" s="56"/>
      <c r="AB255" s="56"/>
      <c r="AC255" s="56"/>
    </row>
    <row r="256" customHeight="1" spans="13:29">
      <c r="M256" s="56"/>
      <c r="AA256" s="56"/>
      <c r="AB256" s="56"/>
      <c r="AC256" s="56"/>
    </row>
    <row r="257" customHeight="1" spans="13:29">
      <c r="M257" s="56"/>
      <c r="AA257" s="56"/>
      <c r="AB257" s="56"/>
      <c r="AC257" s="56"/>
    </row>
    <row r="258" customHeight="1" spans="13:29">
      <c r="M258" s="56"/>
      <c r="AA258" s="56"/>
      <c r="AB258" s="56"/>
      <c r="AC258" s="56"/>
    </row>
    <row r="259" customHeight="1" spans="13:29">
      <c r="M259" s="56"/>
      <c r="AA259" s="56"/>
      <c r="AB259" s="56"/>
      <c r="AC259" s="56"/>
    </row>
    <row r="260" customHeight="1" spans="13:29">
      <c r="M260" s="56"/>
      <c r="AA260" s="56"/>
      <c r="AB260" s="56"/>
      <c r="AC260" s="56"/>
    </row>
    <row r="261" customHeight="1" spans="13:29">
      <c r="M261" s="56"/>
      <c r="AA261" s="56"/>
      <c r="AB261" s="56"/>
      <c r="AC261" s="56"/>
    </row>
    <row r="262" customHeight="1" spans="13:29">
      <c r="M262" s="56"/>
      <c r="AA262" s="56"/>
      <c r="AB262" s="56"/>
      <c r="AC262" s="56"/>
    </row>
    <row r="263" customHeight="1" spans="13:29">
      <c r="M263" s="56"/>
      <c r="AA263" s="56"/>
      <c r="AB263" s="56"/>
      <c r="AC263" s="56"/>
    </row>
    <row r="264" customHeight="1" spans="13:29">
      <c r="M264" s="56"/>
      <c r="AA264" s="56"/>
      <c r="AB264" s="56"/>
      <c r="AC264" s="56"/>
    </row>
    <row r="265" customHeight="1" spans="13:29">
      <c r="M265" s="56"/>
      <c r="AA265" s="56"/>
      <c r="AB265" s="56"/>
      <c r="AC265" s="56"/>
    </row>
    <row r="266" customHeight="1" spans="13:29">
      <c r="M266" s="56"/>
      <c r="AA266" s="56"/>
      <c r="AB266" s="56"/>
      <c r="AC266" s="56"/>
    </row>
    <row r="267" customHeight="1" spans="13:29">
      <c r="M267" s="56"/>
      <c r="AA267" s="56"/>
      <c r="AB267" s="56"/>
      <c r="AC267" s="56"/>
    </row>
    <row r="268" customHeight="1" spans="13:29">
      <c r="M268" s="56"/>
      <c r="AA268" s="56"/>
      <c r="AB268" s="56"/>
      <c r="AC268" s="56"/>
    </row>
    <row r="269" customHeight="1" spans="13:29">
      <c r="M269" s="56"/>
      <c r="AA269" s="56"/>
      <c r="AB269" s="56"/>
      <c r="AC269" s="56"/>
    </row>
    <row r="270" customHeight="1" spans="13:29">
      <c r="M270" s="56"/>
      <c r="AA270" s="56"/>
      <c r="AB270" s="56"/>
      <c r="AC270" s="56"/>
    </row>
    <row r="271" customHeight="1" spans="13:29">
      <c r="M271" s="56"/>
      <c r="AA271" s="56"/>
      <c r="AB271" s="56"/>
      <c r="AC271" s="56"/>
    </row>
    <row r="272" customHeight="1" spans="13:29">
      <c r="M272" s="56"/>
      <c r="AA272" s="56"/>
      <c r="AB272" s="56"/>
      <c r="AC272" s="56"/>
    </row>
    <row r="273" customHeight="1" spans="13:29">
      <c r="M273" s="56"/>
      <c r="AA273" s="56"/>
      <c r="AB273" s="56"/>
      <c r="AC273" s="56"/>
    </row>
    <row r="274" customHeight="1" spans="13:29">
      <c r="M274" s="56"/>
      <c r="AA274" s="56"/>
      <c r="AB274" s="56"/>
      <c r="AC274" s="56"/>
    </row>
    <row r="275" customHeight="1" spans="13:29">
      <c r="M275" s="56"/>
      <c r="AA275" s="56"/>
      <c r="AB275" s="56"/>
      <c r="AC275" s="56"/>
    </row>
    <row r="276" customHeight="1" spans="13:29">
      <c r="M276" s="56"/>
      <c r="AA276" s="56"/>
      <c r="AB276" s="56"/>
      <c r="AC276" s="56"/>
    </row>
    <row r="277" customHeight="1" spans="13:29">
      <c r="M277" s="56"/>
      <c r="AA277" s="56"/>
      <c r="AB277" s="56"/>
      <c r="AC277" s="56"/>
    </row>
    <row r="278" customHeight="1" spans="13:29">
      <c r="M278" s="56"/>
      <c r="AA278" s="56"/>
      <c r="AB278" s="56"/>
      <c r="AC278" s="56"/>
    </row>
    <row r="279" customHeight="1" spans="13:29">
      <c r="M279" s="56"/>
      <c r="AA279" s="56"/>
      <c r="AB279" s="56"/>
      <c r="AC279" s="56"/>
    </row>
    <row r="280" customHeight="1" spans="13:29">
      <c r="M280" s="56"/>
      <c r="AA280" s="56"/>
      <c r="AB280" s="56"/>
      <c r="AC280" s="56"/>
    </row>
    <row r="281" customHeight="1" spans="13:29">
      <c r="M281" s="56"/>
      <c r="AA281" s="56"/>
      <c r="AB281" s="56"/>
      <c r="AC281" s="56"/>
    </row>
    <row r="282" customHeight="1" spans="13:29">
      <c r="M282" s="56"/>
      <c r="AA282" s="56"/>
      <c r="AB282" s="56"/>
      <c r="AC282" s="56"/>
    </row>
    <row r="283" customHeight="1" spans="13:29">
      <c r="M283" s="56"/>
      <c r="AA283" s="56"/>
      <c r="AB283" s="56"/>
      <c r="AC283" s="56"/>
    </row>
    <row r="284" customHeight="1" spans="13:29">
      <c r="M284" s="56"/>
      <c r="AA284" s="56"/>
      <c r="AB284" s="56"/>
      <c r="AC284" s="56"/>
    </row>
    <row r="285" customHeight="1" spans="13:29">
      <c r="M285" s="56"/>
      <c r="AA285" s="56"/>
      <c r="AB285" s="56"/>
      <c r="AC285" s="56"/>
    </row>
    <row r="286" customHeight="1" spans="13:29">
      <c r="M286" s="56"/>
      <c r="AA286" s="56"/>
      <c r="AB286" s="56"/>
      <c r="AC286" s="56"/>
    </row>
    <row r="287" customHeight="1" spans="13:29">
      <c r="M287" s="56"/>
      <c r="AA287" s="56"/>
      <c r="AB287" s="56"/>
      <c r="AC287" s="56"/>
    </row>
    <row r="288" customHeight="1" spans="13:29">
      <c r="M288" s="56"/>
      <c r="AA288" s="56"/>
      <c r="AB288" s="56"/>
      <c r="AC288" s="56"/>
    </row>
    <row r="289" customHeight="1" spans="13:29">
      <c r="M289" s="56"/>
      <c r="AA289" s="56"/>
      <c r="AB289" s="56"/>
      <c r="AC289" s="56"/>
    </row>
    <row r="290" customHeight="1" spans="13:29">
      <c r="M290" s="56"/>
      <c r="AA290" s="56"/>
      <c r="AB290" s="56"/>
      <c r="AC290" s="56"/>
    </row>
    <row r="291" customHeight="1" spans="13:29">
      <c r="M291" s="56"/>
      <c r="AA291" s="56"/>
      <c r="AB291" s="56"/>
      <c r="AC291" s="56"/>
    </row>
    <row r="292" customHeight="1" spans="13:29">
      <c r="M292" s="56"/>
      <c r="AA292" s="56"/>
      <c r="AB292" s="56"/>
      <c r="AC292" s="56"/>
    </row>
    <row r="293" customHeight="1" spans="13:29">
      <c r="M293" s="56"/>
      <c r="AA293" s="56"/>
      <c r="AB293" s="56"/>
      <c r="AC293" s="56"/>
    </row>
    <row r="294" customHeight="1" spans="13:29">
      <c r="M294" s="56"/>
      <c r="AA294" s="56"/>
      <c r="AB294" s="56"/>
      <c r="AC294" s="56"/>
    </row>
    <row r="295" customHeight="1" spans="13:29">
      <c r="M295" s="56"/>
      <c r="AA295" s="56"/>
      <c r="AB295" s="56"/>
      <c r="AC295" s="56"/>
    </row>
    <row r="296" customHeight="1" spans="13:29">
      <c r="M296" s="56"/>
      <c r="AA296" s="56"/>
      <c r="AB296" s="56"/>
      <c r="AC296" s="56"/>
    </row>
    <row r="297" customHeight="1" spans="13:29">
      <c r="M297" s="56"/>
      <c r="AA297" s="56"/>
      <c r="AB297" s="56"/>
      <c r="AC297" s="56"/>
    </row>
    <row r="298" customHeight="1" spans="13:29">
      <c r="M298" s="56"/>
      <c r="AA298" s="56"/>
      <c r="AB298" s="56"/>
      <c r="AC298" s="56"/>
    </row>
    <row r="299" customHeight="1" spans="13:29">
      <c r="M299" s="56"/>
      <c r="AA299" s="56"/>
      <c r="AB299" s="56"/>
      <c r="AC299" s="56"/>
    </row>
    <row r="300" customHeight="1" spans="13:29">
      <c r="M300" s="56"/>
      <c r="AA300" s="56"/>
      <c r="AB300" s="56"/>
      <c r="AC300" s="56"/>
    </row>
    <row r="301" customHeight="1" spans="13:29">
      <c r="M301" s="56"/>
      <c r="AA301" s="56"/>
      <c r="AB301" s="56"/>
      <c r="AC301" s="56"/>
    </row>
    <row r="302" customHeight="1" spans="13:29">
      <c r="M302" s="56"/>
      <c r="AA302" s="56"/>
      <c r="AB302" s="56"/>
      <c r="AC302" s="56"/>
    </row>
    <row r="303" customHeight="1" spans="13:29">
      <c r="M303" s="56"/>
      <c r="AA303" s="56"/>
      <c r="AB303" s="56"/>
      <c r="AC303" s="56"/>
    </row>
    <row r="304" customHeight="1" spans="13:29">
      <c r="M304" s="56"/>
      <c r="AA304" s="56"/>
      <c r="AB304" s="56"/>
      <c r="AC304" s="56"/>
    </row>
    <row r="305" customHeight="1" spans="13:29">
      <c r="M305" s="56"/>
      <c r="AA305" s="56"/>
      <c r="AB305" s="56"/>
      <c r="AC305" s="56"/>
    </row>
    <row r="306" customHeight="1" spans="13:29">
      <c r="M306" s="56"/>
      <c r="AA306" s="56"/>
      <c r="AB306" s="56"/>
      <c r="AC306" s="56"/>
    </row>
    <row r="307" customHeight="1" spans="13:29">
      <c r="M307" s="56"/>
      <c r="AA307" s="56"/>
      <c r="AB307" s="56"/>
      <c r="AC307" s="56"/>
    </row>
    <row r="308" customHeight="1" spans="13:29">
      <c r="M308" s="56"/>
      <c r="AA308" s="56"/>
      <c r="AB308" s="56"/>
      <c r="AC308" s="56"/>
    </row>
    <row r="309" customHeight="1" spans="13:29">
      <c r="M309" s="56"/>
      <c r="AA309" s="56"/>
      <c r="AB309" s="56"/>
      <c r="AC309" s="56"/>
    </row>
    <row r="310" customHeight="1" spans="13:29">
      <c r="M310" s="56"/>
      <c r="AA310" s="56"/>
      <c r="AB310" s="56"/>
      <c r="AC310" s="56"/>
    </row>
    <row r="311" customHeight="1" spans="13:29">
      <c r="M311" s="56"/>
      <c r="AA311" s="56"/>
      <c r="AB311" s="56"/>
      <c r="AC311" s="56"/>
    </row>
    <row r="312" customHeight="1" spans="13:29">
      <c r="M312" s="56"/>
      <c r="AA312" s="56"/>
      <c r="AB312" s="56"/>
      <c r="AC312" s="56"/>
    </row>
    <row r="313" customHeight="1" spans="13:29">
      <c r="M313" s="56"/>
      <c r="AA313" s="56"/>
      <c r="AB313" s="56"/>
      <c r="AC313" s="56"/>
    </row>
    <row r="314" customHeight="1" spans="13:29">
      <c r="M314" s="56"/>
      <c r="AA314" s="56"/>
      <c r="AB314" s="56"/>
      <c r="AC314" s="56"/>
    </row>
    <row r="315" customHeight="1" spans="13:29">
      <c r="M315" s="56"/>
      <c r="AA315" s="56"/>
      <c r="AB315" s="56"/>
      <c r="AC315" s="56"/>
    </row>
    <row r="316" customHeight="1" spans="13:29">
      <c r="M316" s="56"/>
      <c r="AA316" s="56"/>
      <c r="AB316" s="56"/>
      <c r="AC316" s="56"/>
    </row>
    <row r="317" customHeight="1" spans="13:29">
      <c r="M317" s="56"/>
      <c r="AA317" s="56"/>
      <c r="AB317" s="56"/>
      <c r="AC317" s="56"/>
    </row>
    <row r="318" customHeight="1" spans="13:29">
      <c r="M318" s="56"/>
      <c r="AA318" s="56"/>
      <c r="AB318" s="56"/>
      <c r="AC318" s="56"/>
    </row>
    <row r="319" customHeight="1" spans="13:29">
      <c r="M319" s="56"/>
      <c r="AA319" s="56"/>
      <c r="AB319" s="56"/>
      <c r="AC319" s="56"/>
    </row>
    <row r="320" customHeight="1" spans="13:29">
      <c r="M320" s="56"/>
      <c r="AA320" s="56"/>
      <c r="AB320" s="56"/>
      <c r="AC320" s="56"/>
    </row>
    <row r="321" customHeight="1" spans="13:29">
      <c r="M321" s="56"/>
      <c r="AA321" s="56"/>
      <c r="AB321" s="56"/>
      <c r="AC321" s="56"/>
    </row>
    <row r="322" customHeight="1" spans="13:29">
      <c r="M322" s="56"/>
      <c r="AA322" s="56"/>
      <c r="AB322" s="56"/>
      <c r="AC322" s="56"/>
    </row>
    <row r="323" customHeight="1" spans="13:29">
      <c r="M323" s="56"/>
      <c r="AA323" s="56"/>
      <c r="AB323" s="56"/>
      <c r="AC323" s="56"/>
    </row>
    <row r="324" customHeight="1" spans="13:29">
      <c r="M324" s="56"/>
      <c r="AA324" s="56"/>
      <c r="AB324" s="56"/>
      <c r="AC324" s="56"/>
    </row>
  </sheetData>
  <mergeCells count="1">
    <mergeCell ref="AE2:AK2"/>
  </mergeCells>
  <pageMargins left="0" right="0.08" top="0.39" bottom="0.51" header="0.5" footer="0.5"/>
  <pageSetup paperSize="9" scale="10" orientation="landscape" horizontalDpi="600"/>
  <headerFooter alignWithMargins="0" scaleWithDoc="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rgb="FFFF0000"/>
  </sheetPr>
  <dimension ref="A1:AC33"/>
  <sheetViews>
    <sheetView zoomScale="85" zoomScaleNormal="85" workbookViewId="0">
      <pane xSplit="6" ySplit="3" topLeftCell="R20" activePane="bottomRight" state="frozen"/>
      <selection/>
      <selection pane="topRight"/>
      <selection pane="bottomLeft"/>
      <selection pane="bottomRight" activeCell="AD1" sqref="AD$1:IV$1048576"/>
    </sheetView>
  </sheetViews>
  <sheetFormatPr defaultColWidth="9" defaultRowHeight="14.25"/>
  <cols>
    <col min="1" max="1" width="7.5" style="56" customWidth="1"/>
    <col min="2" max="2" width="7.375" style="56" customWidth="1"/>
    <col min="3" max="3" width="11.75" style="56" customWidth="1"/>
    <col min="4" max="4" width="17.25" style="56" customWidth="1"/>
    <col min="5" max="5" width="9.375" style="56" customWidth="1"/>
    <col min="6" max="6" width="8.25" style="56" customWidth="1"/>
    <col min="7" max="7" width="7.375" style="56" customWidth="1"/>
    <col min="8" max="8" width="8.25" style="56" customWidth="1" outlineLevel="1"/>
    <col min="9" max="9" width="10.375" style="57" customWidth="1" outlineLevel="1"/>
    <col min="10" max="10" width="7.5" style="56" customWidth="1"/>
    <col min="11" max="16" width="8" style="58" customWidth="1"/>
    <col min="17" max="22" width="8" style="59" customWidth="1"/>
    <col min="23" max="26" width="9.125" style="58" customWidth="1"/>
    <col min="27" max="28" width="9" style="56" customWidth="1" outlineLevel="1"/>
    <col min="29" max="29" width="58.25" style="60" customWidth="1"/>
    <col min="30" max="16384" width="9" style="56"/>
  </cols>
  <sheetData>
    <row r="1" ht="36" customHeight="1" spans="1:29">
      <c r="A1" s="61" t="s">
        <v>4517</v>
      </c>
      <c r="B1" s="61"/>
      <c r="C1" s="61"/>
      <c r="D1" s="61"/>
      <c r="E1" s="61"/>
      <c r="F1" s="61"/>
      <c r="G1" s="62"/>
      <c r="H1" s="62"/>
      <c r="I1" s="62"/>
      <c r="J1" s="62"/>
      <c r="K1" s="62"/>
      <c r="L1" s="62"/>
      <c r="M1" s="62"/>
      <c r="N1" s="62"/>
      <c r="O1" s="62"/>
      <c r="P1" s="62"/>
      <c r="Q1" s="92"/>
      <c r="R1" s="92"/>
      <c r="S1" s="92"/>
      <c r="T1" s="92"/>
      <c r="U1" s="92"/>
      <c r="V1" s="92"/>
      <c r="W1" s="93"/>
      <c r="X1" s="93"/>
      <c r="Y1" s="93"/>
      <c r="Z1" s="93"/>
      <c r="AA1" s="62"/>
      <c r="AB1" s="62"/>
      <c r="AC1" s="97"/>
    </row>
    <row r="2" s="54" customFormat="1" ht="17.25" customHeight="1" spans="1:29">
      <c r="A2" s="63"/>
      <c r="B2" s="64"/>
      <c r="C2" s="64"/>
      <c r="F2" s="65"/>
      <c r="G2" s="65"/>
      <c r="H2" s="65"/>
      <c r="I2" s="81"/>
      <c r="J2" s="65"/>
      <c r="K2" s="82"/>
      <c r="L2" s="82"/>
      <c r="M2" s="82"/>
      <c r="N2" s="82"/>
      <c r="O2" s="82"/>
      <c r="P2" s="82"/>
      <c r="Q2" s="94" t="s">
        <v>4518</v>
      </c>
      <c r="R2" s="94"/>
      <c r="S2" s="94"/>
      <c r="T2" s="94" t="s">
        <v>4519</v>
      </c>
      <c r="U2" s="94"/>
      <c r="V2" s="94"/>
      <c r="W2" s="82"/>
      <c r="X2" s="82" t="s">
        <v>4520</v>
      </c>
      <c r="Y2" s="82"/>
      <c r="Z2" s="82" t="s">
        <v>4520</v>
      </c>
      <c r="AA2" s="65"/>
      <c r="AB2" s="65"/>
      <c r="AC2" s="98"/>
    </row>
    <row r="3" s="55" customFormat="1" ht="42.75" customHeight="1" spans="1:29">
      <c r="A3" s="66" t="s">
        <v>4425</v>
      </c>
      <c r="B3" s="67" t="s">
        <v>4426</v>
      </c>
      <c r="C3" s="67" t="s">
        <v>11</v>
      </c>
      <c r="D3" s="67" t="s">
        <v>15</v>
      </c>
      <c r="E3" s="68" t="s">
        <v>16</v>
      </c>
      <c r="F3" s="69" t="s">
        <v>1994</v>
      </c>
      <c r="G3" s="68" t="s">
        <v>4521</v>
      </c>
      <c r="H3" s="66" t="s">
        <v>4522</v>
      </c>
      <c r="I3" s="83" t="s">
        <v>4523</v>
      </c>
      <c r="J3" s="66" t="s">
        <v>28</v>
      </c>
      <c r="K3" s="84" t="s">
        <v>4524</v>
      </c>
      <c r="L3" s="84" t="s">
        <v>4525</v>
      </c>
      <c r="M3" s="84" t="s">
        <v>4526</v>
      </c>
      <c r="N3" s="85" t="s">
        <v>3141</v>
      </c>
      <c r="O3" s="85" t="s">
        <v>2042</v>
      </c>
      <c r="P3" s="85" t="s">
        <v>2063</v>
      </c>
      <c r="Q3" s="95" t="s">
        <v>46</v>
      </c>
      <c r="R3" s="95" t="s">
        <v>41</v>
      </c>
      <c r="S3" s="95" t="s">
        <v>47</v>
      </c>
      <c r="T3" s="95" t="s">
        <v>46</v>
      </c>
      <c r="U3" s="95" t="s">
        <v>41</v>
      </c>
      <c r="V3" s="95" t="s">
        <v>47</v>
      </c>
      <c r="W3" s="84" t="s">
        <v>4527</v>
      </c>
      <c r="X3" s="84" t="s">
        <v>4528</v>
      </c>
      <c r="Y3" s="84" t="s">
        <v>3998</v>
      </c>
      <c r="Z3" s="84" t="s">
        <v>4529</v>
      </c>
      <c r="AA3" s="66" t="s">
        <v>4530</v>
      </c>
      <c r="AB3" s="66" t="s">
        <v>4531</v>
      </c>
      <c r="AC3" s="99" t="s">
        <v>29</v>
      </c>
    </row>
    <row r="4" ht="48" hidden="1" customHeight="1" spans="1:29">
      <c r="A4" s="70">
        <v>42747</v>
      </c>
      <c r="B4" s="71" t="s">
        <v>4532</v>
      </c>
      <c r="C4" s="72" t="s">
        <v>4533</v>
      </c>
      <c r="D4" s="71" t="s">
        <v>3101</v>
      </c>
      <c r="E4" s="73" t="s">
        <v>4534</v>
      </c>
      <c r="F4" s="74">
        <v>450</v>
      </c>
      <c r="G4" s="75" t="s">
        <v>4535</v>
      </c>
      <c r="H4" s="76">
        <v>2.63</v>
      </c>
      <c r="I4" s="86">
        <f t="shared" ref="I4:I23" si="0">F4*H4</f>
        <v>1183.5</v>
      </c>
      <c r="J4" s="87" t="s">
        <v>4536</v>
      </c>
      <c r="K4" s="88">
        <f>F4/3</f>
        <v>150</v>
      </c>
      <c r="L4" s="88">
        <f>F4/3</f>
        <v>150</v>
      </c>
      <c r="M4" s="88">
        <f>F4/3</f>
        <v>150</v>
      </c>
      <c r="N4" s="88"/>
      <c r="O4" s="88"/>
      <c r="P4" s="88"/>
      <c r="Q4" s="96">
        <v>150</v>
      </c>
      <c r="R4" s="96">
        <v>150</v>
      </c>
      <c r="S4" s="96">
        <v>150</v>
      </c>
      <c r="T4" s="96"/>
      <c r="U4" s="96"/>
      <c r="V4" s="96"/>
      <c r="W4" s="88">
        <v>450</v>
      </c>
      <c r="X4" s="88"/>
      <c r="Y4" s="88"/>
      <c r="Z4" s="88"/>
      <c r="AA4" s="100">
        <v>13233</v>
      </c>
      <c r="AB4" s="100"/>
      <c r="AC4" s="101" t="s">
        <v>4537</v>
      </c>
    </row>
    <row r="5" ht="26.25" customHeight="1" spans="1:29">
      <c r="A5" s="70">
        <v>42754</v>
      </c>
      <c r="B5" s="71" t="s">
        <v>4538</v>
      </c>
      <c r="C5" s="71" t="s">
        <v>4539</v>
      </c>
      <c r="D5" s="71" t="s">
        <v>4540</v>
      </c>
      <c r="E5" s="73" t="s">
        <v>4534</v>
      </c>
      <c r="F5" s="74">
        <v>300</v>
      </c>
      <c r="G5" s="75" t="s">
        <v>4535</v>
      </c>
      <c r="H5" s="76">
        <v>2.63</v>
      </c>
      <c r="I5" s="86">
        <f t="shared" si="0"/>
        <v>789</v>
      </c>
      <c r="J5" s="87" t="s">
        <v>4536</v>
      </c>
      <c r="K5" s="88">
        <v>100</v>
      </c>
      <c r="L5" s="88">
        <v>100</v>
      </c>
      <c r="M5" s="88">
        <v>100</v>
      </c>
      <c r="N5" s="88"/>
      <c r="O5" s="88"/>
      <c r="P5" s="88"/>
      <c r="Q5" s="96">
        <v>100</v>
      </c>
      <c r="R5" s="96">
        <v>100</v>
      </c>
      <c r="S5" s="96">
        <v>100</v>
      </c>
      <c r="T5" s="96"/>
      <c r="U5" s="96"/>
      <c r="V5" s="96"/>
      <c r="W5" s="88">
        <v>300</v>
      </c>
      <c r="X5" s="88"/>
      <c r="Y5" s="88"/>
      <c r="Z5" s="88"/>
      <c r="AA5" s="100"/>
      <c r="AB5" s="100"/>
      <c r="AC5" s="101" t="s">
        <v>4537</v>
      </c>
    </row>
    <row r="6" ht="26.25" customHeight="1" spans="1:29">
      <c r="A6" s="70">
        <v>42830</v>
      </c>
      <c r="B6" s="71" t="s">
        <v>4445</v>
      </c>
      <c r="C6" s="75" t="s">
        <v>4541</v>
      </c>
      <c r="D6" s="75" t="s">
        <v>4542</v>
      </c>
      <c r="E6" s="73" t="s">
        <v>4534</v>
      </c>
      <c r="F6" s="74">
        <v>9</v>
      </c>
      <c r="G6" s="75" t="s">
        <v>4535</v>
      </c>
      <c r="H6" s="76">
        <v>2.63</v>
      </c>
      <c r="I6" s="86">
        <f t="shared" si="0"/>
        <v>23.67</v>
      </c>
      <c r="J6" s="70" t="s">
        <v>4536</v>
      </c>
      <c r="K6" s="88">
        <v>3</v>
      </c>
      <c r="L6" s="88">
        <v>3</v>
      </c>
      <c r="M6" s="88">
        <v>3</v>
      </c>
      <c r="N6" s="88"/>
      <c r="O6" s="88"/>
      <c r="P6" s="88"/>
      <c r="Q6" s="96">
        <v>3</v>
      </c>
      <c r="R6" s="96">
        <v>3</v>
      </c>
      <c r="S6" s="96">
        <v>3</v>
      </c>
      <c r="T6" s="96"/>
      <c r="U6" s="96"/>
      <c r="V6" s="96"/>
      <c r="W6" s="88">
        <v>9</v>
      </c>
      <c r="X6" s="88"/>
      <c r="Y6" s="88"/>
      <c r="Z6" s="88"/>
      <c r="AA6" s="100"/>
      <c r="AB6" s="100"/>
      <c r="AC6" s="101" t="s">
        <v>4537</v>
      </c>
    </row>
    <row r="7" ht="26.25" customHeight="1" spans="1:29">
      <c r="A7" s="70">
        <v>42836</v>
      </c>
      <c r="B7" s="71" t="s">
        <v>4445</v>
      </c>
      <c r="C7" s="75" t="s">
        <v>4541</v>
      </c>
      <c r="D7" s="75" t="s">
        <v>4542</v>
      </c>
      <c r="E7" s="73" t="s">
        <v>4534</v>
      </c>
      <c r="F7" s="74">
        <v>3</v>
      </c>
      <c r="G7" s="75" t="s">
        <v>4535</v>
      </c>
      <c r="H7" s="76">
        <v>2.63</v>
      </c>
      <c r="I7" s="86">
        <f t="shared" si="0"/>
        <v>7.89</v>
      </c>
      <c r="J7" s="70" t="s">
        <v>4536</v>
      </c>
      <c r="K7" s="88">
        <v>1</v>
      </c>
      <c r="L7" s="88">
        <v>1</v>
      </c>
      <c r="M7" s="88">
        <v>1</v>
      </c>
      <c r="N7" s="88"/>
      <c r="O7" s="88"/>
      <c r="P7" s="88"/>
      <c r="Q7" s="96">
        <v>1</v>
      </c>
      <c r="R7" s="96">
        <v>1</v>
      </c>
      <c r="S7" s="96">
        <v>1</v>
      </c>
      <c r="T7" s="96"/>
      <c r="U7" s="96"/>
      <c r="V7" s="96"/>
      <c r="W7" s="88">
        <v>3</v>
      </c>
      <c r="X7" s="88"/>
      <c r="Y7" s="88"/>
      <c r="Z7" s="88"/>
      <c r="AA7" s="100"/>
      <c r="AB7" s="100"/>
      <c r="AC7" s="101" t="s">
        <v>4537</v>
      </c>
    </row>
    <row r="8" ht="26.25" customHeight="1" spans="1:29">
      <c r="A8" s="70">
        <v>42928</v>
      </c>
      <c r="B8" s="71" t="s">
        <v>4445</v>
      </c>
      <c r="C8" s="75" t="s">
        <v>4543</v>
      </c>
      <c r="D8" s="75" t="s">
        <v>4544</v>
      </c>
      <c r="E8" s="73" t="s">
        <v>4545</v>
      </c>
      <c r="F8" s="74">
        <v>14</v>
      </c>
      <c r="G8" s="75" t="s">
        <v>4535</v>
      </c>
      <c r="H8" s="76">
        <v>2.63</v>
      </c>
      <c r="I8" s="86">
        <f t="shared" si="0"/>
        <v>36.82</v>
      </c>
      <c r="J8" s="89" t="s">
        <v>4546</v>
      </c>
      <c r="K8" s="88">
        <v>7</v>
      </c>
      <c r="L8" s="88">
        <v>7</v>
      </c>
      <c r="M8" s="88"/>
      <c r="N8" s="88"/>
      <c r="O8" s="88"/>
      <c r="P8" s="88"/>
      <c r="Q8" s="96"/>
      <c r="R8" s="96"/>
      <c r="S8" s="96"/>
      <c r="T8" s="96"/>
      <c r="U8" s="96"/>
      <c r="V8" s="96"/>
      <c r="W8" s="88"/>
      <c r="X8" s="88"/>
      <c r="Y8" s="88"/>
      <c r="Z8" s="88"/>
      <c r="AA8" s="100"/>
      <c r="AB8" s="100"/>
      <c r="AC8" s="101"/>
    </row>
    <row r="9" ht="26.25" customHeight="1" spans="1:29">
      <c r="A9" s="70">
        <v>42934</v>
      </c>
      <c r="B9" s="71" t="s">
        <v>4547</v>
      </c>
      <c r="C9" s="75" t="s">
        <v>4543</v>
      </c>
      <c r="D9" s="75" t="s">
        <v>4548</v>
      </c>
      <c r="E9" s="73" t="s">
        <v>4534</v>
      </c>
      <c r="F9" s="74">
        <v>3</v>
      </c>
      <c r="G9" s="75" t="s">
        <v>4535</v>
      </c>
      <c r="H9" s="76">
        <v>2.63</v>
      </c>
      <c r="I9" s="86">
        <f t="shared" si="0"/>
        <v>7.89</v>
      </c>
      <c r="J9" s="70" t="s">
        <v>1991</v>
      </c>
      <c r="K9" s="88">
        <v>1</v>
      </c>
      <c r="L9" s="88">
        <v>1</v>
      </c>
      <c r="M9" s="88">
        <v>1</v>
      </c>
      <c r="N9" s="88"/>
      <c r="O9" s="88"/>
      <c r="P9" s="88"/>
      <c r="Q9" s="96">
        <v>1</v>
      </c>
      <c r="R9" s="96">
        <v>1</v>
      </c>
      <c r="S9" s="96">
        <v>1</v>
      </c>
      <c r="T9" s="96"/>
      <c r="U9" s="96"/>
      <c r="V9" s="96"/>
      <c r="W9" s="88"/>
      <c r="X9" s="88"/>
      <c r="Y9" s="88"/>
      <c r="Z9" s="88"/>
      <c r="AA9" s="100"/>
      <c r="AB9" s="100"/>
      <c r="AC9" s="101"/>
    </row>
    <row r="10" ht="26.25" customHeight="1" spans="1:29">
      <c r="A10" s="70">
        <v>42936</v>
      </c>
      <c r="B10" s="71" t="s">
        <v>4549</v>
      </c>
      <c r="C10" s="75">
        <v>4500004685</v>
      </c>
      <c r="D10" s="75" t="s">
        <v>4550</v>
      </c>
      <c r="E10" s="73" t="s">
        <v>4534</v>
      </c>
      <c r="F10" s="74">
        <v>18</v>
      </c>
      <c r="G10" s="75" t="s">
        <v>4535</v>
      </c>
      <c r="H10" s="76">
        <v>2.63</v>
      </c>
      <c r="I10" s="86">
        <f t="shared" si="0"/>
        <v>47.34</v>
      </c>
      <c r="J10" s="89" t="s">
        <v>4551</v>
      </c>
      <c r="K10" s="88">
        <v>6</v>
      </c>
      <c r="L10" s="88">
        <v>6</v>
      </c>
      <c r="M10" s="88">
        <v>6</v>
      </c>
      <c r="N10" s="88"/>
      <c r="O10" s="88"/>
      <c r="P10" s="88"/>
      <c r="Q10" s="96"/>
      <c r="R10" s="96"/>
      <c r="S10" s="96"/>
      <c r="T10" s="96"/>
      <c r="U10" s="96"/>
      <c r="V10" s="96"/>
      <c r="W10" s="88">
        <v>0</v>
      </c>
      <c r="X10" s="88"/>
      <c r="Y10" s="88"/>
      <c r="Z10" s="88"/>
      <c r="AA10" s="100"/>
      <c r="AB10" s="100"/>
      <c r="AC10" s="101"/>
    </row>
    <row r="11" ht="26.25" customHeight="1" spans="1:29">
      <c r="A11" s="70">
        <v>42958</v>
      </c>
      <c r="B11" s="71" t="s">
        <v>4552</v>
      </c>
      <c r="C11" s="75">
        <v>4500005935</v>
      </c>
      <c r="D11" s="75" t="s">
        <v>4553</v>
      </c>
      <c r="E11" s="73" t="s">
        <v>4534</v>
      </c>
      <c r="F11" s="74">
        <v>12</v>
      </c>
      <c r="G11" s="75" t="s">
        <v>4535</v>
      </c>
      <c r="H11" s="76">
        <v>2.63</v>
      </c>
      <c r="I11" s="86">
        <f t="shared" si="0"/>
        <v>31.56</v>
      </c>
      <c r="J11" s="70" t="s">
        <v>1991</v>
      </c>
      <c r="K11" s="88">
        <v>4</v>
      </c>
      <c r="L11" s="88">
        <v>4</v>
      </c>
      <c r="M11" s="88">
        <v>4</v>
      </c>
      <c r="N11" s="88"/>
      <c r="O11" s="88"/>
      <c r="P11" s="88"/>
      <c r="Q11" s="96">
        <v>4</v>
      </c>
      <c r="R11" s="96">
        <v>4</v>
      </c>
      <c r="S11" s="96">
        <v>4</v>
      </c>
      <c r="T11" s="96"/>
      <c r="U11" s="96"/>
      <c r="V11" s="96"/>
      <c r="W11" s="88">
        <v>12</v>
      </c>
      <c r="X11" s="88"/>
      <c r="Y11" s="88"/>
      <c r="Z11" s="88"/>
      <c r="AA11" s="100"/>
      <c r="AB11" s="100"/>
      <c r="AC11" s="101"/>
    </row>
    <row r="12" ht="26.25" customHeight="1" spans="1:29">
      <c r="A12" s="70">
        <v>43004</v>
      </c>
      <c r="B12" s="71" t="s">
        <v>4554</v>
      </c>
      <c r="C12" s="75" t="s">
        <v>4543</v>
      </c>
      <c r="D12" s="75" t="s">
        <v>4555</v>
      </c>
      <c r="E12" s="73" t="s">
        <v>4534</v>
      </c>
      <c r="F12" s="74">
        <v>18</v>
      </c>
      <c r="G12" s="75" t="s">
        <v>4535</v>
      </c>
      <c r="H12" s="76">
        <v>2.63</v>
      </c>
      <c r="I12" s="86">
        <f t="shared" si="0"/>
        <v>47.34</v>
      </c>
      <c r="J12" s="70" t="s">
        <v>1991</v>
      </c>
      <c r="K12" s="88">
        <v>6</v>
      </c>
      <c r="L12" s="88">
        <v>6</v>
      </c>
      <c r="M12" s="88">
        <v>6</v>
      </c>
      <c r="N12" s="88"/>
      <c r="O12" s="88"/>
      <c r="P12" s="88"/>
      <c r="Q12" s="96">
        <v>6</v>
      </c>
      <c r="R12" s="96">
        <v>6</v>
      </c>
      <c r="S12" s="96">
        <v>6</v>
      </c>
      <c r="T12" s="96"/>
      <c r="U12" s="96"/>
      <c r="V12" s="96"/>
      <c r="W12" s="88">
        <v>18</v>
      </c>
      <c r="X12" s="88"/>
      <c r="Y12" s="88"/>
      <c r="Z12" s="88"/>
      <c r="AA12" s="100"/>
      <c r="AB12" s="100"/>
      <c r="AC12" s="101"/>
    </row>
    <row r="13" ht="26.25" customHeight="1" spans="1:29">
      <c r="A13" s="70">
        <v>43159</v>
      </c>
      <c r="B13" s="71" t="s">
        <v>4445</v>
      </c>
      <c r="C13" s="75" t="s">
        <v>4543</v>
      </c>
      <c r="D13" s="75" t="s">
        <v>4556</v>
      </c>
      <c r="E13" s="73" t="s">
        <v>4534</v>
      </c>
      <c r="F13" s="74">
        <v>6</v>
      </c>
      <c r="G13" s="75" t="s">
        <v>4535</v>
      </c>
      <c r="H13" s="76">
        <v>2.63</v>
      </c>
      <c r="I13" s="86">
        <f t="shared" si="0"/>
        <v>15.78</v>
      </c>
      <c r="J13" s="70" t="s">
        <v>1991</v>
      </c>
      <c r="K13" s="88">
        <v>2</v>
      </c>
      <c r="L13" s="88">
        <v>2</v>
      </c>
      <c r="M13" s="88">
        <v>2</v>
      </c>
      <c r="N13" s="88"/>
      <c r="O13" s="88"/>
      <c r="P13" s="88"/>
      <c r="Q13" s="96">
        <v>2</v>
      </c>
      <c r="R13" s="96">
        <v>2</v>
      </c>
      <c r="S13" s="96">
        <v>2</v>
      </c>
      <c r="T13" s="96"/>
      <c r="U13" s="96"/>
      <c r="V13" s="96"/>
      <c r="W13" s="88">
        <v>6</v>
      </c>
      <c r="X13" s="88"/>
      <c r="Y13" s="88"/>
      <c r="Z13" s="88"/>
      <c r="AA13" s="100"/>
      <c r="AB13" s="100"/>
      <c r="AC13" s="101"/>
    </row>
    <row r="14" ht="26.25" customHeight="1" spans="1:29">
      <c r="A14" s="70">
        <v>43159</v>
      </c>
      <c r="B14" s="71" t="s">
        <v>4557</v>
      </c>
      <c r="C14" s="75" t="s">
        <v>4543</v>
      </c>
      <c r="D14" s="75" t="s">
        <v>4555</v>
      </c>
      <c r="E14" s="73" t="s">
        <v>4545</v>
      </c>
      <c r="F14" s="74">
        <v>4</v>
      </c>
      <c r="G14" s="75" t="s">
        <v>4535</v>
      </c>
      <c r="H14" s="76">
        <v>2.63</v>
      </c>
      <c r="I14" s="86">
        <f t="shared" si="0"/>
        <v>10.52</v>
      </c>
      <c r="J14" s="70" t="s">
        <v>1991</v>
      </c>
      <c r="K14" s="88">
        <v>2</v>
      </c>
      <c r="L14" s="88">
        <v>2</v>
      </c>
      <c r="M14" s="88"/>
      <c r="N14" s="88"/>
      <c r="O14" s="88"/>
      <c r="P14" s="88"/>
      <c r="Q14" s="96">
        <v>2</v>
      </c>
      <c r="R14" s="96">
        <v>2</v>
      </c>
      <c r="S14" s="96"/>
      <c r="T14" s="96"/>
      <c r="U14" s="96"/>
      <c r="V14" s="96"/>
      <c r="W14" s="88">
        <v>4</v>
      </c>
      <c r="X14" s="88"/>
      <c r="Y14" s="88"/>
      <c r="Z14" s="88"/>
      <c r="AA14" s="100"/>
      <c r="AB14" s="100"/>
      <c r="AC14" s="101"/>
    </row>
    <row r="15" ht="26.25" customHeight="1" spans="1:29">
      <c r="A15" s="70">
        <v>43160</v>
      </c>
      <c r="B15" s="71" t="s">
        <v>4558</v>
      </c>
      <c r="C15" s="75" t="s">
        <v>4543</v>
      </c>
      <c r="D15" s="75" t="s">
        <v>4559</v>
      </c>
      <c r="E15" s="73" t="s">
        <v>4534</v>
      </c>
      <c r="F15" s="74">
        <v>15</v>
      </c>
      <c r="G15" s="75" t="s">
        <v>4535</v>
      </c>
      <c r="H15" s="76">
        <v>2.63</v>
      </c>
      <c r="I15" s="86">
        <f t="shared" si="0"/>
        <v>39.45</v>
      </c>
      <c r="J15" s="70" t="s">
        <v>1991</v>
      </c>
      <c r="K15" s="88">
        <v>5</v>
      </c>
      <c r="L15" s="88">
        <v>5</v>
      </c>
      <c r="M15" s="88">
        <v>5</v>
      </c>
      <c r="N15" s="88"/>
      <c r="O15" s="88"/>
      <c r="P15" s="88"/>
      <c r="Q15" s="96">
        <v>5</v>
      </c>
      <c r="R15" s="96">
        <v>5</v>
      </c>
      <c r="S15" s="96">
        <v>5</v>
      </c>
      <c r="T15" s="96"/>
      <c r="U15" s="96"/>
      <c r="V15" s="96"/>
      <c r="W15" s="88">
        <v>15</v>
      </c>
      <c r="X15" s="88"/>
      <c r="Y15" s="88"/>
      <c r="Z15" s="88"/>
      <c r="AA15" s="100"/>
      <c r="AB15" s="100"/>
      <c r="AC15" s="101"/>
    </row>
    <row r="16" ht="26.25" customHeight="1" spans="1:29">
      <c r="A16" s="70">
        <v>43161</v>
      </c>
      <c r="B16" s="71" t="s">
        <v>4547</v>
      </c>
      <c r="C16" s="75" t="s">
        <v>4543</v>
      </c>
      <c r="D16" s="75" t="s">
        <v>4560</v>
      </c>
      <c r="E16" s="73" t="s">
        <v>4534</v>
      </c>
      <c r="F16" s="74">
        <v>12</v>
      </c>
      <c r="G16" s="75" t="s">
        <v>4535</v>
      </c>
      <c r="H16" s="76">
        <v>2.63</v>
      </c>
      <c r="I16" s="86">
        <f t="shared" si="0"/>
        <v>31.56</v>
      </c>
      <c r="J16" s="70" t="s">
        <v>1991</v>
      </c>
      <c r="K16" s="88">
        <v>4</v>
      </c>
      <c r="L16" s="88">
        <v>4</v>
      </c>
      <c r="M16" s="88">
        <v>4</v>
      </c>
      <c r="N16" s="88"/>
      <c r="O16" s="88"/>
      <c r="P16" s="88"/>
      <c r="Q16" s="96">
        <v>4</v>
      </c>
      <c r="R16" s="96">
        <v>4</v>
      </c>
      <c r="S16" s="96">
        <v>4</v>
      </c>
      <c r="T16" s="96"/>
      <c r="U16" s="96"/>
      <c r="V16" s="96"/>
      <c r="W16" s="88">
        <v>12</v>
      </c>
      <c r="X16" s="88"/>
      <c r="Y16" s="88"/>
      <c r="Z16" s="88"/>
      <c r="AA16" s="100"/>
      <c r="AB16" s="100"/>
      <c r="AC16" s="101"/>
    </row>
    <row r="17" ht="26.25" customHeight="1" spans="1:29">
      <c r="A17" s="70">
        <v>43188</v>
      </c>
      <c r="B17" s="71" t="s">
        <v>508</v>
      </c>
      <c r="C17" s="75">
        <v>4500009589</v>
      </c>
      <c r="D17" s="75" t="s">
        <v>4561</v>
      </c>
      <c r="E17" s="73" t="s">
        <v>4534</v>
      </c>
      <c r="F17" s="74">
        <v>3</v>
      </c>
      <c r="G17" s="75" t="s">
        <v>4535</v>
      </c>
      <c r="H17" s="76">
        <v>2.63</v>
      </c>
      <c r="I17" s="86">
        <f t="shared" si="0"/>
        <v>7.89</v>
      </c>
      <c r="J17" s="70" t="s">
        <v>1991</v>
      </c>
      <c r="K17" s="88">
        <v>1</v>
      </c>
      <c r="L17" s="88">
        <v>1</v>
      </c>
      <c r="M17" s="88">
        <v>1</v>
      </c>
      <c r="N17" s="88"/>
      <c r="O17" s="88"/>
      <c r="P17" s="88"/>
      <c r="Q17" s="96">
        <v>1</v>
      </c>
      <c r="R17" s="96">
        <v>1</v>
      </c>
      <c r="S17" s="96">
        <v>1</v>
      </c>
      <c r="T17" s="96"/>
      <c r="U17" s="96"/>
      <c r="V17" s="96"/>
      <c r="W17" s="88">
        <v>3</v>
      </c>
      <c r="X17" s="88"/>
      <c r="Y17" s="88"/>
      <c r="Z17" s="88"/>
      <c r="AA17" s="100"/>
      <c r="AB17" s="100"/>
      <c r="AC17" s="101"/>
    </row>
    <row r="18" ht="26.25" customHeight="1" spans="1:29">
      <c r="A18" s="70">
        <v>43258</v>
      </c>
      <c r="B18" s="71" t="s">
        <v>508</v>
      </c>
      <c r="C18" s="75">
        <v>4500009589</v>
      </c>
      <c r="D18" s="75" t="s">
        <v>4562</v>
      </c>
      <c r="E18" s="73" t="s">
        <v>4534</v>
      </c>
      <c r="F18" s="74">
        <v>6</v>
      </c>
      <c r="G18" s="75" t="s">
        <v>4535</v>
      </c>
      <c r="H18" s="76">
        <v>2.63</v>
      </c>
      <c r="I18" s="86">
        <f t="shared" si="0"/>
        <v>15.78</v>
      </c>
      <c r="J18" s="89" t="s">
        <v>1992</v>
      </c>
      <c r="K18" s="88">
        <v>2</v>
      </c>
      <c r="L18" s="88">
        <v>2</v>
      </c>
      <c r="M18" s="88">
        <v>2</v>
      </c>
      <c r="N18" s="88"/>
      <c r="O18" s="88"/>
      <c r="P18" s="88"/>
      <c r="Q18" s="96"/>
      <c r="R18" s="96"/>
      <c r="S18" s="96"/>
      <c r="T18" s="96"/>
      <c r="U18" s="96"/>
      <c r="V18" s="96"/>
      <c r="W18" s="88"/>
      <c r="X18" s="88"/>
      <c r="Y18" s="88"/>
      <c r="Z18" s="88"/>
      <c r="AA18" s="100"/>
      <c r="AB18" s="100"/>
      <c r="AC18" s="101"/>
    </row>
    <row r="19" ht="26.25" customHeight="1" spans="1:29">
      <c r="A19" s="70">
        <v>43270</v>
      </c>
      <c r="B19" s="71" t="s">
        <v>508</v>
      </c>
      <c r="C19" s="75">
        <v>4500009589</v>
      </c>
      <c r="D19" s="75" t="s">
        <v>4563</v>
      </c>
      <c r="E19" s="73" t="s">
        <v>4534</v>
      </c>
      <c r="F19" s="74">
        <v>9</v>
      </c>
      <c r="G19" s="75" t="s">
        <v>4535</v>
      </c>
      <c r="H19" s="76">
        <v>2.63</v>
      </c>
      <c r="I19" s="86">
        <f t="shared" si="0"/>
        <v>23.67</v>
      </c>
      <c r="J19" s="89" t="s">
        <v>1992</v>
      </c>
      <c r="K19" s="88">
        <v>3</v>
      </c>
      <c r="L19" s="88">
        <v>3</v>
      </c>
      <c r="M19" s="88">
        <v>3</v>
      </c>
      <c r="N19" s="88"/>
      <c r="O19" s="88"/>
      <c r="P19" s="88"/>
      <c r="Q19" s="96"/>
      <c r="R19" s="96"/>
      <c r="S19" s="96"/>
      <c r="T19" s="96"/>
      <c r="U19" s="96"/>
      <c r="V19" s="96"/>
      <c r="W19" s="88"/>
      <c r="X19" s="88"/>
      <c r="Y19" s="88"/>
      <c r="Z19" s="88"/>
      <c r="AA19" s="100"/>
      <c r="AB19" s="100"/>
      <c r="AC19" s="101"/>
    </row>
    <row r="20" ht="26.25" customHeight="1" spans="1:29">
      <c r="A20" s="70">
        <v>43271</v>
      </c>
      <c r="B20" s="71" t="s">
        <v>4547</v>
      </c>
      <c r="C20" s="75" t="s">
        <v>4543</v>
      </c>
      <c r="D20" s="75" t="s">
        <v>4564</v>
      </c>
      <c r="E20" s="73" t="s">
        <v>4534</v>
      </c>
      <c r="F20" s="74">
        <v>6</v>
      </c>
      <c r="G20" s="75" t="s">
        <v>4535</v>
      </c>
      <c r="H20" s="76">
        <v>2.63</v>
      </c>
      <c r="I20" s="86">
        <f t="shared" si="0"/>
        <v>15.78</v>
      </c>
      <c r="J20" s="89" t="s">
        <v>1991</v>
      </c>
      <c r="K20" s="88">
        <v>2</v>
      </c>
      <c r="L20" s="88">
        <v>2</v>
      </c>
      <c r="M20" s="88">
        <v>2</v>
      </c>
      <c r="N20" s="88"/>
      <c r="O20" s="88"/>
      <c r="P20" s="88"/>
      <c r="Q20" s="96">
        <v>2</v>
      </c>
      <c r="R20" s="96">
        <v>2</v>
      </c>
      <c r="S20" s="96">
        <v>2</v>
      </c>
      <c r="T20" s="96"/>
      <c r="U20" s="96"/>
      <c r="V20" s="96"/>
      <c r="W20" s="88">
        <v>6</v>
      </c>
      <c r="X20" s="88"/>
      <c r="Y20" s="88"/>
      <c r="Z20" s="88"/>
      <c r="AA20" s="100"/>
      <c r="AB20" s="100"/>
      <c r="AC20" s="101"/>
    </row>
    <row r="21" ht="26.25" customHeight="1" spans="1:29">
      <c r="A21" s="70">
        <v>43378</v>
      </c>
      <c r="B21" s="71" t="s">
        <v>4565</v>
      </c>
      <c r="C21" s="75">
        <v>4500013632</v>
      </c>
      <c r="D21" s="75" t="s">
        <v>4566</v>
      </c>
      <c r="E21" s="73" t="s">
        <v>4534</v>
      </c>
      <c r="F21" s="74">
        <v>9</v>
      </c>
      <c r="G21" s="75" t="s">
        <v>4535</v>
      </c>
      <c r="H21" s="76">
        <v>2.63</v>
      </c>
      <c r="I21" s="86">
        <f t="shared" si="0"/>
        <v>23.67</v>
      </c>
      <c r="J21" s="89" t="s">
        <v>1991</v>
      </c>
      <c r="K21" s="88">
        <v>3</v>
      </c>
      <c r="L21" s="88">
        <v>3</v>
      </c>
      <c r="M21" s="88">
        <v>3</v>
      </c>
      <c r="N21" s="88"/>
      <c r="O21" s="88"/>
      <c r="P21" s="88"/>
      <c r="Q21" s="96">
        <v>3</v>
      </c>
      <c r="R21" s="96">
        <v>3</v>
      </c>
      <c r="S21" s="96">
        <v>3</v>
      </c>
      <c r="T21" s="96"/>
      <c r="U21" s="96"/>
      <c r="V21" s="96"/>
      <c r="W21" s="88">
        <v>9</v>
      </c>
      <c r="X21" s="88"/>
      <c r="Y21" s="88"/>
      <c r="Z21" s="88"/>
      <c r="AA21" s="100"/>
      <c r="AB21" s="100"/>
      <c r="AC21" s="101"/>
    </row>
    <row r="22" ht="26.25" customHeight="1" spans="1:29">
      <c r="A22" s="70">
        <v>43409</v>
      </c>
      <c r="B22" s="71" t="s">
        <v>4557</v>
      </c>
      <c r="C22" s="75">
        <v>4500014404</v>
      </c>
      <c r="D22" s="75" t="s">
        <v>4567</v>
      </c>
      <c r="E22" s="73" t="s">
        <v>4545</v>
      </c>
      <c r="F22" s="74">
        <v>6</v>
      </c>
      <c r="G22" s="75" t="s">
        <v>4535</v>
      </c>
      <c r="H22" s="76">
        <v>2.63</v>
      </c>
      <c r="I22" s="86">
        <f t="shared" si="0"/>
        <v>15.78</v>
      </c>
      <c r="J22" s="90" t="s">
        <v>4568</v>
      </c>
      <c r="K22" s="88">
        <v>3</v>
      </c>
      <c r="L22" s="88">
        <v>3</v>
      </c>
      <c r="M22" s="88"/>
      <c r="N22" s="88"/>
      <c r="O22" s="88"/>
      <c r="P22" s="88"/>
      <c r="Q22" s="96"/>
      <c r="R22" s="96"/>
      <c r="S22" s="96"/>
      <c r="T22" s="96"/>
      <c r="U22" s="96"/>
      <c r="V22" s="96"/>
      <c r="W22" s="88"/>
      <c r="X22" s="88"/>
      <c r="Y22" s="88"/>
      <c r="Z22" s="88"/>
      <c r="AA22" s="100"/>
      <c r="AB22" s="100"/>
      <c r="AC22" s="101"/>
    </row>
    <row r="23" ht="26.25" customHeight="1" spans="1:29">
      <c r="A23" s="70">
        <v>43410</v>
      </c>
      <c r="B23" s="71" t="s">
        <v>4565</v>
      </c>
      <c r="C23" s="75">
        <v>4500013632</v>
      </c>
      <c r="D23" s="75" t="s">
        <v>4569</v>
      </c>
      <c r="E23" s="73" t="s">
        <v>4534</v>
      </c>
      <c r="F23" s="74">
        <v>3</v>
      </c>
      <c r="G23" s="75" t="s">
        <v>4535</v>
      </c>
      <c r="H23" s="76">
        <v>2.63</v>
      </c>
      <c r="I23" s="86">
        <f t="shared" si="0"/>
        <v>7.89</v>
      </c>
      <c r="J23" s="89" t="s">
        <v>1991</v>
      </c>
      <c r="K23" s="88">
        <v>1</v>
      </c>
      <c r="L23" s="88">
        <v>1</v>
      </c>
      <c r="M23" s="88">
        <v>1</v>
      </c>
      <c r="N23" s="88"/>
      <c r="O23" s="88"/>
      <c r="P23" s="88"/>
      <c r="Q23" s="96">
        <v>1</v>
      </c>
      <c r="R23" s="96">
        <v>1</v>
      </c>
      <c r="S23" s="96">
        <v>1</v>
      </c>
      <c r="T23" s="96"/>
      <c r="U23" s="96"/>
      <c r="V23" s="96"/>
      <c r="W23" s="88"/>
      <c r="X23" s="88"/>
      <c r="Y23" s="88"/>
      <c r="Z23" s="88"/>
      <c r="AA23" s="100"/>
      <c r="AB23" s="100"/>
      <c r="AC23" s="101"/>
    </row>
    <row r="24" ht="26.25" customHeight="1" spans="1:29">
      <c r="A24" s="70">
        <v>43511</v>
      </c>
      <c r="B24" s="71" t="s">
        <v>4570</v>
      </c>
      <c r="C24" s="75">
        <v>4500016690</v>
      </c>
      <c r="D24" s="75" t="s">
        <v>4571</v>
      </c>
      <c r="E24" s="73" t="s">
        <v>4572</v>
      </c>
      <c r="F24" s="74">
        <v>1</v>
      </c>
      <c r="G24" s="75"/>
      <c r="H24" s="76"/>
      <c r="I24" s="86"/>
      <c r="J24" s="89" t="s">
        <v>1991</v>
      </c>
      <c r="K24" s="88"/>
      <c r="L24" s="88"/>
      <c r="M24" s="88">
        <v>1</v>
      </c>
      <c r="N24" s="88"/>
      <c r="O24" s="88"/>
      <c r="P24" s="88"/>
      <c r="Q24" s="96"/>
      <c r="R24" s="96"/>
      <c r="S24" s="96">
        <v>1</v>
      </c>
      <c r="T24" s="96"/>
      <c r="U24" s="96"/>
      <c r="V24" s="96"/>
      <c r="W24" s="88">
        <v>1</v>
      </c>
      <c r="X24" s="88"/>
      <c r="Y24" s="88"/>
      <c r="Z24" s="88"/>
      <c r="AA24" s="100"/>
      <c r="AB24" s="100"/>
      <c r="AC24" s="101"/>
    </row>
    <row r="25" ht="26.25" customHeight="1" spans="1:29">
      <c r="A25" s="70">
        <v>43530</v>
      </c>
      <c r="B25" s="71" t="s">
        <v>4573</v>
      </c>
      <c r="C25" s="75" t="s">
        <v>4543</v>
      </c>
      <c r="D25" s="75" t="s">
        <v>4550</v>
      </c>
      <c r="E25" s="73" t="s">
        <v>4534</v>
      </c>
      <c r="F25" s="74">
        <v>12</v>
      </c>
      <c r="G25" s="75"/>
      <c r="H25" s="76"/>
      <c r="I25" s="86"/>
      <c r="J25" s="89" t="s">
        <v>1991</v>
      </c>
      <c r="K25" s="88">
        <v>4</v>
      </c>
      <c r="L25" s="88">
        <v>4</v>
      </c>
      <c r="M25" s="88">
        <v>4</v>
      </c>
      <c r="N25" s="88"/>
      <c r="O25" s="88"/>
      <c r="P25" s="88"/>
      <c r="Q25" s="96">
        <v>4</v>
      </c>
      <c r="R25" s="96">
        <v>4</v>
      </c>
      <c r="S25" s="96">
        <v>4</v>
      </c>
      <c r="T25" s="96"/>
      <c r="U25" s="96"/>
      <c r="V25" s="96"/>
      <c r="W25" s="88">
        <v>12</v>
      </c>
      <c r="X25" s="88"/>
      <c r="Y25" s="88"/>
      <c r="Z25" s="88"/>
      <c r="AA25" s="100"/>
      <c r="AB25" s="100"/>
      <c r="AC25" s="101"/>
    </row>
    <row r="26" ht="26.25" customHeight="1" spans="1:29">
      <c r="A26" s="70">
        <v>43538</v>
      </c>
      <c r="B26" s="71" t="s">
        <v>4574</v>
      </c>
      <c r="C26" s="75">
        <v>4500017114</v>
      </c>
      <c r="D26" s="75" t="s">
        <v>4575</v>
      </c>
      <c r="E26" s="73" t="s">
        <v>4534</v>
      </c>
      <c r="F26" s="74">
        <v>3</v>
      </c>
      <c r="G26" s="75"/>
      <c r="H26" s="76"/>
      <c r="I26" s="86"/>
      <c r="J26" s="89" t="s">
        <v>1991</v>
      </c>
      <c r="K26" s="88">
        <v>1</v>
      </c>
      <c r="L26" s="88">
        <v>1</v>
      </c>
      <c r="M26" s="88">
        <v>1</v>
      </c>
      <c r="N26" s="88"/>
      <c r="O26" s="88"/>
      <c r="P26" s="88"/>
      <c r="Q26" s="96"/>
      <c r="R26" s="96"/>
      <c r="S26" s="96"/>
      <c r="T26" s="96">
        <v>1</v>
      </c>
      <c r="U26" s="96">
        <v>1</v>
      </c>
      <c r="V26" s="96">
        <v>1</v>
      </c>
      <c r="W26" s="88">
        <v>3</v>
      </c>
      <c r="X26" s="88"/>
      <c r="Y26" s="88"/>
      <c r="Z26" s="88"/>
      <c r="AA26" s="100"/>
      <c r="AB26" s="100"/>
      <c r="AC26" s="101"/>
    </row>
    <row r="27" ht="26.25" customHeight="1" spans="1:29">
      <c r="A27" s="70">
        <v>43538</v>
      </c>
      <c r="B27" s="71" t="s">
        <v>4576</v>
      </c>
      <c r="C27" s="75"/>
      <c r="D27" s="75" t="s">
        <v>4577</v>
      </c>
      <c r="E27" s="73" t="s">
        <v>4534</v>
      </c>
      <c r="F27" s="74">
        <v>6</v>
      </c>
      <c r="G27" s="75"/>
      <c r="H27" s="76"/>
      <c r="I27" s="86"/>
      <c r="J27" s="89" t="s">
        <v>1991</v>
      </c>
      <c r="K27" s="88">
        <v>2</v>
      </c>
      <c r="L27" s="88">
        <v>2</v>
      </c>
      <c r="M27" s="88">
        <v>2</v>
      </c>
      <c r="N27" s="88"/>
      <c r="O27" s="88"/>
      <c r="P27" s="88"/>
      <c r="Q27" s="96"/>
      <c r="R27" s="96"/>
      <c r="S27" s="96"/>
      <c r="T27" s="96">
        <v>2</v>
      </c>
      <c r="U27" s="96">
        <v>2</v>
      </c>
      <c r="V27" s="96">
        <v>2</v>
      </c>
      <c r="W27" s="88">
        <v>6</v>
      </c>
      <c r="X27" s="88"/>
      <c r="Y27" s="88"/>
      <c r="Z27" s="88"/>
      <c r="AA27" s="100"/>
      <c r="AB27" s="100"/>
      <c r="AC27" s="101"/>
    </row>
    <row r="28" ht="26.25" hidden="1" customHeight="1" spans="1:29">
      <c r="A28" s="70">
        <v>43557</v>
      </c>
      <c r="B28" s="71" t="s">
        <v>4062</v>
      </c>
      <c r="C28" s="75" t="s">
        <v>4578</v>
      </c>
      <c r="D28" s="75" t="s">
        <v>4579</v>
      </c>
      <c r="E28" s="73" t="s">
        <v>3109</v>
      </c>
      <c r="F28" s="74">
        <v>100</v>
      </c>
      <c r="G28" s="75"/>
      <c r="H28" s="76"/>
      <c r="I28" s="86"/>
      <c r="J28" s="89" t="s">
        <v>1991</v>
      </c>
      <c r="K28" s="88">
        <v>100</v>
      </c>
      <c r="L28" s="88"/>
      <c r="M28" s="88"/>
      <c r="N28" s="88"/>
      <c r="O28" s="88"/>
      <c r="P28" s="88"/>
      <c r="Q28" s="96">
        <v>100</v>
      </c>
      <c r="R28" s="96"/>
      <c r="S28" s="96"/>
      <c r="T28" s="96"/>
      <c r="U28" s="96"/>
      <c r="V28" s="96"/>
      <c r="W28" s="88">
        <v>100</v>
      </c>
      <c r="X28" s="88"/>
      <c r="Y28" s="88"/>
      <c r="Z28" s="88"/>
      <c r="AA28" s="100">
        <v>31182</v>
      </c>
      <c r="AB28" s="100"/>
      <c r="AC28" s="101"/>
    </row>
    <row r="29" ht="26.25" customHeight="1" spans="1:29">
      <c r="A29" s="70">
        <v>43592</v>
      </c>
      <c r="B29" s="71" t="s">
        <v>4580</v>
      </c>
      <c r="C29" s="75">
        <v>4500017902</v>
      </c>
      <c r="D29" s="75" t="s">
        <v>4581</v>
      </c>
      <c r="E29" s="73" t="s">
        <v>2119</v>
      </c>
      <c r="F29" s="74">
        <v>18</v>
      </c>
      <c r="G29" s="75"/>
      <c r="H29" s="76"/>
      <c r="I29" s="86"/>
      <c r="J29" s="89" t="s">
        <v>1991</v>
      </c>
      <c r="K29" s="88"/>
      <c r="L29" s="88"/>
      <c r="M29" s="88"/>
      <c r="N29" s="88">
        <v>6</v>
      </c>
      <c r="O29" s="88">
        <v>6</v>
      </c>
      <c r="P29" s="88">
        <v>6</v>
      </c>
      <c r="Q29" s="96"/>
      <c r="R29" s="96"/>
      <c r="S29" s="96"/>
      <c r="T29" s="96"/>
      <c r="U29" s="96"/>
      <c r="V29" s="96"/>
      <c r="W29" s="88"/>
      <c r="X29" s="88">
        <v>18</v>
      </c>
      <c r="Y29" s="88"/>
      <c r="Z29" s="88">
        <v>18</v>
      </c>
      <c r="AA29" s="100"/>
      <c r="AB29" s="100"/>
      <c r="AC29" s="101"/>
    </row>
    <row r="30" ht="26.25" customHeight="1" spans="1:29">
      <c r="A30" s="70">
        <v>43595</v>
      </c>
      <c r="B30" s="71" t="s">
        <v>4573</v>
      </c>
      <c r="C30" s="75" t="s">
        <v>4543</v>
      </c>
      <c r="D30" s="75" t="s">
        <v>4571</v>
      </c>
      <c r="E30" s="73" t="s">
        <v>67</v>
      </c>
      <c r="F30" s="74">
        <v>6</v>
      </c>
      <c r="G30" s="75"/>
      <c r="H30" s="76"/>
      <c r="I30" s="86"/>
      <c r="J30" s="89" t="s">
        <v>1991</v>
      </c>
      <c r="K30" s="88"/>
      <c r="L30" s="88"/>
      <c r="M30" s="88">
        <v>6</v>
      </c>
      <c r="N30" s="88"/>
      <c r="O30" s="88"/>
      <c r="P30" s="88"/>
      <c r="Q30" s="96"/>
      <c r="R30" s="96"/>
      <c r="S30" s="96">
        <v>6</v>
      </c>
      <c r="T30" s="96"/>
      <c r="U30" s="96"/>
      <c r="V30" s="96">
        <v>6</v>
      </c>
      <c r="W30" s="88"/>
      <c r="X30" s="88"/>
      <c r="Y30" s="88"/>
      <c r="Z30" s="88"/>
      <c r="AA30" s="100"/>
      <c r="AB30" s="100"/>
      <c r="AC30" s="101"/>
    </row>
    <row r="31" ht="26.25" customHeight="1" spans="1:29">
      <c r="A31" s="70"/>
      <c r="B31" s="71"/>
      <c r="C31" s="75"/>
      <c r="D31" s="75"/>
      <c r="E31" s="73"/>
      <c r="F31" s="74"/>
      <c r="G31" s="75"/>
      <c r="H31" s="76"/>
      <c r="I31" s="86"/>
      <c r="J31" s="89"/>
      <c r="K31" s="88"/>
      <c r="L31" s="88"/>
      <c r="M31" s="88"/>
      <c r="N31" s="88"/>
      <c r="O31" s="88"/>
      <c r="P31" s="88"/>
      <c r="Q31" s="96"/>
      <c r="R31" s="96"/>
      <c r="S31" s="96"/>
      <c r="T31" s="96"/>
      <c r="U31" s="96"/>
      <c r="V31" s="96"/>
      <c r="W31" s="88"/>
      <c r="X31" s="88"/>
      <c r="Y31" s="88"/>
      <c r="Z31" s="88"/>
      <c r="AA31" s="100"/>
      <c r="AB31" s="100"/>
      <c r="AC31" s="101"/>
    </row>
    <row r="32" ht="26.25" customHeight="1" spans="1:29">
      <c r="A32" s="70"/>
      <c r="B32" s="71"/>
      <c r="C32" s="71"/>
      <c r="D32" s="71"/>
      <c r="E32" s="71"/>
      <c r="F32" s="74"/>
      <c r="G32" s="71"/>
      <c r="H32" s="76"/>
      <c r="I32" s="86"/>
      <c r="J32" s="70"/>
      <c r="K32" s="88"/>
      <c r="L32" s="88"/>
      <c r="M32" s="88"/>
      <c r="N32" s="88"/>
      <c r="O32" s="88"/>
      <c r="P32" s="88"/>
      <c r="Q32" s="96"/>
      <c r="R32" s="96"/>
      <c r="S32" s="96"/>
      <c r="T32" s="96"/>
      <c r="U32" s="96"/>
      <c r="V32" s="96"/>
      <c r="W32" s="88"/>
      <c r="X32" s="88"/>
      <c r="Y32" s="88"/>
      <c r="Z32" s="88"/>
      <c r="AA32" s="100"/>
      <c r="AB32" s="100"/>
      <c r="AC32" s="101"/>
    </row>
    <row r="33" ht="26.25" customHeight="1" spans="1:29">
      <c r="A33" s="77"/>
      <c r="B33" s="78"/>
      <c r="C33" s="78"/>
      <c r="D33" s="78"/>
      <c r="E33" s="79" t="s">
        <v>1441</v>
      </c>
      <c r="F33" s="79">
        <f>SUM(F4:F32)</f>
        <v>1052</v>
      </c>
      <c r="G33" s="78"/>
      <c r="H33" s="80"/>
      <c r="I33" s="91">
        <f>SUM(I4:I32)</f>
        <v>2382.78</v>
      </c>
      <c r="J33" s="77"/>
      <c r="K33" s="79">
        <f t="shared" ref="K33:P33" si="1">SUM(K4:K32)</f>
        <v>413</v>
      </c>
      <c r="L33" s="79">
        <f t="shared" si="1"/>
        <v>313</v>
      </c>
      <c r="M33" s="79">
        <f t="shared" si="1"/>
        <v>308</v>
      </c>
      <c r="N33" s="79">
        <f t="shared" si="1"/>
        <v>6</v>
      </c>
      <c r="O33" s="79">
        <f t="shared" si="1"/>
        <v>6</v>
      </c>
      <c r="P33" s="79">
        <f t="shared" si="1"/>
        <v>6</v>
      </c>
      <c r="Q33" s="79">
        <f t="shared" ref="Q33:Z33" si="2">SUM(Q4:Q32)</f>
        <v>389</v>
      </c>
      <c r="R33" s="79">
        <f t="shared" si="2"/>
        <v>289</v>
      </c>
      <c r="S33" s="79">
        <f t="shared" si="2"/>
        <v>294</v>
      </c>
      <c r="T33" s="79">
        <f t="shared" si="2"/>
        <v>3</v>
      </c>
      <c r="U33" s="79">
        <f t="shared" si="2"/>
        <v>3</v>
      </c>
      <c r="V33" s="79">
        <f t="shared" si="2"/>
        <v>9</v>
      </c>
      <c r="W33" s="79">
        <f t="shared" si="2"/>
        <v>969</v>
      </c>
      <c r="X33" s="79">
        <f t="shared" si="2"/>
        <v>18</v>
      </c>
      <c r="Y33" s="79">
        <f t="shared" si="2"/>
        <v>0</v>
      </c>
      <c r="Z33" s="79">
        <f t="shared" si="2"/>
        <v>18</v>
      </c>
      <c r="AA33" s="79"/>
      <c r="AB33" s="79"/>
      <c r="AC33" s="102"/>
    </row>
  </sheetData>
  <autoFilter xmlns:etc="http://www.wps.cn/officeDocument/2017/etCustomData" ref="A3:AC30" etc:filterBottomFollowUsedRange="0">
    <filterColumn colId="26">
      <filters blank="1"/>
    </filterColumn>
    <extLst/>
  </autoFilter>
  <mergeCells count="4">
    <mergeCell ref="A1:F1"/>
    <mergeCell ref="A2:C2"/>
    <mergeCell ref="Q2:S2"/>
    <mergeCell ref="T2:V2"/>
  </mergeCells>
  <pageMargins left="0" right="0.08" top="0.39" bottom="0.51" header="0.5" footer="0.5"/>
  <pageSetup paperSize="9" scale="70" orientation="landscape"/>
  <headerFooter alignWithMargins="0" scaleWithDoc="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73"/>
  <sheetViews>
    <sheetView topLeftCell="A64" workbookViewId="0">
      <selection activeCell="D16" sqref="D16"/>
    </sheetView>
  </sheetViews>
  <sheetFormatPr defaultColWidth="8" defaultRowHeight="12.75"/>
  <cols>
    <col min="1" max="1" width="8" style="4"/>
    <col min="2" max="2" width="10.25" style="4" customWidth="1"/>
    <col min="3" max="3" width="18" style="4" customWidth="1"/>
    <col min="4" max="4" width="29.875" style="4" customWidth="1"/>
    <col min="5" max="16384" width="8" style="4"/>
  </cols>
  <sheetData>
    <row r="1" s="1" customFormat="1" ht="24" customHeight="1" spans="1:30">
      <c r="A1" s="5" t="s">
        <v>4582</v>
      </c>
      <c r="B1" s="6"/>
      <c r="C1" s="6"/>
      <c r="D1" s="6"/>
      <c r="E1" s="6"/>
      <c r="F1" s="6"/>
      <c r="G1" s="6"/>
      <c r="H1" s="6"/>
      <c r="I1" s="6"/>
      <c r="J1" s="6"/>
      <c r="K1" s="6"/>
      <c r="L1" s="6"/>
      <c r="M1" s="6"/>
      <c r="N1" s="6"/>
      <c r="O1" s="6"/>
      <c r="P1" s="6"/>
      <c r="Q1" s="6"/>
      <c r="R1" s="6"/>
      <c r="S1" s="6"/>
      <c r="T1" s="6"/>
      <c r="U1" s="6"/>
      <c r="V1" s="6"/>
      <c r="W1" s="6"/>
      <c r="X1" s="6"/>
      <c r="Y1" s="6"/>
      <c r="Z1" s="6"/>
      <c r="AA1" s="6"/>
      <c r="AB1" s="6"/>
      <c r="AC1" s="6"/>
      <c r="AD1" s="6"/>
    </row>
    <row r="2" s="1" customFormat="1" ht="24" customHeight="1" spans="1:30">
      <c r="A2" s="7" t="s">
        <v>4583</v>
      </c>
      <c r="B2" s="8" t="s">
        <v>4584</v>
      </c>
      <c r="C2" s="7" t="s">
        <v>4585</v>
      </c>
      <c r="D2" s="9" t="s">
        <v>4586</v>
      </c>
      <c r="E2" s="10" t="s">
        <v>4587</v>
      </c>
      <c r="F2" s="11"/>
      <c r="G2" s="12">
        <v>1</v>
      </c>
      <c r="H2" s="12">
        <v>2</v>
      </c>
      <c r="I2" s="12">
        <v>3</v>
      </c>
      <c r="J2" s="12">
        <v>4</v>
      </c>
      <c r="K2" s="12">
        <v>5</v>
      </c>
      <c r="L2" s="12">
        <v>6</v>
      </c>
      <c r="M2" s="12">
        <v>7</v>
      </c>
      <c r="N2" s="12">
        <v>8</v>
      </c>
      <c r="O2" s="12">
        <v>9</v>
      </c>
      <c r="P2" s="27" t="s">
        <v>4588</v>
      </c>
      <c r="Q2" s="29"/>
      <c r="R2" s="30"/>
      <c r="S2" s="31" t="s">
        <v>4589</v>
      </c>
      <c r="T2" s="32"/>
      <c r="U2" s="27" t="s">
        <v>4590</v>
      </c>
      <c r="V2" s="30"/>
      <c r="W2" s="31" t="s">
        <v>4591</v>
      </c>
      <c r="X2" s="32"/>
      <c r="Y2" s="39" t="s">
        <v>4592</v>
      </c>
      <c r="Z2" s="40"/>
      <c r="AA2" s="41"/>
      <c r="AB2" s="10" t="s">
        <v>4593</v>
      </c>
      <c r="AC2" s="11"/>
      <c r="AD2" s="42" t="s">
        <v>29</v>
      </c>
    </row>
    <row r="3" s="2" customFormat="1" ht="24" spans="1:30">
      <c r="A3" s="7"/>
      <c r="B3" s="8"/>
      <c r="C3" s="7"/>
      <c r="D3" s="9"/>
      <c r="E3" s="13" t="s">
        <v>4594</v>
      </c>
      <c r="F3" s="14" t="s">
        <v>4595</v>
      </c>
      <c r="G3" s="12"/>
      <c r="H3" s="12"/>
      <c r="I3" s="12"/>
      <c r="J3" s="12"/>
      <c r="K3" s="12"/>
      <c r="L3" s="12"/>
      <c r="M3" s="12"/>
      <c r="N3" s="12"/>
      <c r="O3" s="12"/>
      <c r="P3" s="28" t="s">
        <v>4596</v>
      </c>
      <c r="Q3" s="33" t="s">
        <v>4597</v>
      </c>
      <c r="R3" s="34" t="s">
        <v>4598</v>
      </c>
      <c r="S3" s="35" t="s">
        <v>4596</v>
      </c>
      <c r="T3" s="36" t="s">
        <v>4597</v>
      </c>
      <c r="U3" s="28" t="s">
        <v>4596</v>
      </c>
      <c r="V3" s="34" t="s">
        <v>4597</v>
      </c>
      <c r="W3" s="35" t="s">
        <v>4596</v>
      </c>
      <c r="X3" s="36" t="s">
        <v>4597</v>
      </c>
      <c r="Y3" s="43" t="s">
        <v>4599</v>
      </c>
      <c r="Z3" s="44" t="s">
        <v>4600</v>
      </c>
      <c r="AA3" s="45" t="s">
        <v>4601</v>
      </c>
      <c r="AB3" s="46" t="s">
        <v>4596</v>
      </c>
      <c r="AC3" s="47" t="s">
        <v>4597</v>
      </c>
      <c r="AD3" s="48"/>
    </row>
    <row r="4" s="1" customFormat="1" ht="9.75" customHeight="1" spans="1:30">
      <c r="A4" s="15"/>
      <c r="B4" s="16"/>
      <c r="C4" s="17"/>
      <c r="D4" s="18"/>
      <c r="E4" s="19"/>
      <c r="F4" s="19"/>
      <c r="G4" s="18"/>
      <c r="H4" s="18"/>
      <c r="I4" s="18"/>
      <c r="J4" s="18"/>
      <c r="K4" s="18"/>
      <c r="L4" s="18"/>
      <c r="M4" s="18"/>
      <c r="N4" s="18"/>
      <c r="O4" s="18"/>
      <c r="P4" s="16"/>
      <c r="Q4" s="16"/>
      <c r="R4" s="16"/>
      <c r="S4" s="16"/>
      <c r="T4" s="16"/>
      <c r="U4" s="16"/>
      <c r="V4" s="16"/>
      <c r="W4" s="16"/>
      <c r="X4" s="16"/>
      <c r="Y4" s="16"/>
      <c r="Z4" s="16"/>
      <c r="AA4" s="16"/>
      <c r="AB4" s="16"/>
      <c r="AC4" s="16"/>
      <c r="AD4" s="49"/>
    </row>
    <row r="5" s="1" customFormat="1" ht="19.5" customHeight="1" spans="1:30">
      <c r="A5" s="7">
        <v>1</v>
      </c>
      <c r="B5" s="8" t="s">
        <v>51</v>
      </c>
      <c r="C5" s="7" t="s">
        <v>54</v>
      </c>
      <c r="D5" s="9" t="s">
        <v>4602</v>
      </c>
      <c r="E5" s="10">
        <v>0</v>
      </c>
      <c r="F5" s="11">
        <v>12</v>
      </c>
      <c r="G5" s="20"/>
      <c r="H5" s="20"/>
      <c r="I5" s="20"/>
      <c r="J5" s="20"/>
      <c r="K5" s="20"/>
      <c r="L5" s="20"/>
      <c r="M5" s="20"/>
      <c r="N5" s="20"/>
      <c r="O5" s="20"/>
      <c r="P5" s="28"/>
      <c r="Q5" s="37"/>
      <c r="R5" s="38"/>
      <c r="S5" s="35"/>
      <c r="T5" s="36"/>
      <c r="U5" s="28"/>
      <c r="V5" s="34"/>
      <c r="W5" s="35"/>
      <c r="X5" s="36"/>
      <c r="Y5" s="28"/>
      <c r="Z5" s="37"/>
      <c r="AA5" s="38"/>
      <c r="AB5" s="35"/>
      <c r="AC5" s="11"/>
      <c r="AD5" s="50"/>
    </row>
    <row r="6" s="1" customFormat="1" ht="19.5" customHeight="1" spans="1:30">
      <c r="A6" s="7">
        <v>2</v>
      </c>
      <c r="B6" s="8" t="s">
        <v>51</v>
      </c>
      <c r="C6" s="7" t="s">
        <v>64</v>
      </c>
      <c r="D6" s="9" t="s">
        <v>4603</v>
      </c>
      <c r="E6" s="10">
        <v>0</v>
      </c>
      <c r="F6" s="11">
        <v>12</v>
      </c>
      <c r="G6" s="20"/>
      <c r="H6" s="20"/>
      <c r="I6" s="20"/>
      <c r="J6" s="20"/>
      <c r="K6" s="20"/>
      <c r="L6" s="20"/>
      <c r="M6" s="20"/>
      <c r="N6" s="20"/>
      <c r="O6" s="20"/>
      <c r="P6" s="28"/>
      <c r="Q6" s="37"/>
      <c r="R6" s="38"/>
      <c r="S6" s="35"/>
      <c r="T6" s="36"/>
      <c r="U6" s="28"/>
      <c r="V6" s="34"/>
      <c r="W6" s="35"/>
      <c r="X6" s="36"/>
      <c r="Y6" s="28"/>
      <c r="Z6" s="37"/>
      <c r="AA6" s="38"/>
      <c r="AB6" s="35"/>
      <c r="AC6" s="11"/>
      <c r="AD6" s="50"/>
    </row>
    <row r="7" s="1" customFormat="1" ht="19.5" customHeight="1" spans="1:30">
      <c r="A7" s="7">
        <v>3</v>
      </c>
      <c r="B7" s="8" t="s">
        <v>51</v>
      </c>
      <c r="C7" s="7" t="s">
        <v>66</v>
      </c>
      <c r="D7" s="9" t="s">
        <v>4604</v>
      </c>
      <c r="E7" s="10">
        <v>0</v>
      </c>
      <c r="F7" s="11">
        <v>12</v>
      </c>
      <c r="G7" s="20"/>
      <c r="H7" s="20"/>
      <c r="I7" s="20"/>
      <c r="J7" s="20"/>
      <c r="K7" s="20"/>
      <c r="L7" s="20"/>
      <c r="M7" s="20"/>
      <c r="N7" s="20"/>
      <c r="O7" s="20"/>
      <c r="P7" s="28"/>
      <c r="Q7" s="37"/>
      <c r="R7" s="38"/>
      <c r="S7" s="35"/>
      <c r="T7" s="36"/>
      <c r="U7" s="28"/>
      <c r="V7" s="34"/>
      <c r="W7" s="35"/>
      <c r="X7" s="36"/>
      <c r="Y7" s="28"/>
      <c r="Z7" s="37"/>
      <c r="AA7" s="38"/>
      <c r="AB7" s="35"/>
      <c r="AC7" s="11"/>
      <c r="AD7" s="50"/>
    </row>
    <row r="8" s="1" customFormat="1" ht="19.5" customHeight="1" spans="1:30">
      <c r="A8" s="7">
        <v>4</v>
      </c>
      <c r="B8" s="8" t="s">
        <v>51</v>
      </c>
      <c r="C8" s="7" t="s">
        <v>390</v>
      </c>
      <c r="D8" s="9" t="s">
        <v>4605</v>
      </c>
      <c r="E8" s="10">
        <v>0</v>
      </c>
      <c r="F8" s="11">
        <v>12</v>
      </c>
      <c r="G8" s="20"/>
      <c r="H8" s="20"/>
      <c r="I8" s="20"/>
      <c r="J8" s="20"/>
      <c r="K8" s="20"/>
      <c r="L8" s="20"/>
      <c r="M8" s="20"/>
      <c r="N8" s="20"/>
      <c r="O8" s="20"/>
      <c r="P8" s="28"/>
      <c r="Q8" s="37"/>
      <c r="R8" s="38"/>
      <c r="S8" s="35"/>
      <c r="T8" s="36"/>
      <c r="U8" s="28"/>
      <c r="V8" s="34"/>
      <c r="W8" s="35"/>
      <c r="X8" s="36"/>
      <c r="Y8" s="28"/>
      <c r="Z8" s="37"/>
      <c r="AA8" s="38"/>
      <c r="AB8" s="35"/>
      <c r="AC8" s="11"/>
      <c r="AD8" s="50"/>
    </row>
    <row r="9" s="3" customFormat="1" ht="8.25" customHeight="1" spans="1:256">
      <c r="A9" s="21"/>
      <c r="B9" s="22"/>
      <c r="C9" s="23"/>
      <c r="D9" s="24"/>
      <c r="E9" s="25"/>
      <c r="F9" s="25"/>
      <c r="G9" s="24"/>
      <c r="H9" s="24"/>
      <c r="I9" s="24"/>
      <c r="J9" s="24"/>
      <c r="K9" s="24"/>
      <c r="L9" s="24"/>
      <c r="M9" s="24"/>
      <c r="N9" s="24"/>
      <c r="O9" s="24"/>
      <c r="P9" s="22"/>
      <c r="Q9" s="22"/>
      <c r="R9" s="22"/>
      <c r="S9" s="22"/>
      <c r="T9" s="22"/>
      <c r="U9" s="22"/>
      <c r="V9" s="22"/>
      <c r="W9" s="22"/>
      <c r="X9" s="22"/>
      <c r="Y9" s="22"/>
      <c r="Z9" s="22"/>
      <c r="AA9" s="22"/>
      <c r="AB9" s="22"/>
      <c r="AC9" s="22"/>
      <c r="AD9" s="51"/>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24"/>
      <c r="CR9" s="24"/>
      <c r="CS9" s="24"/>
      <c r="CT9" s="24"/>
      <c r="CU9" s="24"/>
      <c r="CV9" s="24"/>
      <c r="CW9" s="24"/>
      <c r="CX9" s="24"/>
      <c r="CY9" s="24"/>
      <c r="CZ9" s="24"/>
      <c r="DA9" s="24"/>
      <c r="DB9" s="24"/>
      <c r="DC9" s="24"/>
      <c r="DD9" s="24"/>
      <c r="DE9" s="24"/>
      <c r="DF9" s="24"/>
      <c r="DG9" s="24"/>
      <c r="DH9" s="24"/>
      <c r="DI9" s="24"/>
      <c r="DJ9" s="24"/>
      <c r="DK9" s="24"/>
      <c r="DL9" s="24"/>
      <c r="DM9" s="24"/>
      <c r="DN9" s="24"/>
      <c r="DO9" s="24"/>
      <c r="DP9" s="24"/>
      <c r="DQ9" s="24"/>
      <c r="DR9" s="24"/>
      <c r="DS9" s="24"/>
      <c r="DT9" s="24"/>
      <c r="DU9" s="24"/>
      <c r="DV9" s="24"/>
      <c r="DW9" s="24"/>
      <c r="DX9" s="24"/>
      <c r="DY9" s="24"/>
      <c r="DZ9" s="24"/>
      <c r="EA9" s="24"/>
      <c r="EB9" s="24"/>
      <c r="EC9" s="24"/>
      <c r="ED9" s="24"/>
      <c r="EE9" s="24"/>
      <c r="EF9" s="24"/>
      <c r="EG9" s="24"/>
      <c r="EH9" s="24"/>
      <c r="EI9" s="24"/>
      <c r="EJ9" s="24"/>
      <c r="EK9" s="24"/>
      <c r="EL9" s="24"/>
      <c r="EM9" s="24"/>
      <c r="EN9" s="24"/>
      <c r="EO9" s="24"/>
      <c r="EP9" s="24"/>
      <c r="EQ9" s="24"/>
      <c r="ER9" s="24"/>
      <c r="ES9" s="24"/>
      <c r="ET9" s="24"/>
      <c r="EU9" s="24"/>
      <c r="EV9" s="24"/>
      <c r="EW9" s="24"/>
      <c r="EX9" s="24"/>
      <c r="EY9" s="24"/>
      <c r="EZ9" s="24"/>
      <c r="FA9" s="24"/>
      <c r="FB9" s="24"/>
      <c r="FC9" s="24"/>
      <c r="FD9" s="24"/>
      <c r="FE9" s="24"/>
      <c r="FF9" s="24"/>
      <c r="FG9" s="24"/>
      <c r="FH9" s="24"/>
      <c r="FI9" s="24"/>
      <c r="FJ9" s="24"/>
      <c r="FK9" s="24"/>
      <c r="FL9" s="24"/>
      <c r="FM9" s="24"/>
      <c r="FN9" s="24"/>
      <c r="FO9" s="24"/>
      <c r="FP9" s="24"/>
      <c r="FQ9" s="24"/>
      <c r="FR9" s="24"/>
      <c r="FS9" s="24"/>
      <c r="FT9" s="24"/>
      <c r="FU9" s="24"/>
      <c r="FV9" s="24"/>
      <c r="FW9" s="24"/>
      <c r="FX9" s="24"/>
      <c r="FY9" s="24"/>
      <c r="FZ9" s="24"/>
      <c r="GA9" s="24"/>
      <c r="GB9" s="24"/>
      <c r="GC9" s="24"/>
      <c r="GD9" s="24"/>
      <c r="GE9" s="24"/>
      <c r="GF9" s="24"/>
      <c r="GG9" s="24"/>
      <c r="GH9" s="24"/>
      <c r="GI9" s="24"/>
      <c r="GJ9" s="24"/>
      <c r="GK9" s="24"/>
      <c r="GL9" s="24"/>
      <c r="GM9" s="24"/>
      <c r="GN9" s="24"/>
      <c r="GO9" s="24"/>
      <c r="GP9" s="24"/>
      <c r="GQ9" s="24"/>
      <c r="GR9" s="24"/>
      <c r="GS9" s="24"/>
      <c r="GT9" s="24"/>
      <c r="GU9" s="24"/>
      <c r="GV9" s="24"/>
      <c r="GW9" s="24"/>
      <c r="GX9" s="24"/>
      <c r="GY9" s="24"/>
      <c r="GZ9" s="24"/>
      <c r="HA9" s="24"/>
      <c r="HB9" s="24"/>
      <c r="HC9" s="24"/>
      <c r="HD9" s="24"/>
      <c r="HE9" s="24"/>
      <c r="HF9" s="24"/>
      <c r="HG9" s="24"/>
      <c r="HH9" s="24"/>
      <c r="HI9" s="24"/>
      <c r="HJ9" s="24"/>
      <c r="HK9" s="24"/>
      <c r="HL9" s="24"/>
      <c r="HM9" s="24"/>
      <c r="HN9" s="24"/>
      <c r="HO9" s="24"/>
      <c r="HP9" s="24"/>
      <c r="HQ9" s="24"/>
      <c r="HR9" s="24"/>
      <c r="HS9" s="24"/>
      <c r="HT9" s="24"/>
      <c r="HU9" s="24"/>
      <c r="HV9" s="24"/>
      <c r="HW9" s="24"/>
      <c r="HX9" s="24"/>
      <c r="HY9" s="24"/>
      <c r="HZ9" s="24"/>
      <c r="IA9" s="24"/>
      <c r="IB9" s="24"/>
      <c r="IC9" s="24"/>
      <c r="ID9" s="24"/>
      <c r="IE9" s="24"/>
      <c r="IF9" s="24"/>
      <c r="IG9" s="24"/>
      <c r="IH9" s="24"/>
      <c r="II9" s="24"/>
      <c r="IJ9" s="24"/>
      <c r="IK9" s="24"/>
      <c r="IL9" s="24"/>
      <c r="IM9" s="24"/>
      <c r="IN9" s="24"/>
      <c r="IO9" s="24"/>
      <c r="IP9" s="24"/>
      <c r="IQ9" s="24"/>
      <c r="IR9" s="24"/>
      <c r="IS9" s="24"/>
      <c r="IT9" s="24"/>
      <c r="IU9" s="24"/>
      <c r="IV9" s="24"/>
    </row>
    <row r="10" s="1" customFormat="1" ht="19.5" customHeight="1" spans="1:30">
      <c r="A10" s="7" t="s">
        <v>4606</v>
      </c>
      <c r="B10" s="8" t="s">
        <v>51</v>
      </c>
      <c r="C10" s="7" t="s">
        <v>603</v>
      </c>
      <c r="D10" s="9" t="s">
        <v>4607</v>
      </c>
      <c r="E10" s="10">
        <v>0</v>
      </c>
      <c r="F10" s="11">
        <v>6</v>
      </c>
      <c r="G10" s="20"/>
      <c r="H10" s="20"/>
      <c r="I10" s="20"/>
      <c r="J10" s="20"/>
      <c r="K10" s="20"/>
      <c r="L10" s="20"/>
      <c r="M10" s="20"/>
      <c r="N10" s="20"/>
      <c r="O10" s="20"/>
      <c r="P10" s="28"/>
      <c r="Q10" s="37"/>
      <c r="R10" s="38"/>
      <c r="S10" s="35"/>
      <c r="T10" s="36"/>
      <c r="U10" s="28"/>
      <c r="V10" s="34"/>
      <c r="W10" s="35"/>
      <c r="X10" s="36"/>
      <c r="Y10" s="28"/>
      <c r="Z10" s="37"/>
      <c r="AA10" s="38"/>
      <c r="AB10" s="35"/>
      <c r="AC10" s="11"/>
      <c r="AD10" s="50"/>
    </row>
    <row r="11" s="1" customFormat="1" ht="19.5" customHeight="1" spans="1:30">
      <c r="A11" s="7" t="s">
        <v>4608</v>
      </c>
      <c r="B11" s="8" t="s">
        <v>51</v>
      </c>
      <c r="C11" s="7" t="s">
        <v>624</v>
      </c>
      <c r="D11" s="9" t="s">
        <v>4609</v>
      </c>
      <c r="E11" s="10">
        <v>0</v>
      </c>
      <c r="F11" s="11">
        <v>6</v>
      </c>
      <c r="G11" s="20"/>
      <c r="H11" s="20"/>
      <c r="I11" s="20"/>
      <c r="J11" s="20"/>
      <c r="K11" s="20"/>
      <c r="L11" s="20"/>
      <c r="M11" s="20"/>
      <c r="N11" s="20"/>
      <c r="O11" s="20"/>
      <c r="P11" s="28"/>
      <c r="Q11" s="37"/>
      <c r="R11" s="38"/>
      <c r="S11" s="35"/>
      <c r="T11" s="36"/>
      <c r="U11" s="28"/>
      <c r="V11" s="34"/>
      <c r="W11" s="35"/>
      <c r="X11" s="36"/>
      <c r="Y11" s="28"/>
      <c r="Z11" s="37"/>
      <c r="AA11" s="38"/>
      <c r="AB11" s="35"/>
      <c r="AC11" s="11"/>
      <c r="AD11" s="50"/>
    </row>
    <row r="12" s="1" customFormat="1" ht="19.5" customHeight="1" spans="1:30">
      <c r="A12" s="7" t="s">
        <v>4610</v>
      </c>
      <c r="B12" s="8" t="s">
        <v>51</v>
      </c>
      <c r="C12" s="7" t="s">
        <v>611</v>
      </c>
      <c r="D12" s="9" t="s">
        <v>4609</v>
      </c>
      <c r="E12" s="10">
        <v>0</v>
      </c>
      <c r="F12" s="11">
        <v>6</v>
      </c>
      <c r="G12" s="20"/>
      <c r="H12" s="20"/>
      <c r="I12" s="20"/>
      <c r="J12" s="20"/>
      <c r="K12" s="20"/>
      <c r="L12" s="20"/>
      <c r="M12" s="20"/>
      <c r="N12" s="20"/>
      <c r="O12" s="20"/>
      <c r="P12" s="28"/>
      <c r="Q12" s="37"/>
      <c r="R12" s="38"/>
      <c r="S12" s="35"/>
      <c r="T12" s="36"/>
      <c r="U12" s="28"/>
      <c r="V12" s="34"/>
      <c r="W12" s="35"/>
      <c r="X12" s="36"/>
      <c r="Y12" s="28"/>
      <c r="Z12" s="37"/>
      <c r="AA12" s="38"/>
      <c r="AB12" s="35"/>
      <c r="AC12" s="11"/>
      <c r="AD12" s="50"/>
    </row>
    <row r="13" s="3" customFormat="1" ht="8.25" customHeight="1" spans="1:256">
      <c r="A13" s="21"/>
      <c r="B13" s="22"/>
      <c r="C13" s="23"/>
      <c r="D13" s="24"/>
      <c r="E13" s="25"/>
      <c r="F13" s="25"/>
      <c r="G13" s="24"/>
      <c r="H13" s="24"/>
      <c r="I13" s="24"/>
      <c r="J13" s="24"/>
      <c r="K13" s="24"/>
      <c r="L13" s="24"/>
      <c r="M13" s="24"/>
      <c r="N13" s="24"/>
      <c r="O13" s="24"/>
      <c r="P13" s="22"/>
      <c r="Q13" s="22"/>
      <c r="R13" s="22"/>
      <c r="S13" s="22"/>
      <c r="T13" s="22"/>
      <c r="U13" s="22"/>
      <c r="V13" s="22"/>
      <c r="W13" s="22"/>
      <c r="X13" s="22"/>
      <c r="Y13" s="22"/>
      <c r="Z13" s="22"/>
      <c r="AA13" s="22"/>
      <c r="AB13" s="22"/>
      <c r="AC13" s="22"/>
      <c r="AD13" s="51"/>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4"/>
      <c r="EA13" s="24"/>
      <c r="EB13" s="24"/>
      <c r="EC13" s="24"/>
      <c r="ED13" s="24"/>
      <c r="EE13" s="24"/>
      <c r="EF13" s="24"/>
      <c r="EG13" s="24"/>
      <c r="EH13" s="24"/>
      <c r="EI13" s="24"/>
      <c r="EJ13" s="24"/>
      <c r="EK13" s="24"/>
      <c r="EL13" s="24"/>
      <c r="EM13" s="24"/>
      <c r="EN13" s="24"/>
      <c r="EO13" s="24"/>
      <c r="EP13" s="24"/>
      <c r="EQ13" s="24"/>
      <c r="ER13" s="24"/>
      <c r="ES13" s="24"/>
      <c r="ET13" s="24"/>
      <c r="EU13" s="24"/>
      <c r="EV13" s="24"/>
      <c r="EW13" s="24"/>
      <c r="EX13" s="24"/>
      <c r="EY13" s="24"/>
      <c r="EZ13" s="24"/>
      <c r="FA13" s="24"/>
      <c r="FB13" s="24"/>
      <c r="FC13" s="24"/>
      <c r="FD13" s="24"/>
      <c r="FE13" s="24"/>
      <c r="FF13" s="24"/>
      <c r="FG13" s="24"/>
      <c r="FH13" s="24"/>
      <c r="FI13" s="24"/>
      <c r="FJ13" s="24"/>
      <c r="FK13" s="24"/>
      <c r="FL13" s="24"/>
      <c r="FM13" s="24"/>
      <c r="FN13" s="24"/>
      <c r="FO13" s="24"/>
      <c r="FP13" s="24"/>
      <c r="FQ13" s="24"/>
      <c r="FR13" s="24"/>
      <c r="FS13" s="24"/>
      <c r="FT13" s="24"/>
      <c r="FU13" s="24"/>
      <c r="FV13" s="24"/>
      <c r="FW13" s="24"/>
      <c r="FX13" s="24"/>
      <c r="FY13" s="24"/>
      <c r="FZ13" s="24"/>
      <c r="GA13" s="24"/>
      <c r="GB13" s="24"/>
      <c r="GC13" s="24"/>
      <c r="GD13" s="24"/>
      <c r="GE13" s="24"/>
      <c r="GF13" s="24"/>
      <c r="GG13" s="24"/>
      <c r="GH13" s="24"/>
      <c r="GI13" s="24"/>
      <c r="GJ13" s="24"/>
      <c r="GK13" s="24"/>
      <c r="GL13" s="24"/>
      <c r="GM13" s="24"/>
      <c r="GN13" s="24"/>
      <c r="GO13" s="24"/>
      <c r="GP13" s="24"/>
      <c r="GQ13" s="24"/>
      <c r="GR13" s="24"/>
      <c r="GS13" s="24"/>
      <c r="GT13" s="24"/>
      <c r="GU13" s="24"/>
      <c r="GV13" s="24"/>
      <c r="GW13" s="24"/>
      <c r="GX13" s="24"/>
      <c r="GY13" s="24"/>
      <c r="GZ13" s="24"/>
      <c r="HA13" s="24"/>
      <c r="HB13" s="24"/>
      <c r="HC13" s="24"/>
      <c r="HD13" s="24"/>
      <c r="HE13" s="24"/>
      <c r="HF13" s="24"/>
      <c r="HG13" s="24"/>
      <c r="HH13" s="24"/>
      <c r="HI13" s="24"/>
      <c r="HJ13" s="24"/>
      <c r="HK13" s="24"/>
      <c r="HL13" s="24"/>
      <c r="HM13" s="24"/>
      <c r="HN13" s="24"/>
      <c r="HO13" s="24"/>
      <c r="HP13" s="24"/>
      <c r="HQ13" s="24"/>
      <c r="HR13" s="24"/>
      <c r="HS13" s="24"/>
      <c r="HT13" s="24"/>
      <c r="HU13" s="24"/>
      <c r="HV13" s="24"/>
      <c r="HW13" s="24"/>
      <c r="HX13" s="24"/>
      <c r="HY13" s="24"/>
      <c r="HZ13" s="24"/>
      <c r="IA13" s="24"/>
      <c r="IB13" s="24"/>
      <c r="IC13" s="24"/>
      <c r="ID13" s="24"/>
      <c r="IE13" s="24"/>
      <c r="IF13" s="24"/>
      <c r="IG13" s="24"/>
      <c r="IH13" s="24"/>
      <c r="II13" s="24"/>
      <c r="IJ13" s="24"/>
      <c r="IK13" s="24"/>
      <c r="IL13" s="24"/>
      <c r="IM13" s="24"/>
      <c r="IN13" s="24"/>
      <c r="IO13" s="24"/>
      <c r="IP13" s="24"/>
      <c r="IQ13" s="24"/>
      <c r="IR13" s="24"/>
      <c r="IS13" s="24"/>
      <c r="IT13" s="24"/>
      <c r="IU13" s="24"/>
      <c r="IV13" s="24"/>
    </row>
    <row r="14" s="1" customFormat="1" ht="19.5" customHeight="1" spans="1:30">
      <c r="A14" s="7" t="s">
        <v>4611</v>
      </c>
      <c r="B14" s="8" t="s">
        <v>51</v>
      </c>
      <c r="C14" s="7" t="s">
        <v>3393</v>
      </c>
      <c r="D14" s="9" t="s">
        <v>4612</v>
      </c>
      <c r="E14" s="10">
        <v>0</v>
      </c>
      <c r="F14" s="11">
        <v>4</v>
      </c>
      <c r="G14" s="20"/>
      <c r="H14" s="20"/>
      <c r="I14" s="20"/>
      <c r="J14" s="20"/>
      <c r="K14" s="20"/>
      <c r="L14" s="20"/>
      <c r="M14" s="20"/>
      <c r="N14" s="20"/>
      <c r="O14" s="20"/>
      <c r="P14" s="28"/>
      <c r="Q14" s="37"/>
      <c r="R14" s="38"/>
      <c r="S14" s="35"/>
      <c r="T14" s="36"/>
      <c r="U14" s="28"/>
      <c r="V14" s="34"/>
      <c r="W14" s="35"/>
      <c r="X14" s="36"/>
      <c r="Y14" s="28"/>
      <c r="Z14" s="37"/>
      <c r="AA14" s="38"/>
      <c r="AB14" s="35"/>
      <c r="AC14" s="11"/>
      <c r="AD14" s="50"/>
    </row>
    <row r="15" s="1" customFormat="1" ht="19.5" customHeight="1" spans="1:30">
      <c r="A15" s="7" t="s">
        <v>4613</v>
      </c>
      <c r="B15" s="8" t="s">
        <v>51</v>
      </c>
      <c r="C15" s="7" t="s">
        <v>3324</v>
      </c>
      <c r="D15" s="9" t="s">
        <v>4614</v>
      </c>
      <c r="E15" s="10">
        <v>0</v>
      </c>
      <c r="F15" s="11">
        <v>4</v>
      </c>
      <c r="G15" s="20"/>
      <c r="H15" s="20"/>
      <c r="I15" s="20"/>
      <c r="J15" s="20"/>
      <c r="K15" s="20"/>
      <c r="L15" s="20"/>
      <c r="M15" s="20"/>
      <c r="N15" s="20"/>
      <c r="O15" s="20"/>
      <c r="P15" s="28"/>
      <c r="Q15" s="37"/>
      <c r="R15" s="38"/>
      <c r="S15" s="35"/>
      <c r="T15" s="36"/>
      <c r="U15" s="28"/>
      <c r="V15" s="34"/>
      <c r="W15" s="35"/>
      <c r="X15" s="36"/>
      <c r="Y15" s="28"/>
      <c r="Z15" s="37"/>
      <c r="AA15" s="38"/>
      <c r="AB15" s="35"/>
      <c r="AC15" s="11"/>
      <c r="AD15" s="50"/>
    </row>
    <row r="16" s="1" customFormat="1" ht="19.5" customHeight="1" spans="1:30">
      <c r="A16" s="7" t="s">
        <v>4615</v>
      </c>
      <c r="B16" s="8" t="s">
        <v>51</v>
      </c>
      <c r="C16" s="7" t="s">
        <v>213</v>
      </c>
      <c r="D16" s="9" t="s">
        <v>4616</v>
      </c>
      <c r="E16" s="10">
        <v>0</v>
      </c>
      <c r="F16" s="11">
        <v>4</v>
      </c>
      <c r="G16" s="20"/>
      <c r="H16" s="20"/>
      <c r="I16" s="20"/>
      <c r="J16" s="20"/>
      <c r="K16" s="20"/>
      <c r="L16" s="20"/>
      <c r="M16" s="20"/>
      <c r="N16" s="20"/>
      <c r="O16" s="20"/>
      <c r="P16" s="28"/>
      <c r="Q16" s="37"/>
      <c r="R16" s="38"/>
      <c r="S16" s="35"/>
      <c r="T16" s="36"/>
      <c r="U16" s="28"/>
      <c r="V16" s="34"/>
      <c r="W16" s="35"/>
      <c r="X16" s="36"/>
      <c r="Y16" s="28"/>
      <c r="Z16" s="37"/>
      <c r="AA16" s="38"/>
      <c r="AB16" s="35"/>
      <c r="AC16" s="11"/>
      <c r="AD16" s="50"/>
    </row>
    <row r="17" s="3" customFormat="1" ht="8.25" customHeight="1" spans="1:256">
      <c r="A17" s="21"/>
      <c r="B17" s="22"/>
      <c r="C17" s="21"/>
      <c r="D17" s="22"/>
      <c r="E17" s="25"/>
      <c r="F17" s="25"/>
      <c r="G17" s="24"/>
      <c r="H17" s="24"/>
      <c r="I17" s="24"/>
      <c r="J17" s="24"/>
      <c r="K17" s="24"/>
      <c r="L17" s="24"/>
      <c r="M17" s="24"/>
      <c r="N17" s="24"/>
      <c r="O17" s="24"/>
      <c r="P17" s="22"/>
      <c r="Q17" s="22"/>
      <c r="R17" s="22"/>
      <c r="S17" s="22"/>
      <c r="T17" s="22"/>
      <c r="U17" s="22"/>
      <c r="V17" s="22"/>
      <c r="W17" s="22"/>
      <c r="X17" s="22"/>
      <c r="Y17" s="22"/>
      <c r="Z17" s="22"/>
      <c r="AA17" s="22"/>
      <c r="AB17" s="22"/>
      <c r="AC17" s="22"/>
      <c r="AD17" s="51"/>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c r="CS17" s="24"/>
      <c r="CT17" s="24"/>
      <c r="CU17" s="24"/>
      <c r="CV17" s="24"/>
      <c r="CW17" s="24"/>
      <c r="CX17" s="24"/>
      <c r="CY17" s="24"/>
      <c r="CZ17" s="24"/>
      <c r="DA17" s="24"/>
      <c r="DB17" s="24"/>
      <c r="DC17" s="24"/>
      <c r="DD17" s="24"/>
      <c r="DE17" s="24"/>
      <c r="DF17" s="24"/>
      <c r="DG17" s="24"/>
      <c r="DH17" s="24"/>
      <c r="DI17" s="24"/>
      <c r="DJ17" s="24"/>
      <c r="DK17" s="24"/>
      <c r="DL17" s="24"/>
      <c r="DM17" s="24"/>
      <c r="DN17" s="24"/>
      <c r="DO17" s="24"/>
      <c r="DP17" s="24"/>
      <c r="DQ17" s="24"/>
      <c r="DR17" s="24"/>
      <c r="DS17" s="24"/>
      <c r="DT17" s="24"/>
      <c r="DU17" s="24"/>
      <c r="DV17" s="24"/>
      <c r="DW17" s="24"/>
      <c r="DX17" s="24"/>
      <c r="DY17" s="24"/>
      <c r="DZ17" s="24"/>
      <c r="EA17" s="24"/>
      <c r="EB17" s="24"/>
      <c r="EC17" s="24"/>
      <c r="ED17" s="24"/>
      <c r="EE17" s="24"/>
      <c r="EF17" s="24"/>
      <c r="EG17" s="24"/>
      <c r="EH17" s="24"/>
      <c r="EI17" s="24"/>
      <c r="EJ17" s="24"/>
      <c r="EK17" s="24"/>
      <c r="EL17" s="24"/>
      <c r="EM17" s="24"/>
      <c r="EN17" s="24"/>
      <c r="EO17" s="24"/>
      <c r="EP17" s="24"/>
      <c r="EQ17" s="24"/>
      <c r="ER17" s="24"/>
      <c r="ES17" s="24"/>
      <c r="ET17" s="24"/>
      <c r="EU17" s="24"/>
      <c r="EV17" s="24"/>
      <c r="EW17" s="24"/>
      <c r="EX17" s="24"/>
      <c r="EY17" s="24"/>
      <c r="EZ17" s="24"/>
      <c r="FA17" s="24"/>
      <c r="FB17" s="24"/>
      <c r="FC17" s="24"/>
      <c r="FD17" s="24"/>
      <c r="FE17" s="24"/>
      <c r="FF17" s="24"/>
      <c r="FG17" s="24"/>
      <c r="FH17" s="24"/>
      <c r="FI17" s="24"/>
      <c r="FJ17" s="24"/>
      <c r="FK17" s="24"/>
      <c r="FL17" s="24"/>
      <c r="FM17" s="24"/>
      <c r="FN17" s="24"/>
      <c r="FO17" s="24"/>
      <c r="FP17" s="24"/>
      <c r="FQ17" s="24"/>
      <c r="FR17" s="24"/>
      <c r="FS17" s="24"/>
      <c r="FT17" s="24"/>
      <c r="FU17" s="24"/>
      <c r="FV17" s="24"/>
      <c r="FW17" s="24"/>
      <c r="FX17" s="24"/>
      <c r="FY17" s="24"/>
      <c r="FZ17" s="24"/>
      <c r="GA17" s="24"/>
      <c r="GB17" s="24"/>
      <c r="GC17" s="24"/>
      <c r="GD17" s="24"/>
      <c r="GE17" s="24"/>
      <c r="GF17" s="24"/>
      <c r="GG17" s="24"/>
      <c r="GH17" s="24"/>
      <c r="GI17" s="24"/>
      <c r="GJ17" s="24"/>
      <c r="GK17" s="24"/>
      <c r="GL17" s="24"/>
      <c r="GM17" s="24"/>
      <c r="GN17" s="24"/>
      <c r="GO17" s="24"/>
      <c r="GP17" s="24"/>
      <c r="GQ17" s="24"/>
      <c r="GR17" s="24"/>
      <c r="GS17" s="24"/>
      <c r="GT17" s="24"/>
      <c r="GU17" s="24"/>
      <c r="GV17" s="24"/>
      <c r="GW17" s="24"/>
      <c r="GX17" s="24"/>
      <c r="GY17" s="24"/>
      <c r="GZ17" s="24"/>
      <c r="HA17" s="24"/>
      <c r="HB17" s="24"/>
      <c r="HC17" s="24"/>
      <c r="HD17" s="24"/>
      <c r="HE17" s="24"/>
      <c r="HF17" s="24"/>
      <c r="HG17" s="24"/>
      <c r="HH17" s="24"/>
      <c r="HI17" s="24"/>
      <c r="HJ17" s="24"/>
      <c r="HK17" s="24"/>
      <c r="HL17" s="24"/>
      <c r="HM17" s="24"/>
      <c r="HN17" s="24"/>
      <c r="HO17" s="24"/>
      <c r="HP17" s="24"/>
      <c r="HQ17" s="24"/>
      <c r="HR17" s="24"/>
      <c r="HS17" s="24"/>
      <c r="HT17" s="24"/>
      <c r="HU17" s="24"/>
      <c r="HV17" s="24"/>
      <c r="HW17" s="24"/>
      <c r="HX17" s="24"/>
      <c r="HY17" s="24"/>
      <c r="HZ17" s="24"/>
      <c r="IA17" s="24"/>
      <c r="IB17" s="24"/>
      <c r="IC17" s="24"/>
      <c r="ID17" s="24"/>
      <c r="IE17" s="24"/>
      <c r="IF17" s="24"/>
      <c r="IG17" s="24"/>
      <c r="IH17" s="24"/>
      <c r="II17" s="24"/>
      <c r="IJ17" s="24"/>
      <c r="IK17" s="24"/>
      <c r="IL17" s="24"/>
      <c r="IM17" s="24"/>
      <c r="IN17" s="24"/>
      <c r="IO17" s="24"/>
      <c r="IP17" s="24"/>
      <c r="IQ17" s="24"/>
      <c r="IR17" s="24"/>
      <c r="IS17" s="24"/>
      <c r="IT17" s="24"/>
      <c r="IU17" s="24"/>
      <c r="IV17" s="24"/>
    </row>
    <row r="18" s="1" customFormat="1" ht="19.5" customHeight="1" spans="1:30">
      <c r="A18" s="7" t="s">
        <v>4617</v>
      </c>
      <c r="B18" s="8" t="s">
        <v>51</v>
      </c>
      <c r="C18" s="7" t="s">
        <v>3246</v>
      </c>
      <c r="D18" s="9" t="s">
        <v>4618</v>
      </c>
      <c r="E18" s="10">
        <v>0</v>
      </c>
      <c r="F18" s="11">
        <v>6</v>
      </c>
      <c r="G18" s="20"/>
      <c r="H18" s="20"/>
      <c r="I18" s="20"/>
      <c r="J18" s="20"/>
      <c r="K18" s="20"/>
      <c r="L18" s="20"/>
      <c r="M18" s="20"/>
      <c r="N18" s="20"/>
      <c r="O18" s="20"/>
      <c r="P18" s="28"/>
      <c r="Q18" s="37"/>
      <c r="R18" s="38"/>
      <c r="S18" s="35"/>
      <c r="T18" s="36"/>
      <c r="U18" s="28"/>
      <c r="V18" s="34"/>
      <c r="W18" s="35"/>
      <c r="X18" s="36"/>
      <c r="Y18" s="28"/>
      <c r="Z18" s="37"/>
      <c r="AA18" s="38"/>
      <c r="AB18" s="35"/>
      <c r="AC18" s="11"/>
      <c r="AD18" s="50"/>
    </row>
    <row r="19" s="3" customFormat="1" ht="8.25" customHeight="1" spans="1:256">
      <c r="A19" s="21"/>
      <c r="B19" s="22"/>
      <c r="C19" s="23"/>
      <c r="D19" s="24"/>
      <c r="E19" s="25"/>
      <c r="F19" s="25"/>
      <c r="G19" s="24"/>
      <c r="H19" s="24"/>
      <c r="I19" s="24"/>
      <c r="J19" s="24"/>
      <c r="K19" s="24"/>
      <c r="L19" s="24"/>
      <c r="M19" s="24"/>
      <c r="N19" s="24"/>
      <c r="O19" s="24"/>
      <c r="P19" s="22"/>
      <c r="Q19" s="22"/>
      <c r="R19" s="22"/>
      <c r="S19" s="22"/>
      <c r="T19" s="22"/>
      <c r="U19" s="22"/>
      <c r="V19" s="22"/>
      <c r="W19" s="22"/>
      <c r="X19" s="22"/>
      <c r="Y19" s="22"/>
      <c r="Z19" s="22"/>
      <c r="AA19" s="22"/>
      <c r="AB19" s="22"/>
      <c r="AC19" s="22"/>
      <c r="AD19" s="51"/>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4"/>
      <c r="BZ19" s="24"/>
      <c r="CA19" s="24"/>
      <c r="CB19" s="24"/>
      <c r="CC19" s="24"/>
      <c r="CD19" s="24"/>
      <c r="CE19" s="24"/>
      <c r="CF19" s="24"/>
      <c r="CG19" s="24"/>
      <c r="CH19" s="24"/>
      <c r="CI19" s="24"/>
      <c r="CJ19" s="24"/>
      <c r="CK19" s="24"/>
      <c r="CL19" s="24"/>
      <c r="CM19" s="24"/>
      <c r="CN19" s="24"/>
      <c r="CO19" s="24"/>
      <c r="CP19" s="24"/>
      <c r="CQ19" s="24"/>
      <c r="CR19" s="24"/>
      <c r="CS19" s="24"/>
      <c r="CT19" s="24"/>
      <c r="CU19" s="24"/>
      <c r="CV19" s="24"/>
      <c r="CW19" s="24"/>
      <c r="CX19" s="24"/>
      <c r="CY19" s="24"/>
      <c r="CZ19" s="24"/>
      <c r="DA19" s="24"/>
      <c r="DB19" s="24"/>
      <c r="DC19" s="24"/>
      <c r="DD19" s="24"/>
      <c r="DE19" s="24"/>
      <c r="DF19" s="24"/>
      <c r="DG19" s="24"/>
      <c r="DH19" s="24"/>
      <c r="DI19" s="24"/>
      <c r="DJ19" s="24"/>
      <c r="DK19" s="24"/>
      <c r="DL19" s="24"/>
      <c r="DM19" s="24"/>
      <c r="DN19" s="24"/>
      <c r="DO19" s="24"/>
      <c r="DP19" s="24"/>
      <c r="DQ19" s="24"/>
      <c r="DR19" s="24"/>
      <c r="DS19" s="24"/>
      <c r="DT19" s="24"/>
      <c r="DU19" s="24"/>
      <c r="DV19" s="24"/>
      <c r="DW19" s="24"/>
      <c r="DX19" s="24"/>
      <c r="DY19" s="24"/>
      <c r="DZ19" s="24"/>
      <c r="EA19" s="24"/>
      <c r="EB19" s="24"/>
      <c r="EC19" s="24"/>
      <c r="ED19" s="24"/>
      <c r="EE19" s="24"/>
      <c r="EF19" s="24"/>
      <c r="EG19" s="24"/>
      <c r="EH19" s="24"/>
      <c r="EI19" s="24"/>
      <c r="EJ19" s="24"/>
      <c r="EK19" s="24"/>
      <c r="EL19" s="24"/>
      <c r="EM19" s="24"/>
      <c r="EN19" s="24"/>
      <c r="EO19" s="24"/>
      <c r="EP19" s="24"/>
      <c r="EQ19" s="24"/>
      <c r="ER19" s="24"/>
      <c r="ES19" s="24"/>
      <c r="ET19" s="24"/>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c r="FZ19" s="24"/>
      <c r="GA19" s="24"/>
      <c r="GB19" s="24"/>
      <c r="GC19" s="24"/>
      <c r="GD19" s="24"/>
      <c r="GE19" s="24"/>
      <c r="GF19" s="24"/>
      <c r="GG19" s="24"/>
      <c r="GH19" s="24"/>
      <c r="GI19" s="24"/>
      <c r="GJ19" s="24"/>
      <c r="GK19" s="24"/>
      <c r="GL19" s="24"/>
      <c r="GM19" s="24"/>
      <c r="GN19" s="24"/>
      <c r="GO19" s="24"/>
      <c r="GP19" s="24"/>
      <c r="GQ19" s="24"/>
      <c r="GR19" s="24"/>
      <c r="GS19" s="24"/>
      <c r="GT19" s="24"/>
      <c r="GU19" s="24"/>
      <c r="GV19" s="24"/>
      <c r="GW19" s="24"/>
      <c r="GX19" s="24"/>
      <c r="GY19" s="24"/>
      <c r="GZ19" s="24"/>
      <c r="HA19" s="24"/>
      <c r="HB19" s="24"/>
      <c r="HC19" s="24"/>
      <c r="HD19" s="24"/>
      <c r="HE19" s="24"/>
      <c r="HF19" s="24"/>
      <c r="HG19" s="24"/>
      <c r="HH19" s="24"/>
      <c r="HI19" s="24"/>
      <c r="HJ19" s="24"/>
      <c r="HK19" s="24"/>
      <c r="HL19" s="24"/>
      <c r="HM19" s="24"/>
      <c r="HN19" s="24"/>
      <c r="HO19" s="24"/>
      <c r="HP19" s="24"/>
      <c r="HQ19" s="24"/>
      <c r="HR19" s="24"/>
      <c r="HS19" s="24"/>
      <c r="HT19" s="24"/>
      <c r="HU19" s="24"/>
      <c r="HV19" s="24"/>
      <c r="HW19" s="24"/>
      <c r="HX19" s="24"/>
      <c r="HY19" s="24"/>
      <c r="HZ19" s="24"/>
      <c r="IA19" s="24"/>
      <c r="IB19" s="24"/>
      <c r="IC19" s="24"/>
      <c r="ID19" s="24"/>
      <c r="IE19" s="24"/>
      <c r="IF19" s="24"/>
      <c r="IG19" s="24"/>
      <c r="IH19" s="24"/>
      <c r="II19" s="24"/>
      <c r="IJ19" s="24"/>
      <c r="IK19" s="24"/>
      <c r="IL19" s="24"/>
      <c r="IM19" s="24"/>
      <c r="IN19" s="24"/>
      <c r="IO19" s="24"/>
      <c r="IP19" s="24"/>
      <c r="IQ19" s="24"/>
      <c r="IR19" s="24"/>
      <c r="IS19" s="24"/>
      <c r="IT19" s="24"/>
      <c r="IU19" s="24"/>
      <c r="IV19" s="24"/>
    </row>
    <row r="20" s="1" customFormat="1" ht="19.5" customHeight="1" spans="1:30">
      <c r="A20" s="7" t="s">
        <v>4619</v>
      </c>
      <c r="B20" s="8" t="s">
        <v>51</v>
      </c>
      <c r="C20" s="7" t="s">
        <v>3117</v>
      </c>
      <c r="D20" s="9" t="s">
        <v>4620</v>
      </c>
      <c r="E20" s="10">
        <v>0</v>
      </c>
      <c r="F20" s="11">
        <v>12</v>
      </c>
      <c r="G20" s="26"/>
      <c r="H20" s="20"/>
      <c r="I20" s="20"/>
      <c r="J20" s="20"/>
      <c r="K20" s="20"/>
      <c r="L20" s="20"/>
      <c r="M20" s="20"/>
      <c r="N20" s="20"/>
      <c r="O20" s="20"/>
      <c r="P20" s="28"/>
      <c r="Q20" s="37"/>
      <c r="R20" s="38"/>
      <c r="S20" s="35"/>
      <c r="T20" s="36"/>
      <c r="U20" s="28"/>
      <c r="V20" s="34"/>
      <c r="W20" s="35"/>
      <c r="X20" s="36"/>
      <c r="Y20" s="28"/>
      <c r="Z20" s="37"/>
      <c r="AA20" s="38"/>
      <c r="AB20" s="35"/>
      <c r="AC20" s="11"/>
      <c r="AD20" s="50"/>
    </row>
    <row r="21" s="1" customFormat="1" ht="19.5" customHeight="1" spans="1:30">
      <c r="A21" s="7" t="s">
        <v>4621</v>
      </c>
      <c r="B21" s="8" t="s">
        <v>51</v>
      </c>
      <c r="C21" s="7" t="s">
        <v>3203</v>
      </c>
      <c r="D21" s="9" t="s">
        <v>4620</v>
      </c>
      <c r="E21" s="10">
        <v>0</v>
      </c>
      <c r="F21" s="11">
        <v>12</v>
      </c>
      <c r="G21" s="20"/>
      <c r="H21" s="20"/>
      <c r="I21" s="20"/>
      <c r="J21" s="20"/>
      <c r="K21" s="20"/>
      <c r="L21" s="20"/>
      <c r="M21" s="20"/>
      <c r="N21" s="20"/>
      <c r="O21" s="20"/>
      <c r="P21" s="28"/>
      <c r="Q21" s="37"/>
      <c r="R21" s="38"/>
      <c r="S21" s="35"/>
      <c r="T21" s="36"/>
      <c r="U21" s="28"/>
      <c r="V21" s="34"/>
      <c r="W21" s="35"/>
      <c r="X21" s="36"/>
      <c r="Y21" s="28"/>
      <c r="Z21" s="37"/>
      <c r="AA21" s="38"/>
      <c r="AB21" s="35"/>
      <c r="AC21" s="11"/>
      <c r="AD21" s="50"/>
    </row>
    <row r="22" s="1" customFormat="1" ht="19.5" customHeight="1" spans="1:30">
      <c r="A22" s="7" t="s">
        <v>4622</v>
      </c>
      <c r="B22" s="8" t="s">
        <v>51</v>
      </c>
      <c r="C22" s="7" t="s">
        <v>4623</v>
      </c>
      <c r="D22" s="9" t="s">
        <v>4620</v>
      </c>
      <c r="E22" s="10">
        <v>0</v>
      </c>
      <c r="F22" s="11">
        <v>12</v>
      </c>
      <c r="G22" s="20"/>
      <c r="H22" s="20"/>
      <c r="I22" s="20"/>
      <c r="J22" s="20"/>
      <c r="K22" s="20"/>
      <c r="L22" s="20"/>
      <c r="M22" s="20"/>
      <c r="N22" s="20"/>
      <c r="O22" s="20"/>
      <c r="P22" s="28"/>
      <c r="Q22" s="37"/>
      <c r="R22" s="38"/>
      <c r="S22" s="35"/>
      <c r="T22" s="36"/>
      <c r="U22" s="28"/>
      <c r="V22" s="34"/>
      <c r="W22" s="35"/>
      <c r="X22" s="36"/>
      <c r="Y22" s="28"/>
      <c r="Z22" s="37"/>
      <c r="AA22" s="38"/>
      <c r="AB22" s="35"/>
      <c r="AC22" s="11"/>
      <c r="AD22" s="50"/>
    </row>
    <row r="23" s="1" customFormat="1" ht="19.5" customHeight="1" spans="1:30">
      <c r="A23" s="7" t="s">
        <v>4624</v>
      </c>
      <c r="B23" s="8" t="s">
        <v>51</v>
      </c>
      <c r="C23" s="7" t="s">
        <v>4625</v>
      </c>
      <c r="D23" s="9" t="s">
        <v>4620</v>
      </c>
      <c r="E23" s="10">
        <v>0</v>
      </c>
      <c r="F23" s="11">
        <v>12</v>
      </c>
      <c r="G23" s="20"/>
      <c r="H23" s="20"/>
      <c r="I23" s="20"/>
      <c r="J23" s="20"/>
      <c r="K23" s="20"/>
      <c r="L23" s="20"/>
      <c r="M23" s="20"/>
      <c r="N23" s="20"/>
      <c r="O23" s="20"/>
      <c r="P23" s="28"/>
      <c r="Q23" s="37"/>
      <c r="R23" s="38"/>
      <c r="S23" s="35"/>
      <c r="T23" s="36"/>
      <c r="U23" s="28"/>
      <c r="V23" s="34"/>
      <c r="W23" s="35"/>
      <c r="X23" s="36"/>
      <c r="Y23" s="28"/>
      <c r="Z23" s="37"/>
      <c r="AA23" s="38"/>
      <c r="AB23" s="35"/>
      <c r="AC23" s="11"/>
      <c r="AD23" s="50"/>
    </row>
    <row r="24" s="1" customFormat="1" ht="19.5" customHeight="1" spans="1:30">
      <c r="A24" s="7" t="s">
        <v>4626</v>
      </c>
      <c r="B24" s="8" t="s">
        <v>51</v>
      </c>
      <c r="C24" s="7" t="s">
        <v>4625</v>
      </c>
      <c r="D24" s="9" t="s">
        <v>4620</v>
      </c>
      <c r="E24" s="10">
        <v>0</v>
      </c>
      <c r="F24" s="11">
        <v>12</v>
      </c>
      <c r="G24" s="20"/>
      <c r="H24" s="20"/>
      <c r="I24" s="20"/>
      <c r="J24" s="20"/>
      <c r="K24" s="20"/>
      <c r="L24" s="20"/>
      <c r="M24" s="20"/>
      <c r="N24" s="20"/>
      <c r="O24" s="20"/>
      <c r="P24" s="28"/>
      <c r="Q24" s="37"/>
      <c r="R24" s="38"/>
      <c r="S24" s="35"/>
      <c r="T24" s="36"/>
      <c r="U24" s="28"/>
      <c r="V24" s="34"/>
      <c r="W24" s="35"/>
      <c r="X24" s="36"/>
      <c r="Y24" s="28"/>
      <c r="Z24" s="37"/>
      <c r="AA24" s="38"/>
      <c r="AB24" s="35"/>
      <c r="AC24" s="11"/>
      <c r="AD24" s="50"/>
    </row>
    <row r="25" s="1" customFormat="1" ht="19.5" customHeight="1" spans="1:30">
      <c r="A25" s="7" t="s">
        <v>4627</v>
      </c>
      <c r="B25" s="8" t="s">
        <v>51</v>
      </c>
      <c r="C25" s="7" t="s">
        <v>3140</v>
      </c>
      <c r="D25" s="9" t="s">
        <v>4628</v>
      </c>
      <c r="E25" s="10">
        <v>0</v>
      </c>
      <c r="F25" s="11">
        <v>12</v>
      </c>
      <c r="G25" s="20"/>
      <c r="H25" s="20"/>
      <c r="I25" s="20"/>
      <c r="J25" s="20"/>
      <c r="K25" s="20"/>
      <c r="L25" s="20"/>
      <c r="M25" s="20"/>
      <c r="N25" s="20"/>
      <c r="O25" s="20"/>
      <c r="P25" s="28"/>
      <c r="Q25" s="37"/>
      <c r="R25" s="38"/>
      <c r="S25" s="35"/>
      <c r="T25" s="36"/>
      <c r="U25" s="28"/>
      <c r="V25" s="34"/>
      <c r="W25" s="35"/>
      <c r="X25" s="36"/>
      <c r="Y25" s="28"/>
      <c r="Z25" s="37"/>
      <c r="AA25" s="38"/>
      <c r="AB25" s="35"/>
      <c r="AC25" s="11"/>
      <c r="AD25" s="50"/>
    </row>
    <row r="26" s="1" customFormat="1" ht="19.5" customHeight="1" spans="1:30">
      <c r="A26" s="7" t="s">
        <v>4629</v>
      </c>
      <c r="B26" s="8" t="s">
        <v>51</v>
      </c>
      <c r="C26" s="7" t="s">
        <v>4630</v>
      </c>
      <c r="D26" s="9" t="s">
        <v>4628</v>
      </c>
      <c r="E26" s="10">
        <v>0</v>
      </c>
      <c r="F26" s="11">
        <v>12</v>
      </c>
      <c r="G26" s="20"/>
      <c r="H26" s="20"/>
      <c r="I26" s="20"/>
      <c r="J26" s="20"/>
      <c r="K26" s="20"/>
      <c r="L26" s="20"/>
      <c r="M26" s="20"/>
      <c r="N26" s="20"/>
      <c r="O26" s="20"/>
      <c r="P26" s="28"/>
      <c r="Q26" s="37"/>
      <c r="R26" s="38"/>
      <c r="S26" s="35"/>
      <c r="T26" s="36"/>
      <c r="U26" s="28"/>
      <c r="V26" s="34"/>
      <c r="W26" s="35"/>
      <c r="X26" s="36"/>
      <c r="Y26" s="28"/>
      <c r="Z26" s="37"/>
      <c r="AA26" s="38"/>
      <c r="AB26" s="35"/>
      <c r="AC26" s="11"/>
      <c r="AD26" s="50"/>
    </row>
    <row r="27" s="1" customFormat="1" ht="19.5" customHeight="1" spans="1:30">
      <c r="A27" s="7" t="s">
        <v>4631</v>
      </c>
      <c r="B27" s="8" t="s">
        <v>51</v>
      </c>
      <c r="C27" s="7" t="s">
        <v>3144</v>
      </c>
      <c r="D27" s="9" t="s">
        <v>4632</v>
      </c>
      <c r="E27" s="10">
        <v>0</v>
      </c>
      <c r="F27" s="11">
        <v>12</v>
      </c>
      <c r="G27" s="20"/>
      <c r="H27" s="20"/>
      <c r="I27" s="20"/>
      <c r="J27" s="20"/>
      <c r="K27" s="20"/>
      <c r="L27" s="20"/>
      <c r="M27" s="20"/>
      <c r="N27" s="20"/>
      <c r="O27" s="20"/>
      <c r="P27" s="28"/>
      <c r="Q27" s="37"/>
      <c r="R27" s="38"/>
      <c r="S27" s="35"/>
      <c r="T27" s="36"/>
      <c r="U27" s="28"/>
      <c r="V27" s="34"/>
      <c r="W27" s="35"/>
      <c r="X27" s="36"/>
      <c r="Y27" s="28"/>
      <c r="Z27" s="37"/>
      <c r="AA27" s="38"/>
      <c r="AB27" s="35"/>
      <c r="AC27" s="11"/>
      <c r="AD27" s="50"/>
    </row>
    <row r="28" s="1" customFormat="1" ht="19.5" customHeight="1" spans="1:30">
      <c r="A28" s="7" t="s">
        <v>4633</v>
      </c>
      <c r="B28" s="8" t="s">
        <v>51</v>
      </c>
      <c r="C28" s="7" t="s">
        <v>4634</v>
      </c>
      <c r="D28" s="9" t="s">
        <v>4632</v>
      </c>
      <c r="E28" s="10">
        <v>0</v>
      </c>
      <c r="F28" s="11">
        <v>12</v>
      </c>
      <c r="G28" s="20"/>
      <c r="H28" s="20"/>
      <c r="I28" s="20"/>
      <c r="J28" s="20"/>
      <c r="K28" s="20"/>
      <c r="L28" s="20"/>
      <c r="M28" s="20"/>
      <c r="N28" s="20"/>
      <c r="O28" s="20"/>
      <c r="P28" s="28"/>
      <c r="Q28" s="37"/>
      <c r="R28" s="38"/>
      <c r="S28" s="35"/>
      <c r="T28" s="36"/>
      <c r="U28" s="28"/>
      <c r="V28" s="34"/>
      <c r="W28" s="35"/>
      <c r="X28" s="36"/>
      <c r="Y28" s="28"/>
      <c r="Z28" s="37"/>
      <c r="AA28" s="38"/>
      <c r="AB28" s="35"/>
      <c r="AC28" s="11"/>
      <c r="AD28" s="50"/>
    </row>
    <row r="29" s="1" customFormat="1" ht="19.5" customHeight="1" spans="1:30">
      <c r="A29" s="7" t="s">
        <v>4635</v>
      </c>
      <c r="B29" s="8" t="s">
        <v>51</v>
      </c>
      <c r="C29" s="7" t="s">
        <v>3145</v>
      </c>
      <c r="D29" s="9" t="s">
        <v>4636</v>
      </c>
      <c r="E29" s="10">
        <v>0</v>
      </c>
      <c r="F29" s="11">
        <v>12</v>
      </c>
      <c r="G29" s="20"/>
      <c r="H29" s="20"/>
      <c r="I29" s="20"/>
      <c r="J29" s="20"/>
      <c r="K29" s="20"/>
      <c r="L29" s="20"/>
      <c r="M29" s="20"/>
      <c r="N29" s="20"/>
      <c r="O29" s="20"/>
      <c r="P29" s="28"/>
      <c r="Q29" s="37"/>
      <c r="R29" s="38"/>
      <c r="S29" s="35"/>
      <c r="T29" s="36"/>
      <c r="U29" s="28"/>
      <c r="V29" s="34"/>
      <c r="W29" s="35"/>
      <c r="X29" s="36"/>
      <c r="Y29" s="28"/>
      <c r="Z29" s="37"/>
      <c r="AA29" s="38"/>
      <c r="AB29" s="35"/>
      <c r="AC29" s="11"/>
      <c r="AD29" s="50"/>
    </row>
    <row r="30" s="1" customFormat="1" ht="19.5" customHeight="1" spans="1:30">
      <c r="A30" s="7" t="s">
        <v>4637</v>
      </c>
      <c r="B30" s="8" t="s">
        <v>51</v>
      </c>
      <c r="C30" s="7" t="s">
        <v>4638</v>
      </c>
      <c r="D30" s="9" t="s">
        <v>4636</v>
      </c>
      <c r="E30" s="10">
        <v>0</v>
      </c>
      <c r="F30" s="11">
        <v>12</v>
      </c>
      <c r="G30" s="20"/>
      <c r="H30" s="20"/>
      <c r="I30" s="20"/>
      <c r="J30" s="20"/>
      <c r="K30" s="20"/>
      <c r="L30" s="20"/>
      <c r="M30" s="20"/>
      <c r="N30" s="20"/>
      <c r="O30" s="20"/>
      <c r="P30" s="28"/>
      <c r="Q30" s="37"/>
      <c r="R30" s="38"/>
      <c r="S30" s="35"/>
      <c r="T30" s="36"/>
      <c r="U30" s="28"/>
      <c r="V30" s="34"/>
      <c r="W30" s="35"/>
      <c r="X30" s="36"/>
      <c r="Y30" s="28"/>
      <c r="Z30" s="37"/>
      <c r="AA30" s="38"/>
      <c r="AB30" s="35"/>
      <c r="AC30" s="11"/>
      <c r="AD30" s="50"/>
    </row>
    <row r="31" s="3" customFormat="1" ht="8.25" customHeight="1" spans="1:256">
      <c r="A31" s="21"/>
      <c r="B31" s="22"/>
      <c r="C31" s="21"/>
      <c r="D31" s="22"/>
      <c r="E31" s="25"/>
      <c r="F31" s="25"/>
      <c r="G31" s="24"/>
      <c r="H31" s="24"/>
      <c r="I31" s="24"/>
      <c r="J31" s="24"/>
      <c r="K31" s="24"/>
      <c r="L31" s="24"/>
      <c r="M31" s="24"/>
      <c r="N31" s="24"/>
      <c r="O31" s="24"/>
      <c r="P31" s="22"/>
      <c r="Q31" s="22"/>
      <c r="R31" s="22"/>
      <c r="S31" s="22"/>
      <c r="T31" s="22"/>
      <c r="U31" s="22"/>
      <c r="V31" s="22"/>
      <c r="W31" s="22"/>
      <c r="X31" s="22"/>
      <c r="Y31" s="22"/>
      <c r="Z31" s="22"/>
      <c r="AA31" s="22"/>
      <c r="AB31" s="22"/>
      <c r="AC31" s="22"/>
      <c r="AD31" s="51"/>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c r="DB31" s="24"/>
      <c r="DC31" s="24"/>
      <c r="DD31" s="24"/>
      <c r="DE31" s="24"/>
      <c r="DF31" s="24"/>
      <c r="DG31" s="24"/>
      <c r="DH31" s="24"/>
      <c r="DI31" s="24"/>
      <c r="DJ31" s="24"/>
      <c r="DK31" s="24"/>
      <c r="DL31" s="24"/>
      <c r="DM31" s="24"/>
      <c r="DN31" s="24"/>
      <c r="DO31" s="24"/>
      <c r="DP31" s="24"/>
      <c r="DQ31" s="24"/>
      <c r="DR31" s="24"/>
      <c r="DS31" s="24"/>
      <c r="DT31" s="24"/>
      <c r="DU31" s="24"/>
      <c r="DV31" s="24"/>
      <c r="DW31" s="24"/>
      <c r="DX31" s="24"/>
      <c r="DY31" s="24"/>
      <c r="DZ31" s="24"/>
      <c r="EA31" s="24"/>
      <c r="EB31" s="24"/>
      <c r="EC31" s="24"/>
      <c r="ED31" s="24"/>
      <c r="EE31" s="24"/>
      <c r="EF31" s="24"/>
      <c r="EG31" s="24"/>
      <c r="EH31" s="24"/>
      <c r="EI31" s="24"/>
      <c r="EJ31" s="24"/>
      <c r="EK31" s="24"/>
      <c r="EL31" s="24"/>
      <c r="EM31" s="24"/>
      <c r="EN31" s="24"/>
      <c r="EO31" s="24"/>
      <c r="EP31" s="24"/>
      <c r="EQ31" s="24"/>
      <c r="ER31" s="24"/>
      <c r="ES31" s="24"/>
      <c r="ET31" s="24"/>
      <c r="EU31" s="24"/>
      <c r="EV31" s="24"/>
      <c r="EW31" s="24"/>
      <c r="EX31" s="24"/>
      <c r="EY31" s="24"/>
      <c r="EZ31" s="24"/>
      <c r="FA31" s="24"/>
      <c r="FB31" s="24"/>
      <c r="FC31" s="24"/>
      <c r="FD31" s="24"/>
      <c r="FE31" s="24"/>
      <c r="FF31" s="24"/>
      <c r="FG31" s="24"/>
      <c r="FH31" s="24"/>
      <c r="FI31" s="24"/>
      <c r="FJ31" s="24"/>
      <c r="FK31" s="24"/>
      <c r="FL31" s="24"/>
      <c r="FM31" s="24"/>
      <c r="FN31" s="24"/>
      <c r="FO31" s="24"/>
      <c r="FP31" s="24"/>
      <c r="FQ31" s="24"/>
      <c r="FR31" s="24"/>
      <c r="FS31" s="24"/>
      <c r="FT31" s="24"/>
      <c r="FU31" s="24"/>
      <c r="FV31" s="24"/>
      <c r="FW31" s="24"/>
      <c r="FX31" s="24"/>
      <c r="FY31" s="24"/>
      <c r="FZ31" s="24"/>
      <c r="GA31" s="24"/>
      <c r="GB31" s="24"/>
      <c r="GC31" s="24"/>
      <c r="GD31" s="24"/>
      <c r="GE31" s="24"/>
      <c r="GF31" s="24"/>
      <c r="GG31" s="24"/>
      <c r="GH31" s="24"/>
      <c r="GI31" s="24"/>
      <c r="GJ31" s="24"/>
      <c r="GK31" s="24"/>
      <c r="GL31" s="24"/>
      <c r="GM31" s="24"/>
      <c r="GN31" s="24"/>
      <c r="GO31" s="24"/>
      <c r="GP31" s="24"/>
      <c r="GQ31" s="24"/>
      <c r="GR31" s="24"/>
      <c r="GS31" s="24"/>
      <c r="GT31" s="24"/>
      <c r="GU31" s="24"/>
      <c r="GV31" s="24"/>
      <c r="GW31" s="24"/>
      <c r="GX31" s="24"/>
      <c r="GY31" s="24"/>
      <c r="GZ31" s="24"/>
      <c r="HA31" s="24"/>
      <c r="HB31" s="24"/>
      <c r="HC31" s="24"/>
      <c r="HD31" s="24"/>
      <c r="HE31" s="24"/>
      <c r="HF31" s="24"/>
      <c r="HG31" s="24"/>
      <c r="HH31" s="24"/>
      <c r="HI31" s="24"/>
      <c r="HJ31" s="24"/>
      <c r="HK31" s="24"/>
      <c r="HL31" s="24"/>
      <c r="HM31" s="24"/>
      <c r="HN31" s="24"/>
      <c r="HO31" s="24"/>
      <c r="HP31" s="24"/>
      <c r="HQ31" s="24"/>
      <c r="HR31" s="24"/>
      <c r="HS31" s="24"/>
      <c r="HT31" s="24"/>
      <c r="HU31" s="24"/>
      <c r="HV31" s="24"/>
      <c r="HW31" s="24"/>
      <c r="HX31" s="24"/>
      <c r="HY31" s="24"/>
      <c r="HZ31" s="24"/>
      <c r="IA31" s="24"/>
      <c r="IB31" s="24"/>
      <c r="IC31" s="24"/>
      <c r="ID31" s="24"/>
      <c r="IE31" s="24"/>
      <c r="IF31" s="24"/>
      <c r="IG31" s="24"/>
      <c r="IH31" s="24"/>
      <c r="II31" s="24"/>
      <c r="IJ31" s="24"/>
      <c r="IK31" s="24"/>
      <c r="IL31" s="24"/>
      <c r="IM31" s="24"/>
      <c r="IN31" s="24"/>
      <c r="IO31" s="24"/>
      <c r="IP31" s="24"/>
      <c r="IQ31" s="24"/>
      <c r="IR31" s="24"/>
      <c r="IS31" s="24"/>
      <c r="IT31" s="24"/>
      <c r="IU31" s="24"/>
      <c r="IV31" s="24"/>
    </row>
    <row r="32" s="1" customFormat="1" ht="19.5" customHeight="1" spans="1:30">
      <c r="A32" s="7" t="s">
        <v>4639</v>
      </c>
      <c r="B32" s="8" t="s">
        <v>51</v>
      </c>
      <c r="C32" s="7" t="s">
        <v>4640</v>
      </c>
      <c r="D32" s="9" t="s">
        <v>4641</v>
      </c>
      <c r="E32" s="10">
        <v>0</v>
      </c>
      <c r="F32" s="11">
        <v>9</v>
      </c>
      <c r="G32" s="20"/>
      <c r="H32" s="20"/>
      <c r="I32" s="20"/>
      <c r="J32" s="20"/>
      <c r="K32" s="20"/>
      <c r="L32" s="20"/>
      <c r="M32" s="20"/>
      <c r="N32" s="20"/>
      <c r="O32" s="20"/>
      <c r="P32" s="28"/>
      <c r="Q32" s="37"/>
      <c r="R32" s="38"/>
      <c r="S32" s="35"/>
      <c r="T32" s="36"/>
      <c r="U32" s="28"/>
      <c r="V32" s="34"/>
      <c r="W32" s="35"/>
      <c r="X32" s="36"/>
      <c r="Y32" s="28"/>
      <c r="Z32" s="37"/>
      <c r="AA32" s="38"/>
      <c r="AB32" s="35"/>
      <c r="AC32" s="11"/>
      <c r="AD32" s="50"/>
    </row>
    <row r="33" s="3" customFormat="1" ht="8.25" customHeight="1" spans="1:256">
      <c r="A33" s="21"/>
      <c r="B33" s="22"/>
      <c r="C33" s="21"/>
      <c r="D33" s="22"/>
      <c r="E33" s="25"/>
      <c r="F33" s="25"/>
      <c r="G33" s="24"/>
      <c r="H33" s="24"/>
      <c r="I33" s="24"/>
      <c r="J33" s="24"/>
      <c r="K33" s="24"/>
      <c r="L33" s="24"/>
      <c r="M33" s="24"/>
      <c r="N33" s="24"/>
      <c r="O33" s="24"/>
      <c r="P33" s="22"/>
      <c r="Q33" s="22"/>
      <c r="R33" s="22"/>
      <c r="S33" s="22"/>
      <c r="T33" s="22"/>
      <c r="U33" s="22"/>
      <c r="V33" s="22"/>
      <c r="W33" s="22"/>
      <c r="X33" s="22"/>
      <c r="Y33" s="22"/>
      <c r="Z33" s="22"/>
      <c r="AA33" s="22"/>
      <c r="AB33" s="22"/>
      <c r="AC33" s="22"/>
      <c r="AD33" s="51"/>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c r="CM33" s="24"/>
      <c r="CN33" s="24"/>
      <c r="CO33" s="24"/>
      <c r="CP33" s="24"/>
      <c r="CQ33" s="24"/>
      <c r="CR33" s="24"/>
      <c r="CS33" s="24"/>
      <c r="CT33" s="24"/>
      <c r="CU33" s="24"/>
      <c r="CV33" s="24"/>
      <c r="CW33" s="24"/>
      <c r="CX33" s="24"/>
      <c r="CY33" s="24"/>
      <c r="CZ33" s="24"/>
      <c r="DA33" s="24"/>
      <c r="DB33" s="24"/>
      <c r="DC33" s="24"/>
      <c r="DD33" s="24"/>
      <c r="DE33" s="24"/>
      <c r="DF33" s="24"/>
      <c r="DG33" s="24"/>
      <c r="DH33" s="24"/>
      <c r="DI33" s="24"/>
      <c r="DJ33" s="24"/>
      <c r="DK33" s="24"/>
      <c r="DL33" s="24"/>
      <c r="DM33" s="24"/>
      <c r="DN33" s="24"/>
      <c r="DO33" s="24"/>
      <c r="DP33" s="24"/>
      <c r="DQ33" s="24"/>
      <c r="DR33" s="24"/>
      <c r="DS33" s="24"/>
      <c r="DT33" s="24"/>
      <c r="DU33" s="24"/>
      <c r="DV33" s="24"/>
      <c r="DW33" s="24"/>
      <c r="DX33" s="24"/>
      <c r="DY33" s="24"/>
      <c r="DZ33" s="24"/>
      <c r="EA33" s="24"/>
      <c r="EB33" s="24"/>
      <c r="EC33" s="24"/>
      <c r="ED33" s="24"/>
      <c r="EE33" s="24"/>
      <c r="EF33" s="24"/>
      <c r="EG33" s="24"/>
      <c r="EH33" s="24"/>
      <c r="EI33" s="24"/>
      <c r="EJ33" s="24"/>
      <c r="EK33" s="24"/>
      <c r="EL33" s="24"/>
      <c r="EM33" s="24"/>
      <c r="EN33" s="24"/>
      <c r="EO33" s="24"/>
      <c r="EP33" s="24"/>
      <c r="EQ33" s="24"/>
      <c r="ER33" s="24"/>
      <c r="ES33" s="24"/>
      <c r="ET33" s="24"/>
      <c r="EU33" s="24"/>
      <c r="EV33" s="24"/>
      <c r="EW33" s="24"/>
      <c r="EX33" s="24"/>
      <c r="EY33" s="24"/>
      <c r="EZ33" s="24"/>
      <c r="FA33" s="24"/>
      <c r="FB33" s="24"/>
      <c r="FC33" s="24"/>
      <c r="FD33" s="24"/>
      <c r="FE33" s="24"/>
      <c r="FF33" s="24"/>
      <c r="FG33" s="24"/>
      <c r="FH33" s="24"/>
      <c r="FI33" s="24"/>
      <c r="FJ33" s="24"/>
      <c r="FK33" s="24"/>
      <c r="FL33" s="24"/>
      <c r="FM33" s="24"/>
      <c r="FN33" s="24"/>
      <c r="FO33" s="24"/>
      <c r="FP33" s="24"/>
      <c r="FQ33" s="24"/>
      <c r="FR33" s="24"/>
      <c r="FS33" s="24"/>
      <c r="FT33" s="24"/>
      <c r="FU33" s="24"/>
      <c r="FV33" s="24"/>
      <c r="FW33" s="24"/>
      <c r="FX33" s="24"/>
      <c r="FY33" s="24"/>
      <c r="FZ33" s="24"/>
      <c r="GA33" s="24"/>
      <c r="GB33" s="24"/>
      <c r="GC33" s="24"/>
      <c r="GD33" s="24"/>
      <c r="GE33" s="24"/>
      <c r="GF33" s="24"/>
      <c r="GG33" s="24"/>
      <c r="GH33" s="24"/>
      <c r="GI33" s="24"/>
      <c r="GJ33" s="24"/>
      <c r="GK33" s="24"/>
      <c r="GL33" s="24"/>
      <c r="GM33" s="24"/>
      <c r="GN33" s="24"/>
      <c r="GO33" s="24"/>
      <c r="GP33" s="24"/>
      <c r="GQ33" s="24"/>
      <c r="GR33" s="24"/>
      <c r="GS33" s="24"/>
      <c r="GT33" s="24"/>
      <c r="GU33" s="24"/>
      <c r="GV33" s="24"/>
      <c r="GW33" s="24"/>
      <c r="GX33" s="24"/>
      <c r="GY33" s="24"/>
      <c r="GZ33" s="24"/>
      <c r="HA33" s="24"/>
      <c r="HB33" s="24"/>
      <c r="HC33" s="24"/>
      <c r="HD33" s="24"/>
      <c r="HE33" s="24"/>
      <c r="HF33" s="24"/>
      <c r="HG33" s="24"/>
      <c r="HH33" s="24"/>
      <c r="HI33" s="24"/>
      <c r="HJ33" s="24"/>
      <c r="HK33" s="24"/>
      <c r="HL33" s="24"/>
      <c r="HM33" s="24"/>
      <c r="HN33" s="24"/>
      <c r="HO33" s="24"/>
      <c r="HP33" s="24"/>
      <c r="HQ33" s="24"/>
      <c r="HR33" s="24"/>
      <c r="HS33" s="24"/>
      <c r="HT33" s="24"/>
      <c r="HU33" s="24"/>
      <c r="HV33" s="24"/>
      <c r="HW33" s="24"/>
      <c r="HX33" s="24"/>
      <c r="HY33" s="24"/>
      <c r="HZ33" s="24"/>
      <c r="IA33" s="24"/>
      <c r="IB33" s="24"/>
      <c r="IC33" s="24"/>
      <c r="ID33" s="24"/>
      <c r="IE33" s="24"/>
      <c r="IF33" s="24"/>
      <c r="IG33" s="24"/>
      <c r="IH33" s="24"/>
      <c r="II33" s="24"/>
      <c r="IJ33" s="24"/>
      <c r="IK33" s="24"/>
      <c r="IL33" s="24"/>
      <c r="IM33" s="24"/>
      <c r="IN33" s="24"/>
      <c r="IO33" s="24"/>
      <c r="IP33" s="24"/>
      <c r="IQ33" s="24"/>
      <c r="IR33" s="24"/>
      <c r="IS33" s="24"/>
      <c r="IT33" s="24"/>
      <c r="IU33" s="24"/>
      <c r="IV33" s="24"/>
    </row>
    <row r="34" s="1" customFormat="1" ht="19.5" customHeight="1" spans="1:30">
      <c r="A34" s="7" t="s">
        <v>4642</v>
      </c>
      <c r="B34" s="8" t="s">
        <v>51</v>
      </c>
      <c r="C34" s="7" t="s">
        <v>4643</v>
      </c>
      <c r="D34" s="9" t="s">
        <v>4644</v>
      </c>
      <c r="E34" s="10">
        <v>0</v>
      </c>
      <c r="F34" s="11">
        <v>8</v>
      </c>
      <c r="G34" s="20"/>
      <c r="H34" s="20"/>
      <c r="I34" s="20"/>
      <c r="J34" s="20"/>
      <c r="K34" s="20"/>
      <c r="L34" s="20"/>
      <c r="M34" s="20"/>
      <c r="N34" s="20"/>
      <c r="O34" s="20"/>
      <c r="P34" s="28"/>
      <c r="Q34" s="37"/>
      <c r="R34" s="38"/>
      <c r="S34" s="35"/>
      <c r="T34" s="36"/>
      <c r="U34" s="28"/>
      <c r="V34" s="34"/>
      <c r="W34" s="35"/>
      <c r="X34" s="36"/>
      <c r="Y34" s="28"/>
      <c r="Z34" s="37"/>
      <c r="AA34" s="38"/>
      <c r="AB34" s="35"/>
      <c r="AC34" s="11"/>
      <c r="AD34" s="50"/>
    </row>
    <row r="35" s="3" customFormat="1" ht="8.25" customHeight="1" spans="1:256">
      <c r="A35" s="21"/>
      <c r="B35" s="22"/>
      <c r="C35" s="21"/>
      <c r="D35" s="22"/>
      <c r="E35" s="25"/>
      <c r="F35" s="25"/>
      <c r="G35" s="24"/>
      <c r="H35" s="24"/>
      <c r="I35" s="24"/>
      <c r="J35" s="24"/>
      <c r="K35" s="24"/>
      <c r="L35" s="24"/>
      <c r="M35" s="24"/>
      <c r="N35" s="24"/>
      <c r="O35" s="24"/>
      <c r="P35" s="22"/>
      <c r="Q35" s="22"/>
      <c r="R35" s="22"/>
      <c r="S35" s="22"/>
      <c r="T35" s="22"/>
      <c r="U35" s="22"/>
      <c r="V35" s="22"/>
      <c r="W35" s="22"/>
      <c r="X35" s="22"/>
      <c r="Y35" s="22"/>
      <c r="Z35" s="22"/>
      <c r="AA35" s="22"/>
      <c r="AB35" s="22"/>
      <c r="AC35" s="22"/>
      <c r="AD35" s="51"/>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c r="CD35" s="24"/>
      <c r="CE35" s="24"/>
      <c r="CF35" s="24"/>
      <c r="CG35" s="24"/>
      <c r="CH35" s="24"/>
      <c r="CI35" s="24"/>
      <c r="CJ35" s="24"/>
      <c r="CK35" s="24"/>
      <c r="CL35" s="24"/>
      <c r="CM35" s="24"/>
      <c r="CN35" s="24"/>
      <c r="CO35" s="24"/>
      <c r="CP35" s="24"/>
      <c r="CQ35" s="24"/>
      <c r="CR35" s="24"/>
      <c r="CS35" s="24"/>
      <c r="CT35" s="24"/>
      <c r="CU35" s="24"/>
      <c r="CV35" s="24"/>
      <c r="CW35" s="24"/>
      <c r="CX35" s="24"/>
      <c r="CY35" s="24"/>
      <c r="CZ35" s="24"/>
      <c r="DA35" s="24"/>
      <c r="DB35" s="24"/>
      <c r="DC35" s="24"/>
      <c r="DD35" s="24"/>
      <c r="DE35" s="24"/>
      <c r="DF35" s="24"/>
      <c r="DG35" s="24"/>
      <c r="DH35" s="24"/>
      <c r="DI35" s="24"/>
      <c r="DJ35" s="24"/>
      <c r="DK35" s="24"/>
      <c r="DL35" s="24"/>
      <c r="DM35" s="24"/>
      <c r="DN35" s="24"/>
      <c r="DO35" s="24"/>
      <c r="DP35" s="24"/>
      <c r="DQ35" s="24"/>
      <c r="DR35" s="24"/>
      <c r="DS35" s="24"/>
      <c r="DT35" s="24"/>
      <c r="DU35" s="24"/>
      <c r="DV35" s="24"/>
      <c r="DW35" s="24"/>
      <c r="DX35" s="24"/>
      <c r="DY35" s="24"/>
      <c r="DZ35" s="24"/>
      <c r="EA35" s="24"/>
      <c r="EB35" s="24"/>
      <c r="EC35" s="24"/>
      <c r="ED35" s="24"/>
      <c r="EE35" s="24"/>
      <c r="EF35" s="24"/>
      <c r="EG35" s="24"/>
      <c r="EH35" s="24"/>
      <c r="EI35" s="24"/>
      <c r="EJ35" s="24"/>
      <c r="EK35" s="24"/>
      <c r="EL35" s="24"/>
      <c r="EM35" s="24"/>
      <c r="EN35" s="24"/>
      <c r="EO35" s="24"/>
      <c r="EP35" s="24"/>
      <c r="EQ35" s="24"/>
      <c r="ER35" s="24"/>
      <c r="ES35" s="24"/>
      <c r="ET35" s="24"/>
      <c r="EU35" s="24"/>
      <c r="EV35" s="24"/>
      <c r="EW35" s="24"/>
      <c r="EX35" s="24"/>
      <c r="EY35" s="24"/>
      <c r="EZ35" s="24"/>
      <c r="FA35" s="24"/>
      <c r="FB35" s="24"/>
      <c r="FC35" s="24"/>
      <c r="FD35" s="24"/>
      <c r="FE35" s="24"/>
      <c r="FF35" s="24"/>
      <c r="FG35" s="24"/>
      <c r="FH35" s="24"/>
      <c r="FI35" s="24"/>
      <c r="FJ35" s="24"/>
      <c r="FK35" s="24"/>
      <c r="FL35" s="24"/>
      <c r="FM35" s="24"/>
      <c r="FN35" s="24"/>
      <c r="FO35" s="24"/>
      <c r="FP35" s="24"/>
      <c r="FQ35" s="24"/>
      <c r="FR35" s="24"/>
      <c r="FS35" s="24"/>
      <c r="FT35" s="24"/>
      <c r="FU35" s="24"/>
      <c r="FV35" s="24"/>
      <c r="FW35" s="24"/>
      <c r="FX35" s="24"/>
      <c r="FY35" s="24"/>
      <c r="FZ35" s="24"/>
      <c r="GA35" s="24"/>
      <c r="GB35" s="24"/>
      <c r="GC35" s="24"/>
      <c r="GD35" s="24"/>
      <c r="GE35" s="24"/>
      <c r="GF35" s="24"/>
      <c r="GG35" s="24"/>
      <c r="GH35" s="24"/>
      <c r="GI35" s="24"/>
      <c r="GJ35" s="24"/>
      <c r="GK35" s="24"/>
      <c r="GL35" s="24"/>
      <c r="GM35" s="24"/>
      <c r="GN35" s="24"/>
      <c r="GO35" s="24"/>
      <c r="GP35" s="24"/>
      <c r="GQ35" s="24"/>
      <c r="GR35" s="24"/>
      <c r="GS35" s="24"/>
      <c r="GT35" s="24"/>
      <c r="GU35" s="24"/>
      <c r="GV35" s="24"/>
      <c r="GW35" s="24"/>
      <c r="GX35" s="24"/>
      <c r="GY35" s="24"/>
      <c r="GZ35" s="24"/>
      <c r="HA35" s="24"/>
      <c r="HB35" s="24"/>
      <c r="HC35" s="24"/>
      <c r="HD35" s="24"/>
      <c r="HE35" s="24"/>
      <c r="HF35" s="24"/>
      <c r="HG35" s="24"/>
      <c r="HH35" s="24"/>
      <c r="HI35" s="24"/>
      <c r="HJ35" s="24"/>
      <c r="HK35" s="24"/>
      <c r="HL35" s="24"/>
      <c r="HM35" s="24"/>
      <c r="HN35" s="24"/>
      <c r="HO35" s="24"/>
      <c r="HP35" s="24"/>
      <c r="HQ35" s="24"/>
      <c r="HR35" s="24"/>
      <c r="HS35" s="24"/>
      <c r="HT35" s="24"/>
      <c r="HU35" s="24"/>
      <c r="HV35" s="24"/>
      <c r="HW35" s="24"/>
      <c r="HX35" s="24"/>
      <c r="HY35" s="24"/>
      <c r="HZ35" s="24"/>
      <c r="IA35" s="24"/>
      <c r="IB35" s="24"/>
      <c r="IC35" s="24"/>
      <c r="ID35" s="24"/>
      <c r="IE35" s="24"/>
      <c r="IF35" s="24"/>
      <c r="IG35" s="24"/>
      <c r="IH35" s="24"/>
      <c r="II35" s="24"/>
      <c r="IJ35" s="24"/>
      <c r="IK35" s="24"/>
      <c r="IL35" s="24"/>
      <c r="IM35" s="24"/>
      <c r="IN35" s="24"/>
      <c r="IO35" s="24"/>
      <c r="IP35" s="24"/>
      <c r="IQ35" s="24"/>
      <c r="IR35" s="24"/>
      <c r="IS35" s="24"/>
      <c r="IT35" s="24"/>
      <c r="IU35" s="24"/>
      <c r="IV35" s="24"/>
    </row>
    <row r="36" s="1" customFormat="1" ht="19.5" customHeight="1" spans="1:30">
      <c r="A36" s="7" t="s">
        <v>4645</v>
      </c>
      <c r="B36" s="8" t="s">
        <v>51</v>
      </c>
      <c r="C36" s="7" t="s">
        <v>4646</v>
      </c>
      <c r="D36" s="9" t="s">
        <v>4647</v>
      </c>
      <c r="E36" s="10">
        <v>0</v>
      </c>
      <c r="F36" s="11">
        <v>6</v>
      </c>
      <c r="G36" s="20"/>
      <c r="H36" s="20"/>
      <c r="I36" s="20"/>
      <c r="J36" s="20"/>
      <c r="K36" s="20"/>
      <c r="L36" s="20"/>
      <c r="M36" s="20"/>
      <c r="N36" s="20"/>
      <c r="O36" s="20"/>
      <c r="P36" s="28"/>
      <c r="Q36" s="37"/>
      <c r="R36" s="38"/>
      <c r="S36" s="35"/>
      <c r="T36" s="36"/>
      <c r="U36" s="28"/>
      <c r="V36" s="34"/>
      <c r="W36" s="35"/>
      <c r="X36" s="36"/>
      <c r="Y36" s="28"/>
      <c r="Z36" s="37"/>
      <c r="AA36" s="38"/>
      <c r="AB36" s="35"/>
      <c r="AC36" s="11"/>
      <c r="AD36" s="50"/>
    </row>
    <row r="37" s="1" customFormat="1" ht="19.5" customHeight="1" spans="1:30">
      <c r="A37" s="7" t="s">
        <v>4648</v>
      </c>
      <c r="B37" s="8" t="s">
        <v>51</v>
      </c>
      <c r="C37" s="7" t="s">
        <v>3123</v>
      </c>
      <c r="D37" s="9" t="s">
        <v>4647</v>
      </c>
      <c r="E37" s="10">
        <v>0</v>
      </c>
      <c r="F37" s="11">
        <v>6</v>
      </c>
      <c r="G37" s="20"/>
      <c r="H37" s="20"/>
      <c r="I37" s="20"/>
      <c r="J37" s="20"/>
      <c r="K37" s="20"/>
      <c r="L37" s="20"/>
      <c r="M37" s="20"/>
      <c r="N37" s="20"/>
      <c r="O37" s="20"/>
      <c r="P37" s="28"/>
      <c r="Q37" s="37"/>
      <c r="R37" s="38"/>
      <c r="S37" s="35"/>
      <c r="T37" s="36"/>
      <c r="U37" s="28"/>
      <c r="V37" s="34"/>
      <c r="W37" s="35"/>
      <c r="X37" s="36"/>
      <c r="Y37" s="28"/>
      <c r="Z37" s="37"/>
      <c r="AA37" s="38"/>
      <c r="AB37" s="35"/>
      <c r="AC37" s="11"/>
      <c r="AD37" s="50"/>
    </row>
    <row r="38" s="1" customFormat="1" ht="19.5" customHeight="1" spans="1:30">
      <c r="A38" s="7" t="s">
        <v>4649</v>
      </c>
      <c r="B38" s="8" t="s">
        <v>51</v>
      </c>
      <c r="C38" s="7" t="s">
        <v>3545</v>
      </c>
      <c r="D38" s="9" t="s">
        <v>4647</v>
      </c>
      <c r="E38" s="10">
        <v>0</v>
      </c>
      <c r="F38" s="11">
        <v>6</v>
      </c>
      <c r="G38" s="20"/>
      <c r="H38" s="20"/>
      <c r="I38" s="20"/>
      <c r="J38" s="20"/>
      <c r="K38" s="20"/>
      <c r="L38" s="20"/>
      <c r="M38" s="20"/>
      <c r="N38" s="20"/>
      <c r="O38" s="20"/>
      <c r="P38" s="28"/>
      <c r="Q38" s="37"/>
      <c r="R38" s="38"/>
      <c r="S38" s="35"/>
      <c r="T38" s="36"/>
      <c r="U38" s="28"/>
      <c r="V38" s="34"/>
      <c r="W38" s="35"/>
      <c r="X38" s="36"/>
      <c r="Y38" s="28"/>
      <c r="Z38" s="37"/>
      <c r="AA38" s="38"/>
      <c r="AB38" s="35"/>
      <c r="AC38" s="11"/>
      <c r="AD38" s="50"/>
    </row>
    <row r="39" s="1" customFormat="1" ht="19.5" customHeight="1" spans="1:30">
      <c r="A39" s="7" t="s">
        <v>4650</v>
      </c>
      <c r="B39" s="8" t="s">
        <v>51</v>
      </c>
      <c r="C39" s="7" t="s">
        <v>4651</v>
      </c>
      <c r="D39" s="9" t="s">
        <v>4652</v>
      </c>
      <c r="E39" s="10">
        <v>0</v>
      </c>
      <c r="F39" s="11">
        <v>6</v>
      </c>
      <c r="G39" s="20"/>
      <c r="H39" s="20"/>
      <c r="I39" s="20"/>
      <c r="J39" s="20"/>
      <c r="K39" s="20"/>
      <c r="L39" s="20"/>
      <c r="M39" s="20"/>
      <c r="N39" s="20"/>
      <c r="O39" s="20"/>
      <c r="P39" s="28"/>
      <c r="Q39" s="37"/>
      <c r="R39" s="38"/>
      <c r="S39" s="35"/>
      <c r="T39" s="36"/>
      <c r="U39" s="28"/>
      <c r="V39" s="34"/>
      <c r="W39" s="35"/>
      <c r="X39" s="36"/>
      <c r="Y39" s="28"/>
      <c r="Z39" s="37"/>
      <c r="AA39" s="38"/>
      <c r="AB39" s="35"/>
      <c r="AC39" s="11"/>
      <c r="AD39" s="50"/>
    </row>
    <row r="40" s="1" customFormat="1" ht="19.5" customHeight="1" spans="1:30">
      <c r="A40" s="7" t="s">
        <v>4653</v>
      </c>
      <c r="B40" s="8" t="s">
        <v>51</v>
      </c>
      <c r="C40" s="7" t="s">
        <v>3486</v>
      </c>
      <c r="D40" s="9" t="s">
        <v>4654</v>
      </c>
      <c r="E40" s="10">
        <v>0</v>
      </c>
      <c r="F40" s="11">
        <v>6</v>
      </c>
      <c r="G40" s="20"/>
      <c r="H40" s="20"/>
      <c r="I40" s="20"/>
      <c r="J40" s="20"/>
      <c r="K40" s="20"/>
      <c r="L40" s="20"/>
      <c r="M40" s="20"/>
      <c r="N40" s="20"/>
      <c r="O40" s="20"/>
      <c r="P40" s="28"/>
      <c r="Q40" s="37"/>
      <c r="R40" s="38"/>
      <c r="S40" s="35"/>
      <c r="T40" s="36"/>
      <c r="U40" s="28"/>
      <c r="V40" s="34"/>
      <c r="W40" s="35"/>
      <c r="X40" s="36"/>
      <c r="Y40" s="28"/>
      <c r="Z40" s="37"/>
      <c r="AA40" s="38"/>
      <c r="AB40" s="35"/>
      <c r="AC40" s="11"/>
      <c r="AD40" s="50"/>
    </row>
    <row r="41" s="1" customFormat="1" ht="19.5" customHeight="1" spans="1:30">
      <c r="A41" s="7" t="s">
        <v>4655</v>
      </c>
      <c r="B41" s="8" t="s">
        <v>51</v>
      </c>
      <c r="C41" s="7" t="s">
        <v>4656</v>
      </c>
      <c r="D41" s="9" t="s">
        <v>4657</v>
      </c>
      <c r="E41" s="10">
        <v>0</v>
      </c>
      <c r="F41" s="11">
        <v>6</v>
      </c>
      <c r="G41" s="20"/>
      <c r="H41" s="20"/>
      <c r="I41" s="20"/>
      <c r="J41" s="20"/>
      <c r="K41" s="20"/>
      <c r="L41" s="20"/>
      <c r="M41" s="20"/>
      <c r="N41" s="20"/>
      <c r="O41" s="20"/>
      <c r="P41" s="28"/>
      <c r="Q41" s="37"/>
      <c r="R41" s="38"/>
      <c r="S41" s="35"/>
      <c r="T41" s="36"/>
      <c r="U41" s="28"/>
      <c r="V41" s="34"/>
      <c r="W41" s="35"/>
      <c r="X41" s="36"/>
      <c r="Y41" s="28"/>
      <c r="Z41" s="37"/>
      <c r="AA41" s="38"/>
      <c r="AB41" s="35"/>
      <c r="AC41" s="11"/>
      <c r="AD41" s="50"/>
    </row>
    <row r="42" s="1" customFormat="1" ht="19.5" customHeight="1" spans="1:30">
      <c r="A42" s="7" t="s">
        <v>4658</v>
      </c>
      <c r="B42" s="8" t="s">
        <v>51</v>
      </c>
      <c r="C42" s="7" t="s">
        <v>3542</v>
      </c>
      <c r="D42" s="9" t="s">
        <v>4654</v>
      </c>
      <c r="E42" s="10">
        <v>0</v>
      </c>
      <c r="F42" s="11">
        <v>6</v>
      </c>
      <c r="G42" s="20"/>
      <c r="H42" s="20"/>
      <c r="I42" s="20"/>
      <c r="J42" s="20"/>
      <c r="K42" s="20"/>
      <c r="L42" s="20"/>
      <c r="M42" s="20"/>
      <c r="N42" s="20"/>
      <c r="O42" s="20"/>
      <c r="P42" s="28"/>
      <c r="Q42" s="37"/>
      <c r="R42" s="38"/>
      <c r="S42" s="35"/>
      <c r="T42" s="36"/>
      <c r="U42" s="28"/>
      <c r="V42" s="34"/>
      <c r="W42" s="35"/>
      <c r="X42" s="36"/>
      <c r="Y42" s="28"/>
      <c r="Z42" s="37"/>
      <c r="AA42" s="38"/>
      <c r="AB42" s="35"/>
      <c r="AC42" s="11"/>
      <c r="AD42" s="50"/>
    </row>
    <row r="43" s="1" customFormat="1" ht="19.5" customHeight="1" spans="1:30">
      <c r="A43" s="7" t="s">
        <v>4659</v>
      </c>
      <c r="B43" s="8" t="s">
        <v>51</v>
      </c>
      <c r="C43" s="7" t="s">
        <v>4630</v>
      </c>
      <c r="D43" s="9" t="s">
        <v>4654</v>
      </c>
      <c r="E43" s="10">
        <v>0</v>
      </c>
      <c r="F43" s="11">
        <v>6</v>
      </c>
      <c r="G43" s="20"/>
      <c r="H43" s="20"/>
      <c r="I43" s="20"/>
      <c r="J43" s="20"/>
      <c r="K43" s="20"/>
      <c r="L43" s="20"/>
      <c r="M43" s="20"/>
      <c r="N43" s="20"/>
      <c r="O43" s="20"/>
      <c r="P43" s="28"/>
      <c r="Q43" s="37"/>
      <c r="R43" s="38"/>
      <c r="S43" s="35"/>
      <c r="T43" s="36"/>
      <c r="U43" s="28"/>
      <c r="V43" s="34"/>
      <c r="W43" s="35"/>
      <c r="X43" s="36"/>
      <c r="Y43" s="28"/>
      <c r="Z43" s="37"/>
      <c r="AA43" s="38"/>
      <c r="AB43" s="35"/>
      <c r="AC43" s="11"/>
      <c r="AD43" s="50"/>
    </row>
    <row r="44" s="1" customFormat="1" ht="19.5" customHeight="1" spans="1:30">
      <c r="A44" s="7" t="s">
        <v>4660</v>
      </c>
      <c r="B44" s="8" t="s">
        <v>51</v>
      </c>
      <c r="C44" s="7" t="s">
        <v>4661</v>
      </c>
      <c r="D44" s="9" t="s">
        <v>4662</v>
      </c>
      <c r="E44" s="10">
        <v>0</v>
      </c>
      <c r="F44" s="11">
        <v>6</v>
      </c>
      <c r="G44" s="20"/>
      <c r="H44" s="20"/>
      <c r="I44" s="20"/>
      <c r="J44" s="20"/>
      <c r="K44" s="20"/>
      <c r="L44" s="20"/>
      <c r="M44" s="20"/>
      <c r="N44" s="20"/>
      <c r="O44" s="20"/>
      <c r="P44" s="28"/>
      <c r="Q44" s="37"/>
      <c r="R44" s="38"/>
      <c r="S44" s="35"/>
      <c r="T44" s="36"/>
      <c r="U44" s="28"/>
      <c r="V44" s="34"/>
      <c r="W44" s="35"/>
      <c r="X44" s="36"/>
      <c r="Y44" s="28"/>
      <c r="Z44" s="37"/>
      <c r="AA44" s="38"/>
      <c r="AB44" s="35"/>
      <c r="AC44" s="11"/>
      <c r="AD44" s="50"/>
    </row>
    <row r="45" s="1" customFormat="1" ht="19.5" customHeight="1" spans="1:30">
      <c r="A45" s="7" t="s">
        <v>4663</v>
      </c>
      <c r="B45" s="8" t="s">
        <v>51</v>
      </c>
      <c r="C45" s="7" t="s">
        <v>4664</v>
      </c>
      <c r="D45" s="9" t="s">
        <v>4665</v>
      </c>
      <c r="E45" s="10">
        <v>0</v>
      </c>
      <c r="F45" s="11">
        <v>6</v>
      </c>
      <c r="G45" s="20"/>
      <c r="H45" s="20"/>
      <c r="I45" s="20"/>
      <c r="J45" s="20"/>
      <c r="K45" s="20"/>
      <c r="L45" s="20"/>
      <c r="M45" s="20"/>
      <c r="N45" s="20"/>
      <c r="O45" s="20"/>
      <c r="P45" s="28"/>
      <c r="Q45" s="37"/>
      <c r="R45" s="38"/>
      <c r="S45" s="35"/>
      <c r="T45" s="36"/>
      <c r="U45" s="28"/>
      <c r="V45" s="34"/>
      <c r="W45" s="35"/>
      <c r="X45" s="36"/>
      <c r="Y45" s="28"/>
      <c r="Z45" s="37"/>
      <c r="AA45" s="38"/>
      <c r="AB45" s="35"/>
      <c r="AC45" s="11"/>
      <c r="AD45" s="50"/>
    </row>
    <row r="46" s="1" customFormat="1" ht="19.5" customHeight="1" spans="1:30">
      <c r="A46" s="7" t="s">
        <v>4666</v>
      </c>
      <c r="B46" s="8" t="s">
        <v>51</v>
      </c>
      <c r="C46" s="7" t="s">
        <v>4667</v>
      </c>
      <c r="D46" s="9" t="s">
        <v>4665</v>
      </c>
      <c r="E46" s="10">
        <v>0</v>
      </c>
      <c r="F46" s="11">
        <v>6</v>
      </c>
      <c r="G46" s="20"/>
      <c r="H46" s="20"/>
      <c r="I46" s="20"/>
      <c r="J46" s="20"/>
      <c r="K46" s="20"/>
      <c r="L46" s="20"/>
      <c r="M46" s="20"/>
      <c r="N46" s="20"/>
      <c r="O46" s="20"/>
      <c r="P46" s="28"/>
      <c r="Q46" s="37"/>
      <c r="R46" s="38"/>
      <c r="S46" s="35"/>
      <c r="T46" s="36"/>
      <c r="U46" s="28"/>
      <c r="V46" s="34"/>
      <c r="W46" s="35"/>
      <c r="X46" s="36"/>
      <c r="Y46" s="28"/>
      <c r="Z46" s="37"/>
      <c r="AA46" s="38"/>
      <c r="AB46" s="35"/>
      <c r="AC46" s="11"/>
      <c r="AD46" s="50"/>
    </row>
    <row r="47" s="1" customFormat="1" ht="19.5" customHeight="1" spans="1:30">
      <c r="A47" s="7" t="s">
        <v>4668</v>
      </c>
      <c r="B47" s="8" t="s">
        <v>51</v>
      </c>
      <c r="C47" s="7" t="s">
        <v>3429</v>
      </c>
      <c r="D47" s="9" t="s">
        <v>4662</v>
      </c>
      <c r="E47" s="10">
        <v>0</v>
      </c>
      <c r="F47" s="11">
        <v>6</v>
      </c>
      <c r="G47" s="20"/>
      <c r="H47" s="20"/>
      <c r="I47" s="20"/>
      <c r="J47" s="20"/>
      <c r="K47" s="20"/>
      <c r="L47" s="20"/>
      <c r="M47" s="20"/>
      <c r="N47" s="20"/>
      <c r="O47" s="20"/>
      <c r="P47" s="28"/>
      <c r="Q47" s="37"/>
      <c r="R47" s="38"/>
      <c r="S47" s="35"/>
      <c r="T47" s="36"/>
      <c r="U47" s="28"/>
      <c r="V47" s="34"/>
      <c r="W47" s="35"/>
      <c r="X47" s="36"/>
      <c r="Y47" s="28"/>
      <c r="Z47" s="37"/>
      <c r="AA47" s="38"/>
      <c r="AB47" s="35"/>
      <c r="AC47" s="11"/>
      <c r="AD47" s="50"/>
    </row>
    <row r="48" s="1" customFormat="1" ht="19.5" customHeight="1" spans="1:30">
      <c r="A48" s="7" t="s">
        <v>4669</v>
      </c>
      <c r="B48" s="8" t="s">
        <v>51</v>
      </c>
      <c r="C48" s="7" t="s">
        <v>4670</v>
      </c>
      <c r="D48" s="9" t="s">
        <v>4671</v>
      </c>
      <c r="E48" s="10">
        <v>0</v>
      </c>
      <c r="F48" s="11">
        <v>6</v>
      </c>
      <c r="G48" s="20"/>
      <c r="H48" s="20"/>
      <c r="I48" s="20"/>
      <c r="J48" s="20"/>
      <c r="K48" s="20"/>
      <c r="L48" s="20"/>
      <c r="M48" s="20"/>
      <c r="N48" s="20"/>
      <c r="O48" s="20"/>
      <c r="P48" s="28"/>
      <c r="Q48" s="37"/>
      <c r="R48" s="38"/>
      <c r="S48" s="35"/>
      <c r="T48" s="36"/>
      <c r="U48" s="28"/>
      <c r="V48" s="34"/>
      <c r="W48" s="35"/>
      <c r="X48" s="36"/>
      <c r="Y48" s="28"/>
      <c r="Z48" s="37"/>
      <c r="AA48" s="38"/>
      <c r="AB48" s="35"/>
      <c r="AC48" s="11"/>
      <c r="AD48" s="50"/>
    </row>
    <row r="49" s="1" customFormat="1" ht="19.5" customHeight="1" spans="1:30">
      <c r="A49" s="7" t="s">
        <v>4672</v>
      </c>
      <c r="B49" s="8" t="s">
        <v>51</v>
      </c>
      <c r="C49" s="7" t="s">
        <v>4673</v>
      </c>
      <c r="D49" s="9" t="s">
        <v>4671</v>
      </c>
      <c r="E49" s="10">
        <v>0</v>
      </c>
      <c r="F49" s="11">
        <v>6</v>
      </c>
      <c r="G49" s="20"/>
      <c r="H49" s="20"/>
      <c r="I49" s="20"/>
      <c r="J49" s="20"/>
      <c r="K49" s="20"/>
      <c r="L49" s="20"/>
      <c r="M49" s="20"/>
      <c r="N49" s="20"/>
      <c r="O49" s="20"/>
      <c r="P49" s="28"/>
      <c r="Q49" s="37"/>
      <c r="R49" s="38"/>
      <c r="S49" s="35"/>
      <c r="T49" s="36"/>
      <c r="U49" s="28"/>
      <c r="V49" s="34"/>
      <c r="W49" s="35"/>
      <c r="X49" s="36"/>
      <c r="Y49" s="28"/>
      <c r="Z49" s="37"/>
      <c r="AA49" s="38"/>
      <c r="AB49" s="35"/>
      <c r="AC49" s="11"/>
      <c r="AD49" s="50"/>
    </row>
    <row r="50" s="1" customFormat="1" ht="19.5" customHeight="1" spans="1:30">
      <c r="A50" s="7" t="s">
        <v>4674</v>
      </c>
      <c r="B50" s="8" t="s">
        <v>51</v>
      </c>
      <c r="C50" s="7" t="s">
        <v>3313</v>
      </c>
      <c r="D50" s="9" t="s">
        <v>4675</v>
      </c>
      <c r="E50" s="10">
        <v>0</v>
      </c>
      <c r="F50" s="11">
        <v>6</v>
      </c>
      <c r="G50" s="20"/>
      <c r="H50" s="20"/>
      <c r="I50" s="20"/>
      <c r="J50" s="20"/>
      <c r="K50" s="20"/>
      <c r="L50" s="20"/>
      <c r="M50" s="20"/>
      <c r="N50" s="20"/>
      <c r="O50" s="20"/>
      <c r="P50" s="28"/>
      <c r="Q50" s="37"/>
      <c r="R50" s="38"/>
      <c r="S50" s="35"/>
      <c r="T50" s="36"/>
      <c r="U50" s="28"/>
      <c r="V50" s="34"/>
      <c r="W50" s="35"/>
      <c r="X50" s="36"/>
      <c r="Y50" s="28"/>
      <c r="Z50" s="37"/>
      <c r="AA50" s="38"/>
      <c r="AB50" s="35"/>
      <c r="AC50" s="11"/>
      <c r="AD50" s="50"/>
    </row>
    <row r="51" s="1" customFormat="1" ht="19.5" customHeight="1" spans="1:30">
      <c r="A51" s="7" t="s">
        <v>4676</v>
      </c>
      <c r="B51" s="8" t="s">
        <v>51</v>
      </c>
      <c r="C51" s="7" t="s">
        <v>3222</v>
      </c>
      <c r="D51" s="9" t="s">
        <v>4652</v>
      </c>
      <c r="E51" s="10">
        <v>0</v>
      </c>
      <c r="F51" s="11">
        <v>6</v>
      </c>
      <c r="G51" s="20"/>
      <c r="H51" s="20"/>
      <c r="I51" s="20"/>
      <c r="J51" s="20"/>
      <c r="K51" s="20"/>
      <c r="L51" s="20"/>
      <c r="M51" s="20"/>
      <c r="N51" s="20"/>
      <c r="O51" s="20"/>
      <c r="P51" s="28"/>
      <c r="Q51" s="37"/>
      <c r="R51" s="38"/>
      <c r="S51" s="35"/>
      <c r="T51" s="36"/>
      <c r="U51" s="28"/>
      <c r="V51" s="34"/>
      <c r="W51" s="35"/>
      <c r="X51" s="36"/>
      <c r="Y51" s="28"/>
      <c r="Z51" s="37"/>
      <c r="AA51" s="38"/>
      <c r="AB51" s="35"/>
      <c r="AC51" s="11"/>
      <c r="AD51" s="50"/>
    </row>
    <row r="52" s="1" customFormat="1" ht="19.5" customHeight="1" spans="1:30">
      <c r="A52" s="7" t="s">
        <v>4677</v>
      </c>
      <c r="B52" s="8" t="s">
        <v>51</v>
      </c>
      <c r="C52" s="7" t="s">
        <v>4678</v>
      </c>
      <c r="D52" s="9" t="s">
        <v>4652</v>
      </c>
      <c r="E52" s="10">
        <v>0</v>
      </c>
      <c r="F52" s="11">
        <v>6</v>
      </c>
      <c r="G52" s="20"/>
      <c r="H52" s="20"/>
      <c r="I52" s="20"/>
      <c r="J52" s="20"/>
      <c r="K52" s="20"/>
      <c r="L52" s="20"/>
      <c r="M52" s="20"/>
      <c r="N52" s="20"/>
      <c r="O52" s="20"/>
      <c r="P52" s="28"/>
      <c r="Q52" s="37"/>
      <c r="R52" s="38"/>
      <c r="S52" s="35"/>
      <c r="T52" s="36"/>
      <c r="U52" s="28"/>
      <c r="V52" s="34"/>
      <c r="W52" s="35"/>
      <c r="X52" s="36"/>
      <c r="Y52" s="28"/>
      <c r="Z52" s="37"/>
      <c r="AA52" s="38"/>
      <c r="AB52" s="35"/>
      <c r="AC52" s="11"/>
      <c r="AD52" s="50"/>
    </row>
    <row r="53" s="3" customFormat="1" ht="8.25" customHeight="1" spans="1:256">
      <c r="A53" s="21"/>
      <c r="B53" s="22"/>
      <c r="C53" s="21"/>
      <c r="D53" s="22"/>
      <c r="E53" s="25"/>
      <c r="F53" s="25"/>
      <c r="G53" s="24"/>
      <c r="H53" s="24"/>
      <c r="I53" s="24"/>
      <c r="J53" s="24"/>
      <c r="K53" s="24"/>
      <c r="L53" s="24"/>
      <c r="M53" s="24"/>
      <c r="N53" s="24"/>
      <c r="O53" s="24"/>
      <c r="P53" s="22"/>
      <c r="Q53" s="22"/>
      <c r="R53" s="22"/>
      <c r="S53" s="22"/>
      <c r="T53" s="22"/>
      <c r="U53" s="22"/>
      <c r="V53" s="22"/>
      <c r="W53" s="22"/>
      <c r="X53" s="22"/>
      <c r="Y53" s="22"/>
      <c r="Z53" s="22"/>
      <c r="AA53" s="22"/>
      <c r="AB53" s="22"/>
      <c r="AC53" s="22"/>
      <c r="AD53" s="51"/>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4"/>
      <c r="CE53" s="24"/>
      <c r="CF53" s="24"/>
      <c r="CG53" s="24"/>
      <c r="CH53" s="24"/>
      <c r="CI53" s="24"/>
      <c r="CJ53" s="24"/>
      <c r="CK53" s="24"/>
      <c r="CL53" s="24"/>
      <c r="CM53" s="24"/>
      <c r="CN53" s="24"/>
      <c r="CO53" s="24"/>
      <c r="CP53" s="24"/>
      <c r="CQ53" s="24"/>
      <c r="CR53" s="24"/>
      <c r="CS53" s="24"/>
      <c r="CT53" s="24"/>
      <c r="CU53" s="24"/>
      <c r="CV53" s="24"/>
      <c r="CW53" s="24"/>
      <c r="CX53" s="24"/>
      <c r="CY53" s="24"/>
      <c r="CZ53" s="24"/>
      <c r="DA53" s="24"/>
      <c r="DB53" s="24"/>
      <c r="DC53" s="24"/>
      <c r="DD53" s="24"/>
      <c r="DE53" s="24"/>
      <c r="DF53" s="24"/>
      <c r="DG53" s="24"/>
      <c r="DH53" s="24"/>
      <c r="DI53" s="24"/>
      <c r="DJ53" s="24"/>
      <c r="DK53" s="24"/>
      <c r="DL53" s="24"/>
      <c r="DM53" s="24"/>
      <c r="DN53" s="24"/>
      <c r="DO53" s="24"/>
      <c r="DP53" s="24"/>
      <c r="DQ53" s="24"/>
      <c r="DR53" s="24"/>
      <c r="DS53" s="24"/>
      <c r="DT53" s="24"/>
      <c r="DU53" s="24"/>
      <c r="DV53" s="24"/>
      <c r="DW53" s="24"/>
      <c r="DX53" s="24"/>
      <c r="DY53" s="24"/>
      <c r="DZ53" s="24"/>
      <c r="EA53" s="24"/>
      <c r="EB53" s="24"/>
      <c r="EC53" s="24"/>
      <c r="ED53" s="24"/>
      <c r="EE53" s="24"/>
      <c r="EF53" s="24"/>
      <c r="EG53" s="24"/>
      <c r="EH53" s="24"/>
      <c r="EI53" s="24"/>
      <c r="EJ53" s="24"/>
      <c r="EK53" s="24"/>
      <c r="EL53" s="24"/>
      <c r="EM53" s="24"/>
      <c r="EN53" s="24"/>
      <c r="EO53" s="24"/>
      <c r="EP53" s="24"/>
      <c r="EQ53" s="24"/>
      <c r="ER53" s="24"/>
      <c r="ES53" s="24"/>
      <c r="ET53" s="24"/>
      <c r="EU53" s="24"/>
      <c r="EV53" s="24"/>
      <c r="EW53" s="24"/>
      <c r="EX53" s="24"/>
      <c r="EY53" s="24"/>
      <c r="EZ53" s="24"/>
      <c r="FA53" s="24"/>
      <c r="FB53" s="24"/>
      <c r="FC53" s="24"/>
      <c r="FD53" s="24"/>
      <c r="FE53" s="24"/>
      <c r="FF53" s="24"/>
      <c r="FG53" s="24"/>
      <c r="FH53" s="24"/>
      <c r="FI53" s="24"/>
      <c r="FJ53" s="24"/>
      <c r="FK53" s="24"/>
      <c r="FL53" s="24"/>
      <c r="FM53" s="24"/>
      <c r="FN53" s="24"/>
      <c r="FO53" s="24"/>
      <c r="FP53" s="24"/>
      <c r="FQ53" s="24"/>
      <c r="FR53" s="24"/>
      <c r="FS53" s="24"/>
      <c r="FT53" s="24"/>
      <c r="FU53" s="24"/>
      <c r="FV53" s="24"/>
      <c r="FW53" s="24"/>
      <c r="FX53" s="24"/>
      <c r="FY53" s="24"/>
      <c r="FZ53" s="24"/>
      <c r="GA53" s="24"/>
      <c r="GB53" s="24"/>
      <c r="GC53" s="24"/>
      <c r="GD53" s="24"/>
      <c r="GE53" s="24"/>
      <c r="GF53" s="24"/>
      <c r="GG53" s="24"/>
      <c r="GH53" s="24"/>
      <c r="GI53" s="24"/>
      <c r="GJ53" s="24"/>
      <c r="GK53" s="24"/>
      <c r="GL53" s="24"/>
      <c r="GM53" s="24"/>
      <c r="GN53" s="24"/>
      <c r="GO53" s="24"/>
      <c r="GP53" s="24"/>
      <c r="GQ53" s="24"/>
      <c r="GR53" s="24"/>
      <c r="GS53" s="24"/>
      <c r="GT53" s="24"/>
      <c r="GU53" s="24"/>
      <c r="GV53" s="24"/>
      <c r="GW53" s="24"/>
      <c r="GX53" s="24"/>
      <c r="GY53" s="24"/>
      <c r="GZ53" s="24"/>
      <c r="HA53" s="24"/>
      <c r="HB53" s="24"/>
      <c r="HC53" s="24"/>
      <c r="HD53" s="24"/>
      <c r="HE53" s="24"/>
      <c r="HF53" s="24"/>
      <c r="HG53" s="24"/>
      <c r="HH53" s="24"/>
      <c r="HI53" s="24"/>
      <c r="HJ53" s="24"/>
      <c r="HK53" s="24"/>
      <c r="HL53" s="24"/>
      <c r="HM53" s="24"/>
      <c r="HN53" s="24"/>
      <c r="HO53" s="24"/>
      <c r="HP53" s="24"/>
      <c r="HQ53" s="24"/>
      <c r="HR53" s="24"/>
      <c r="HS53" s="24"/>
      <c r="HT53" s="24"/>
      <c r="HU53" s="24"/>
      <c r="HV53" s="24"/>
      <c r="HW53" s="24"/>
      <c r="HX53" s="24"/>
      <c r="HY53" s="24"/>
      <c r="HZ53" s="24"/>
      <c r="IA53" s="24"/>
      <c r="IB53" s="24"/>
      <c r="IC53" s="24"/>
      <c r="ID53" s="24"/>
      <c r="IE53" s="24"/>
      <c r="IF53" s="24"/>
      <c r="IG53" s="24"/>
      <c r="IH53" s="24"/>
      <c r="II53" s="24"/>
      <c r="IJ53" s="24"/>
      <c r="IK53" s="24"/>
      <c r="IL53" s="24"/>
      <c r="IM53" s="24"/>
      <c r="IN53" s="24"/>
      <c r="IO53" s="24"/>
      <c r="IP53" s="24"/>
      <c r="IQ53" s="24"/>
      <c r="IR53" s="24"/>
      <c r="IS53" s="24"/>
      <c r="IT53" s="24"/>
      <c r="IU53" s="24"/>
      <c r="IV53" s="24"/>
    </row>
    <row r="54" s="1" customFormat="1" ht="19.5" customHeight="1" spans="1:30">
      <c r="A54" s="7" t="s">
        <v>4679</v>
      </c>
      <c r="B54" s="8" t="s">
        <v>51</v>
      </c>
      <c r="C54" s="7" t="s">
        <v>4680</v>
      </c>
      <c r="D54" s="9" t="s">
        <v>4681</v>
      </c>
      <c r="E54" s="10">
        <v>0</v>
      </c>
      <c r="F54" s="11">
        <v>4</v>
      </c>
      <c r="G54" s="20"/>
      <c r="H54" s="20"/>
      <c r="I54" s="20"/>
      <c r="J54" s="20"/>
      <c r="K54" s="20"/>
      <c r="L54" s="20"/>
      <c r="M54" s="20"/>
      <c r="N54" s="20"/>
      <c r="O54" s="20"/>
      <c r="P54" s="28"/>
      <c r="Q54" s="37"/>
      <c r="R54" s="38"/>
      <c r="S54" s="35"/>
      <c r="T54" s="36"/>
      <c r="U54" s="28"/>
      <c r="V54" s="34"/>
      <c r="W54" s="35"/>
      <c r="X54" s="36"/>
      <c r="Y54" s="28"/>
      <c r="Z54" s="37"/>
      <c r="AA54" s="38"/>
      <c r="AB54" s="35"/>
      <c r="AC54" s="11"/>
      <c r="AD54" s="50"/>
    </row>
    <row r="55" s="3" customFormat="1" ht="8.25" customHeight="1" spans="1:256">
      <c r="A55" s="21"/>
      <c r="B55" s="22"/>
      <c r="C55" s="21"/>
      <c r="D55" s="22"/>
      <c r="E55" s="25"/>
      <c r="F55" s="25"/>
      <c r="G55" s="24"/>
      <c r="H55" s="24"/>
      <c r="I55" s="24"/>
      <c r="J55" s="24"/>
      <c r="K55" s="24"/>
      <c r="L55" s="24"/>
      <c r="M55" s="24"/>
      <c r="N55" s="24"/>
      <c r="O55" s="24"/>
      <c r="P55" s="22"/>
      <c r="Q55" s="22"/>
      <c r="R55" s="22"/>
      <c r="S55" s="22"/>
      <c r="T55" s="22"/>
      <c r="U55" s="22"/>
      <c r="V55" s="22"/>
      <c r="W55" s="22"/>
      <c r="X55" s="22"/>
      <c r="Y55" s="22"/>
      <c r="Z55" s="22"/>
      <c r="AA55" s="22"/>
      <c r="AB55" s="22"/>
      <c r="AC55" s="22"/>
      <c r="AD55" s="51"/>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c r="CD55" s="24"/>
      <c r="CE55" s="24"/>
      <c r="CF55" s="24"/>
      <c r="CG55" s="24"/>
      <c r="CH55" s="24"/>
      <c r="CI55" s="24"/>
      <c r="CJ55" s="24"/>
      <c r="CK55" s="24"/>
      <c r="CL55" s="24"/>
      <c r="CM55" s="24"/>
      <c r="CN55" s="24"/>
      <c r="CO55" s="24"/>
      <c r="CP55" s="24"/>
      <c r="CQ55" s="24"/>
      <c r="CR55" s="24"/>
      <c r="CS55" s="24"/>
      <c r="CT55" s="24"/>
      <c r="CU55" s="24"/>
      <c r="CV55" s="24"/>
      <c r="CW55" s="24"/>
      <c r="CX55" s="24"/>
      <c r="CY55" s="24"/>
      <c r="CZ55" s="24"/>
      <c r="DA55" s="24"/>
      <c r="DB55" s="24"/>
      <c r="DC55" s="24"/>
      <c r="DD55" s="24"/>
      <c r="DE55" s="24"/>
      <c r="DF55" s="24"/>
      <c r="DG55" s="24"/>
      <c r="DH55" s="24"/>
      <c r="DI55" s="24"/>
      <c r="DJ55" s="24"/>
      <c r="DK55" s="24"/>
      <c r="DL55" s="24"/>
      <c r="DM55" s="24"/>
      <c r="DN55" s="24"/>
      <c r="DO55" s="24"/>
      <c r="DP55" s="24"/>
      <c r="DQ55" s="24"/>
      <c r="DR55" s="24"/>
      <c r="DS55" s="24"/>
      <c r="DT55" s="24"/>
      <c r="DU55" s="24"/>
      <c r="DV55" s="24"/>
      <c r="DW55" s="24"/>
      <c r="DX55" s="24"/>
      <c r="DY55" s="24"/>
      <c r="DZ55" s="24"/>
      <c r="EA55" s="24"/>
      <c r="EB55" s="24"/>
      <c r="EC55" s="24"/>
      <c r="ED55" s="24"/>
      <c r="EE55" s="24"/>
      <c r="EF55" s="24"/>
      <c r="EG55" s="24"/>
      <c r="EH55" s="24"/>
      <c r="EI55" s="24"/>
      <c r="EJ55" s="24"/>
      <c r="EK55" s="24"/>
      <c r="EL55" s="24"/>
      <c r="EM55" s="24"/>
      <c r="EN55" s="24"/>
      <c r="EO55" s="24"/>
      <c r="EP55" s="24"/>
      <c r="EQ55" s="24"/>
      <c r="ER55" s="24"/>
      <c r="ES55" s="24"/>
      <c r="ET55" s="24"/>
      <c r="EU55" s="24"/>
      <c r="EV55" s="24"/>
      <c r="EW55" s="24"/>
      <c r="EX55" s="24"/>
      <c r="EY55" s="24"/>
      <c r="EZ55" s="24"/>
      <c r="FA55" s="24"/>
      <c r="FB55" s="24"/>
      <c r="FC55" s="24"/>
      <c r="FD55" s="24"/>
      <c r="FE55" s="24"/>
      <c r="FF55" s="24"/>
      <c r="FG55" s="24"/>
      <c r="FH55" s="24"/>
      <c r="FI55" s="24"/>
      <c r="FJ55" s="24"/>
      <c r="FK55" s="24"/>
      <c r="FL55" s="24"/>
      <c r="FM55" s="24"/>
      <c r="FN55" s="24"/>
      <c r="FO55" s="24"/>
      <c r="FP55" s="24"/>
      <c r="FQ55" s="24"/>
      <c r="FR55" s="24"/>
      <c r="FS55" s="24"/>
      <c r="FT55" s="24"/>
      <c r="FU55" s="24"/>
      <c r="FV55" s="24"/>
      <c r="FW55" s="24"/>
      <c r="FX55" s="24"/>
      <c r="FY55" s="24"/>
      <c r="FZ55" s="24"/>
      <c r="GA55" s="24"/>
      <c r="GB55" s="24"/>
      <c r="GC55" s="24"/>
      <c r="GD55" s="24"/>
      <c r="GE55" s="24"/>
      <c r="GF55" s="24"/>
      <c r="GG55" s="24"/>
      <c r="GH55" s="24"/>
      <c r="GI55" s="24"/>
      <c r="GJ55" s="24"/>
      <c r="GK55" s="24"/>
      <c r="GL55" s="24"/>
      <c r="GM55" s="24"/>
      <c r="GN55" s="24"/>
      <c r="GO55" s="24"/>
      <c r="GP55" s="24"/>
      <c r="GQ55" s="24"/>
      <c r="GR55" s="24"/>
      <c r="GS55" s="24"/>
      <c r="GT55" s="24"/>
      <c r="GU55" s="24"/>
      <c r="GV55" s="24"/>
      <c r="GW55" s="24"/>
      <c r="GX55" s="24"/>
      <c r="GY55" s="24"/>
      <c r="GZ55" s="24"/>
      <c r="HA55" s="24"/>
      <c r="HB55" s="24"/>
      <c r="HC55" s="24"/>
      <c r="HD55" s="24"/>
      <c r="HE55" s="24"/>
      <c r="HF55" s="24"/>
      <c r="HG55" s="24"/>
      <c r="HH55" s="24"/>
      <c r="HI55" s="24"/>
      <c r="HJ55" s="24"/>
      <c r="HK55" s="24"/>
      <c r="HL55" s="24"/>
      <c r="HM55" s="24"/>
      <c r="HN55" s="24"/>
      <c r="HO55" s="24"/>
      <c r="HP55" s="24"/>
      <c r="HQ55" s="24"/>
      <c r="HR55" s="24"/>
      <c r="HS55" s="24"/>
      <c r="HT55" s="24"/>
      <c r="HU55" s="24"/>
      <c r="HV55" s="24"/>
      <c r="HW55" s="24"/>
      <c r="HX55" s="24"/>
      <c r="HY55" s="24"/>
      <c r="HZ55" s="24"/>
      <c r="IA55" s="24"/>
      <c r="IB55" s="24"/>
      <c r="IC55" s="24"/>
      <c r="ID55" s="24"/>
      <c r="IE55" s="24"/>
      <c r="IF55" s="24"/>
      <c r="IG55" s="24"/>
      <c r="IH55" s="24"/>
      <c r="II55" s="24"/>
      <c r="IJ55" s="24"/>
      <c r="IK55" s="24"/>
      <c r="IL55" s="24"/>
      <c r="IM55" s="24"/>
      <c r="IN55" s="24"/>
      <c r="IO55" s="24"/>
      <c r="IP55" s="24"/>
      <c r="IQ55" s="24"/>
      <c r="IR55" s="24"/>
      <c r="IS55" s="24"/>
      <c r="IT55" s="24"/>
      <c r="IU55" s="24"/>
      <c r="IV55" s="24"/>
    </row>
    <row r="56" s="1" customFormat="1" ht="19.5" customHeight="1" spans="1:30">
      <c r="A56" s="7" t="s">
        <v>4682</v>
      </c>
      <c r="B56" s="8" t="s">
        <v>51</v>
      </c>
      <c r="C56" s="7" t="s">
        <v>3298</v>
      </c>
      <c r="D56" s="9" t="s">
        <v>4683</v>
      </c>
      <c r="E56" s="10">
        <v>0</v>
      </c>
      <c r="F56" s="11">
        <v>3</v>
      </c>
      <c r="G56" s="20"/>
      <c r="H56" s="20"/>
      <c r="I56" s="20"/>
      <c r="J56" s="20"/>
      <c r="K56" s="20"/>
      <c r="L56" s="20"/>
      <c r="M56" s="20"/>
      <c r="N56" s="20"/>
      <c r="O56" s="20"/>
      <c r="P56" s="28"/>
      <c r="Q56" s="37"/>
      <c r="R56" s="38"/>
      <c r="S56" s="35"/>
      <c r="T56" s="36"/>
      <c r="U56" s="28"/>
      <c r="V56" s="34"/>
      <c r="W56" s="35"/>
      <c r="X56" s="36"/>
      <c r="Y56" s="28"/>
      <c r="Z56" s="37"/>
      <c r="AA56" s="38"/>
      <c r="AB56" s="35"/>
      <c r="AC56" s="11"/>
      <c r="AD56" s="50"/>
    </row>
    <row r="57" s="3" customFormat="1" ht="8.25" customHeight="1" spans="1:256">
      <c r="A57" s="21"/>
      <c r="B57" s="22"/>
      <c r="C57" s="21"/>
      <c r="D57" s="22"/>
      <c r="E57" s="25"/>
      <c r="F57" s="25"/>
      <c r="G57" s="24"/>
      <c r="H57" s="24"/>
      <c r="I57" s="24"/>
      <c r="J57" s="24"/>
      <c r="K57" s="24"/>
      <c r="L57" s="24"/>
      <c r="M57" s="24"/>
      <c r="N57" s="24"/>
      <c r="O57" s="24"/>
      <c r="P57" s="22"/>
      <c r="Q57" s="22"/>
      <c r="R57" s="22"/>
      <c r="S57" s="22"/>
      <c r="T57" s="22"/>
      <c r="U57" s="22"/>
      <c r="V57" s="22"/>
      <c r="W57" s="22"/>
      <c r="X57" s="22"/>
      <c r="Y57" s="22"/>
      <c r="Z57" s="22"/>
      <c r="AA57" s="22"/>
      <c r="AB57" s="22"/>
      <c r="AC57" s="22"/>
      <c r="AD57" s="51"/>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c r="BV57" s="24"/>
      <c r="BW57" s="24"/>
      <c r="BX57" s="24"/>
      <c r="BY57" s="24"/>
      <c r="BZ57" s="24"/>
      <c r="CA57" s="24"/>
      <c r="CB57" s="24"/>
      <c r="CC57" s="24"/>
      <c r="CD57" s="24"/>
      <c r="CE57" s="24"/>
      <c r="CF57" s="24"/>
      <c r="CG57" s="24"/>
      <c r="CH57" s="24"/>
      <c r="CI57" s="24"/>
      <c r="CJ57" s="24"/>
      <c r="CK57" s="24"/>
      <c r="CL57" s="24"/>
      <c r="CM57" s="24"/>
      <c r="CN57" s="24"/>
      <c r="CO57" s="24"/>
      <c r="CP57" s="24"/>
      <c r="CQ57" s="24"/>
      <c r="CR57" s="24"/>
      <c r="CS57" s="24"/>
      <c r="CT57" s="24"/>
      <c r="CU57" s="24"/>
      <c r="CV57" s="24"/>
      <c r="CW57" s="24"/>
      <c r="CX57" s="24"/>
      <c r="CY57" s="24"/>
      <c r="CZ57" s="24"/>
      <c r="DA57" s="24"/>
      <c r="DB57" s="24"/>
      <c r="DC57" s="24"/>
      <c r="DD57" s="24"/>
      <c r="DE57" s="24"/>
      <c r="DF57" s="24"/>
      <c r="DG57" s="24"/>
      <c r="DH57" s="24"/>
      <c r="DI57" s="24"/>
      <c r="DJ57" s="24"/>
      <c r="DK57" s="24"/>
      <c r="DL57" s="24"/>
      <c r="DM57" s="24"/>
      <c r="DN57" s="24"/>
      <c r="DO57" s="24"/>
      <c r="DP57" s="24"/>
      <c r="DQ57" s="24"/>
      <c r="DR57" s="24"/>
      <c r="DS57" s="24"/>
      <c r="DT57" s="24"/>
      <c r="DU57" s="24"/>
      <c r="DV57" s="24"/>
      <c r="DW57" s="24"/>
      <c r="DX57" s="24"/>
      <c r="DY57" s="24"/>
      <c r="DZ57" s="24"/>
      <c r="EA57" s="24"/>
      <c r="EB57" s="24"/>
      <c r="EC57" s="24"/>
      <c r="ED57" s="24"/>
      <c r="EE57" s="24"/>
      <c r="EF57" s="24"/>
      <c r="EG57" s="24"/>
      <c r="EH57" s="24"/>
      <c r="EI57" s="24"/>
      <c r="EJ57" s="24"/>
      <c r="EK57" s="24"/>
      <c r="EL57" s="24"/>
      <c r="EM57" s="24"/>
      <c r="EN57" s="24"/>
      <c r="EO57" s="24"/>
      <c r="EP57" s="24"/>
      <c r="EQ57" s="24"/>
      <c r="ER57" s="24"/>
      <c r="ES57" s="24"/>
      <c r="ET57" s="24"/>
      <c r="EU57" s="24"/>
      <c r="EV57" s="24"/>
      <c r="EW57" s="24"/>
      <c r="EX57" s="24"/>
      <c r="EY57" s="24"/>
      <c r="EZ57" s="24"/>
      <c r="FA57" s="24"/>
      <c r="FB57" s="24"/>
      <c r="FC57" s="24"/>
      <c r="FD57" s="24"/>
      <c r="FE57" s="24"/>
      <c r="FF57" s="24"/>
      <c r="FG57" s="24"/>
      <c r="FH57" s="24"/>
      <c r="FI57" s="24"/>
      <c r="FJ57" s="24"/>
      <c r="FK57" s="24"/>
      <c r="FL57" s="24"/>
      <c r="FM57" s="24"/>
      <c r="FN57" s="24"/>
      <c r="FO57" s="24"/>
      <c r="FP57" s="24"/>
      <c r="FQ57" s="24"/>
      <c r="FR57" s="24"/>
      <c r="FS57" s="24"/>
      <c r="FT57" s="24"/>
      <c r="FU57" s="24"/>
      <c r="FV57" s="24"/>
      <c r="FW57" s="24"/>
      <c r="FX57" s="24"/>
      <c r="FY57" s="24"/>
      <c r="FZ57" s="24"/>
      <c r="GA57" s="24"/>
      <c r="GB57" s="24"/>
      <c r="GC57" s="24"/>
      <c r="GD57" s="24"/>
      <c r="GE57" s="24"/>
      <c r="GF57" s="24"/>
      <c r="GG57" s="24"/>
      <c r="GH57" s="24"/>
      <c r="GI57" s="24"/>
      <c r="GJ57" s="24"/>
      <c r="GK57" s="24"/>
      <c r="GL57" s="24"/>
      <c r="GM57" s="24"/>
      <c r="GN57" s="24"/>
      <c r="GO57" s="24"/>
      <c r="GP57" s="24"/>
      <c r="GQ57" s="24"/>
      <c r="GR57" s="24"/>
      <c r="GS57" s="24"/>
      <c r="GT57" s="24"/>
      <c r="GU57" s="24"/>
      <c r="GV57" s="24"/>
      <c r="GW57" s="24"/>
      <c r="GX57" s="24"/>
      <c r="GY57" s="24"/>
      <c r="GZ57" s="24"/>
      <c r="HA57" s="24"/>
      <c r="HB57" s="24"/>
      <c r="HC57" s="24"/>
      <c r="HD57" s="24"/>
      <c r="HE57" s="24"/>
      <c r="HF57" s="24"/>
      <c r="HG57" s="24"/>
      <c r="HH57" s="24"/>
      <c r="HI57" s="24"/>
      <c r="HJ57" s="24"/>
      <c r="HK57" s="24"/>
      <c r="HL57" s="24"/>
      <c r="HM57" s="24"/>
      <c r="HN57" s="24"/>
      <c r="HO57" s="24"/>
      <c r="HP57" s="24"/>
      <c r="HQ57" s="24"/>
      <c r="HR57" s="24"/>
      <c r="HS57" s="24"/>
      <c r="HT57" s="24"/>
      <c r="HU57" s="24"/>
      <c r="HV57" s="24"/>
      <c r="HW57" s="24"/>
      <c r="HX57" s="24"/>
      <c r="HY57" s="24"/>
      <c r="HZ57" s="24"/>
      <c r="IA57" s="24"/>
      <c r="IB57" s="24"/>
      <c r="IC57" s="24"/>
      <c r="ID57" s="24"/>
      <c r="IE57" s="24"/>
      <c r="IF57" s="24"/>
      <c r="IG57" s="24"/>
      <c r="IH57" s="24"/>
      <c r="II57" s="24"/>
      <c r="IJ57" s="24"/>
      <c r="IK57" s="24"/>
      <c r="IL57" s="24"/>
      <c r="IM57" s="24"/>
      <c r="IN57" s="24"/>
      <c r="IO57" s="24"/>
      <c r="IP57" s="24"/>
      <c r="IQ57" s="24"/>
      <c r="IR57" s="24"/>
      <c r="IS57" s="24"/>
      <c r="IT57" s="24"/>
      <c r="IU57" s="24"/>
      <c r="IV57" s="24"/>
    </row>
    <row r="58" s="1" customFormat="1" ht="19.5" customHeight="1" spans="1:30">
      <c r="A58" s="7" t="s">
        <v>4684</v>
      </c>
      <c r="B58" s="8" t="s">
        <v>51</v>
      </c>
      <c r="C58" s="7" t="s">
        <v>4685</v>
      </c>
      <c r="D58" s="9" t="s">
        <v>4686</v>
      </c>
      <c r="E58" s="10">
        <v>0</v>
      </c>
      <c r="F58" s="11">
        <v>2</v>
      </c>
      <c r="G58" s="20"/>
      <c r="H58" s="20"/>
      <c r="I58" s="20"/>
      <c r="J58" s="20"/>
      <c r="K58" s="20"/>
      <c r="L58" s="20"/>
      <c r="M58" s="20"/>
      <c r="N58" s="20"/>
      <c r="O58" s="20"/>
      <c r="P58" s="28"/>
      <c r="Q58" s="37"/>
      <c r="R58" s="38"/>
      <c r="S58" s="35"/>
      <c r="T58" s="36"/>
      <c r="U58" s="28"/>
      <c r="V58" s="34"/>
      <c r="W58" s="35"/>
      <c r="X58" s="36"/>
      <c r="Y58" s="28"/>
      <c r="Z58" s="37"/>
      <c r="AA58" s="38"/>
      <c r="AB58" s="35"/>
      <c r="AC58" s="11"/>
      <c r="AD58" s="50"/>
    </row>
    <row r="59" s="1" customFormat="1" ht="19.5" customHeight="1" spans="1:30">
      <c r="A59" s="7" t="s">
        <v>4687</v>
      </c>
      <c r="B59" s="8" t="s">
        <v>51</v>
      </c>
      <c r="C59" s="7" t="s">
        <v>4688</v>
      </c>
      <c r="D59" s="9" t="s">
        <v>4689</v>
      </c>
      <c r="E59" s="10">
        <v>0</v>
      </c>
      <c r="F59" s="11">
        <v>2</v>
      </c>
      <c r="G59" s="20"/>
      <c r="H59" s="20"/>
      <c r="I59" s="20"/>
      <c r="J59" s="20"/>
      <c r="K59" s="20"/>
      <c r="L59" s="20"/>
      <c r="M59" s="20"/>
      <c r="N59" s="20"/>
      <c r="O59" s="20"/>
      <c r="P59" s="28"/>
      <c r="Q59" s="37"/>
      <c r="R59" s="38"/>
      <c r="S59" s="35"/>
      <c r="T59" s="36"/>
      <c r="U59" s="28"/>
      <c r="V59" s="34"/>
      <c r="W59" s="35"/>
      <c r="X59" s="36"/>
      <c r="Y59" s="28"/>
      <c r="Z59" s="37"/>
      <c r="AA59" s="38"/>
      <c r="AB59" s="35"/>
      <c r="AC59" s="11"/>
      <c r="AD59" s="50"/>
    </row>
    <row r="60" s="1" customFormat="1" ht="19.5" customHeight="1" spans="1:30">
      <c r="A60" s="7" t="s">
        <v>4690</v>
      </c>
      <c r="B60" s="8" t="s">
        <v>51</v>
      </c>
      <c r="C60" s="7" t="s">
        <v>4691</v>
      </c>
      <c r="D60" s="9" t="s">
        <v>4689</v>
      </c>
      <c r="E60" s="10">
        <v>0</v>
      </c>
      <c r="F60" s="11">
        <v>2</v>
      </c>
      <c r="G60" s="20"/>
      <c r="H60" s="20"/>
      <c r="I60" s="20"/>
      <c r="J60" s="20"/>
      <c r="K60" s="20"/>
      <c r="L60" s="20"/>
      <c r="M60" s="20"/>
      <c r="N60" s="20"/>
      <c r="O60" s="20"/>
      <c r="P60" s="28"/>
      <c r="Q60" s="37"/>
      <c r="R60" s="38"/>
      <c r="S60" s="35"/>
      <c r="T60" s="36"/>
      <c r="U60" s="28"/>
      <c r="V60" s="34"/>
      <c r="W60" s="35"/>
      <c r="X60" s="36"/>
      <c r="Y60" s="28"/>
      <c r="Z60" s="37"/>
      <c r="AA60" s="38"/>
      <c r="AB60" s="35"/>
      <c r="AC60" s="11"/>
      <c r="AD60" s="50"/>
    </row>
    <row r="61" s="1" customFormat="1" ht="19.5" customHeight="1" spans="1:30">
      <c r="A61" s="7" t="s">
        <v>4692</v>
      </c>
      <c r="B61" s="8" t="s">
        <v>51</v>
      </c>
      <c r="C61" s="7" t="s">
        <v>2051</v>
      </c>
      <c r="D61" s="9" t="s">
        <v>4693</v>
      </c>
      <c r="E61" s="10">
        <v>0</v>
      </c>
      <c r="F61" s="11">
        <v>2</v>
      </c>
      <c r="G61" s="20"/>
      <c r="H61" s="20"/>
      <c r="I61" s="20"/>
      <c r="J61" s="20"/>
      <c r="K61" s="20"/>
      <c r="L61" s="20"/>
      <c r="M61" s="20"/>
      <c r="N61" s="20"/>
      <c r="O61" s="20"/>
      <c r="P61" s="28"/>
      <c r="Q61" s="37"/>
      <c r="R61" s="38"/>
      <c r="S61" s="35"/>
      <c r="T61" s="36"/>
      <c r="U61" s="28"/>
      <c r="V61" s="34"/>
      <c r="W61" s="35"/>
      <c r="X61" s="36"/>
      <c r="Y61" s="28"/>
      <c r="Z61" s="37"/>
      <c r="AA61" s="38"/>
      <c r="AB61" s="35"/>
      <c r="AC61" s="11"/>
      <c r="AD61" s="50"/>
    </row>
    <row r="62" s="1" customFormat="1" ht="19.5" customHeight="1" spans="1:30">
      <c r="A62" s="7" t="s">
        <v>4694</v>
      </c>
      <c r="B62" s="8" t="s">
        <v>51</v>
      </c>
      <c r="C62" s="7" t="s">
        <v>2041</v>
      </c>
      <c r="D62" s="9" t="s">
        <v>4695</v>
      </c>
      <c r="E62" s="10">
        <v>0</v>
      </c>
      <c r="F62" s="11">
        <v>2</v>
      </c>
      <c r="G62" s="20"/>
      <c r="H62" s="20"/>
      <c r="I62" s="20"/>
      <c r="J62" s="20"/>
      <c r="K62" s="20"/>
      <c r="L62" s="20"/>
      <c r="M62" s="20"/>
      <c r="N62" s="20"/>
      <c r="O62" s="20"/>
      <c r="P62" s="28"/>
      <c r="Q62" s="37"/>
      <c r="R62" s="38"/>
      <c r="S62" s="35"/>
      <c r="T62" s="36"/>
      <c r="U62" s="28"/>
      <c r="V62" s="34"/>
      <c r="W62" s="35"/>
      <c r="X62" s="36"/>
      <c r="Y62" s="28"/>
      <c r="Z62" s="37"/>
      <c r="AA62" s="38"/>
      <c r="AB62" s="35"/>
      <c r="AC62" s="11"/>
      <c r="AD62" s="50"/>
    </row>
    <row r="63" s="1" customFormat="1" ht="19.5" customHeight="1" spans="1:30">
      <c r="A63" s="7" t="s">
        <v>4696</v>
      </c>
      <c r="B63" s="8" t="s">
        <v>51</v>
      </c>
      <c r="C63" s="7" t="s">
        <v>2062</v>
      </c>
      <c r="D63" s="9" t="s">
        <v>4697</v>
      </c>
      <c r="E63" s="10">
        <v>0</v>
      </c>
      <c r="F63" s="11">
        <v>2</v>
      </c>
      <c r="G63" s="20"/>
      <c r="H63" s="20"/>
      <c r="I63" s="20"/>
      <c r="J63" s="20"/>
      <c r="K63" s="20"/>
      <c r="L63" s="20"/>
      <c r="M63" s="20"/>
      <c r="N63" s="20"/>
      <c r="O63" s="20"/>
      <c r="P63" s="28"/>
      <c r="Q63" s="37"/>
      <c r="R63" s="38"/>
      <c r="S63" s="35"/>
      <c r="T63" s="36"/>
      <c r="U63" s="28"/>
      <c r="V63" s="34"/>
      <c r="W63" s="35"/>
      <c r="X63" s="36"/>
      <c r="Y63" s="28"/>
      <c r="Z63" s="37"/>
      <c r="AA63" s="38"/>
      <c r="AB63" s="35"/>
      <c r="AC63" s="11"/>
      <c r="AD63" s="50"/>
    </row>
    <row r="64" s="1" customFormat="1" ht="19.5" customHeight="1" spans="1:30">
      <c r="A64" s="7" t="s">
        <v>4698</v>
      </c>
      <c r="B64" s="8" t="s">
        <v>51</v>
      </c>
      <c r="C64" s="7" t="s">
        <v>3516</v>
      </c>
      <c r="D64" s="9" t="s">
        <v>4695</v>
      </c>
      <c r="E64" s="10">
        <v>0</v>
      </c>
      <c r="F64" s="11">
        <v>2</v>
      </c>
      <c r="G64" s="20"/>
      <c r="H64" s="20"/>
      <c r="I64" s="20"/>
      <c r="J64" s="20"/>
      <c r="K64" s="20"/>
      <c r="L64" s="20"/>
      <c r="M64" s="20"/>
      <c r="N64" s="20"/>
      <c r="O64" s="20"/>
      <c r="P64" s="28"/>
      <c r="Q64" s="37"/>
      <c r="R64" s="38"/>
      <c r="S64" s="35"/>
      <c r="T64" s="36"/>
      <c r="U64" s="28"/>
      <c r="V64" s="34"/>
      <c r="W64" s="35"/>
      <c r="X64" s="36"/>
      <c r="Y64" s="28"/>
      <c r="Z64" s="37"/>
      <c r="AA64" s="38"/>
      <c r="AB64" s="35"/>
      <c r="AC64" s="11"/>
      <c r="AD64" s="50"/>
    </row>
    <row r="65" s="1" customFormat="1" ht="19.5" customHeight="1" spans="1:30">
      <c r="A65" s="7" t="s">
        <v>4699</v>
      </c>
      <c r="B65" s="8" t="s">
        <v>51</v>
      </c>
      <c r="C65" s="7" t="s">
        <v>3509</v>
      </c>
      <c r="D65" s="9" t="s">
        <v>4697</v>
      </c>
      <c r="E65" s="10">
        <v>0</v>
      </c>
      <c r="F65" s="11">
        <v>2</v>
      </c>
      <c r="G65" s="20"/>
      <c r="H65" s="20"/>
      <c r="I65" s="20"/>
      <c r="J65" s="20"/>
      <c r="K65" s="20"/>
      <c r="L65" s="20"/>
      <c r="M65" s="20"/>
      <c r="N65" s="20"/>
      <c r="O65" s="20"/>
      <c r="P65" s="28"/>
      <c r="Q65" s="37"/>
      <c r="R65" s="38"/>
      <c r="S65" s="35"/>
      <c r="T65" s="36"/>
      <c r="U65" s="28"/>
      <c r="V65" s="34"/>
      <c r="W65" s="35"/>
      <c r="X65" s="36"/>
      <c r="Y65" s="28"/>
      <c r="Z65" s="37"/>
      <c r="AA65" s="38"/>
      <c r="AB65" s="35"/>
      <c r="AC65" s="11"/>
      <c r="AD65" s="50"/>
    </row>
    <row r="66" s="3" customFormat="1" ht="8.25" customHeight="1" spans="1:256">
      <c r="A66" s="21"/>
      <c r="B66" s="22"/>
      <c r="C66" s="23"/>
      <c r="D66" s="24"/>
      <c r="E66" s="25"/>
      <c r="F66" s="25"/>
      <c r="G66" s="24"/>
      <c r="H66" s="24"/>
      <c r="I66" s="24"/>
      <c r="J66" s="24"/>
      <c r="K66" s="24"/>
      <c r="L66" s="24"/>
      <c r="M66" s="24"/>
      <c r="N66" s="24"/>
      <c r="O66" s="24"/>
      <c r="P66" s="22"/>
      <c r="Q66" s="22"/>
      <c r="R66" s="22"/>
      <c r="S66" s="22"/>
      <c r="T66" s="22"/>
      <c r="U66" s="22"/>
      <c r="V66" s="22"/>
      <c r="W66" s="22"/>
      <c r="X66" s="22"/>
      <c r="Y66" s="22"/>
      <c r="Z66" s="22"/>
      <c r="AA66" s="22"/>
      <c r="AB66" s="22"/>
      <c r="AC66" s="22"/>
      <c r="AD66" s="51"/>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c r="BM66" s="24"/>
      <c r="BN66" s="24"/>
      <c r="BO66" s="24"/>
      <c r="BP66" s="24"/>
      <c r="BQ66" s="24"/>
      <c r="BR66" s="24"/>
      <c r="BS66" s="24"/>
      <c r="BT66" s="24"/>
      <c r="BU66" s="24"/>
      <c r="BV66" s="24"/>
      <c r="BW66" s="24"/>
      <c r="BX66" s="24"/>
      <c r="BY66" s="24"/>
      <c r="BZ66" s="24"/>
      <c r="CA66" s="24"/>
      <c r="CB66" s="24"/>
      <c r="CC66" s="24"/>
      <c r="CD66" s="24"/>
      <c r="CE66" s="24"/>
      <c r="CF66" s="24"/>
      <c r="CG66" s="24"/>
      <c r="CH66" s="24"/>
      <c r="CI66" s="24"/>
      <c r="CJ66" s="24"/>
      <c r="CK66" s="24"/>
      <c r="CL66" s="24"/>
      <c r="CM66" s="24"/>
      <c r="CN66" s="24"/>
      <c r="CO66" s="24"/>
      <c r="CP66" s="24"/>
      <c r="CQ66" s="24"/>
      <c r="CR66" s="24"/>
      <c r="CS66" s="24"/>
      <c r="CT66" s="24"/>
      <c r="CU66" s="24"/>
      <c r="CV66" s="24"/>
      <c r="CW66" s="24"/>
      <c r="CX66" s="24"/>
      <c r="CY66" s="24"/>
      <c r="CZ66" s="24"/>
      <c r="DA66" s="24"/>
      <c r="DB66" s="24"/>
      <c r="DC66" s="24"/>
      <c r="DD66" s="24"/>
      <c r="DE66" s="24"/>
      <c r="DF66" s="24"/>
      <c r="DG66" s="24"/>
      <c r="DH66" s="24"/>
      <c r="DI66" s="24"/>
      <c r="DJ66" s="24"/>
      <c r="DK66" s="24"/>
      <c r="DL66" s="24"/>
      <c r="DM66" s="24"/>
      <c r="DN66" s="24"/>
      <c r="DO66" s="24"/>
      <c r="DP66" s="24"/>
      <c r="DQ66" s="24"/>
      <c r="DR66" s="24"/>
      <c r="DS66" s="24"/>
      <c r="DT66" s="24"/>
      <c r="DU66" s="24"/>
      <c r="DV66" s="24"/>
      <c r="DW66" s="24"/>
      <c r="DX66" s="24"/>
      <c r="DY66" s="24"/>
      <c r="DZ66" s="24"/>
      <c r="EA66" s="24"/>
      <c r="EB66" s="24"/>
      <c r="EC66" s="24"/>
      <c r="ED66" s="24"/>
      <c r="EE66" s="24"/>
      <c r="EF66" s="24"/>
      <c r="EG66" s="24"/>
      <c r="EH66" s="24"/>
      <c r="EI66" s="24"/>
      <c r="EJ66" s="24"/>
      <c r="EK66" s="24"/>
      <c r="EL66" s="24"/>
      <c r="EM66" s="24"/>
      <c r="EN66" s="24"/>
      <c r="EO66" s="24"/>
      <c r="EP66" s="24"/>
      <c r="EQ66" s="24"/>
      <c r="ER66" s="24"/>
      <c r="ES66" s="24"/>
      <c r="ET66" s="24"/>
      <c r="EU66" s="24"/>
      <c r="EV66" s="24"/>
      <c r="EW66" s="24"/>
      <c r="EX66" s="24"/>
      <c r="EY66" s="24"/>
      <c r="EZ66" s="24"/>
      <c r="FA66" s="24"/>
      <c r="FB66" s="24"/>
      <c r="FC66" s="24"/>
      <c r="FD66" s="24"/>
      <c r="FE66" s="24"/>
      <c r="FF66" s="24"/>
      <c r="FG66" s="24"/>
      <c r="FH66" s="24"/>
      <c r="FI66" s="24"/>
      <c r="FJ66" s="24"/>
      <c r="FK66" s="24"/>
      <c r="FL66" s="24"/>
      <c r="FM66" s="24"/>
      <c r="FN66" s="24"/>
      <c r="FO66" s="24"/>
      <c r="FP66" s="24"/>
      <c r="FQ66" s="24"/>
      <c r="FR66" s="24"/>
      <c r="FS66" s="24"/>
      <c r="FT66" s="24"/>
      <c r="FU66" s="24"/>
      <c r="FV66" s="24"/>
      <c r="FW66" s="24"/>
      <c r="FX66" s="24"/>
      <c r="FY66" s="24"/>
      <c r="FZ66" s="24"/>
      <c r="GA66" s="24"/>
      <c r="GB66" s="24"/>
      <c r="GC66" s="24"/>
      <c r="GD66" s="24"/>
      <c r="GE66" s="24"/>
      <c r="GF66" s="24"/>
      <c r="GG66" s="24"/>
      <c r="GH66" s="24"/>
      <c r="GI66" s="24"/>
      <c r="GJ66" s="24"/>
      <c r="GK66" s="24"/>
      <c r="GL66" s="24"/>
      <c r="GM66" s="24"/>
      <c r="GN66" s="24"/>
      <c r="GO66" s="24"/>
      <c r="GP66" s="24"/>
      <c r="GQ66" s="24"/>
      <c r="GR66" s="24"/>
      <c r="GS66" s="24"/>
      <c r="GT66" s="24"/>
      <c r="GU66" s="24"/>
      <c r="GV66" s="24"/>
      <c r="GW66" s="24"/>
      <c r="GX66" s="24"/>
      <c r="GY66" s="24"/>
      <c r="GZ66" s="24"/>
      <c r="HA66" s="24"/>
      <c r="HB66" s="24"/>
      <c r="HC66" s="24"/>
      <c r="HD66" s="24"/>
      <c r="HE66" s="24"/>
      <c r="HF66" s="24"/>
      <c r="HG66" s="24"/>
      <c r="HH66" s="24"/>
      <c r="HI66" s="24"/>
      <c r="HJ66" s="24"/>
      <c r="HK66" s="24"/>
      <c r="HL66" s="24"/>
      <c r="HM66" s="24"/>
      <c r="HN66" s="24"/>
      <c r="HO66" s="24"/>
      <c r="HP66" s="24"/>
      <c r="HQ66" s="24"/>
      <c r="HR66" s="24"/>
      <c r="HS66" s="24"/>
      <c r="HT66" s="24"/>
      <c r="HU66" s="24"/>
      <c r="HV66" s="24"/>
      <c r="HW66" s="24"/>
      <c r="HX66" s="24"/>
      <c r="HY66" s="24"/>
      <c r="HZ66" s="24"/>
      <c r="IA66" s="24"/>
      <c r="IB66" s="24"/>
      <c r="IC66" s="24"/>
      <c r="ID66" s="24"/>
      <c r="IE66" s="24"/>
      <c r="IF66" s="24"/>
      <c r="IG66" s="24"/>
      <c r="IH66" s="24"/>
      <c r="II66" s="24"/>
      <c r="IJ66" s="24"/>
      <c r="IK66" s="24"/>
      <c r="IL66" s="24"/>
      <c r="IM66" s="24"/>
      <c r="IN66" s="24"/>
      <c r="IO66" s="24"/>
      <c r="IP66" s="24"/>
      <c r="IQ66" s="24"/>
      <c r="IR66" s="24"/>
      <c r="IS66" s="24"/>
      <c r="IT66" s="24"/>
      <c r="IU66" s="24"/>
      <c r="IV66" s="24"/>
    </row>
    <row r="67" spans="1:30">
      <c r="A67" s="7"/>
      <c r="B67" s="8"/>
      <c r="C67" s="52"/>
      <c r="D67" s="53"/>
      <c r="E67" s="10"/>
      <c r="F67" s="11"/>
      <c r="G67" s="20"/>
      <c r="H67" s="20"/>
      <c r="I67" s="20"/>
      <c r="J67" s="20"/>
      <c r="K67" s="20"/>
      <c r="L67" s="20"/>
      <c r="M67" s="20"/>
      <c r="N67" s="20"/>
      <c r="O67" s="20"/>
      <c r="P67" s="28"/>
      <c r="Q67" s="37"/>
      <c r="R67" s="38"/>
      <c r="S67" s="35"/>
      <c r="T67" s="36"/>
      <c r="U67" s="28"/>
      <c r="V67" s="34"/>
      <c r="W67" s="35"/>
      <c r="X67" s="36"/>
      <c r="Y67" s="28"/>
      <c r="Z67" s="37"/>
      <c r="AA67" s="38"/>
      <c r="AB67" s="35"/>
      <c r="AC67" s="11"/>
      <c r="AD67" s="50"/>
    </row>
    <row r="68" spans="1:30">
      <c r="A68" s="7"/>
      <c r="B68" s="8"/>
      <c r="C68" s="52"/>
      <c r="D68" s="53"/>
      <c r="E68" s="10"/>
      <c r="F68" s="11"/>
      <c r="G68" s="20"/>
      <c r="H68" s="20"/>
      <c r="I68" s="20"/>
      <c r="J68" s="20"/>
      <c r="K68" s="20"/>
      <c r="L68" s="20"/>
      <c r="M68" s="20"/>
      <c r="N68" s="20"/>
      <c r="O68" s="20"/>
      <c r="P68" s="28"/>
      <c r="Q68" s="37"/>
      <c r="R68" s="38"/>
      <c r="S68" s="35"/>
      <c r="T68" s="36"/>
      <c r="U68" s="28"/>
      <c r="V68" s="34"/>
      <c r="W68" s="35"/>
      <c r="X68" s="36"/>
      <c r="Y68" s="28"/>
      <c r="Z68" s="37"/>
      <c r="AA68" s="38"/>
      <c r="AB68" s="35"/>
      <c r="AC68" s="11"/>
      <c r="AD68" s="50"/>
    </row>
    <row r="69" spans="1:30">
      <c r="A69" s="7"/>
      <c r="B69" s="8"/>
      <c r="C69" s="52"/>
      <c r="D69" s="53"/>
      <c r="E69" s="10"/>
      <c r="F69" s="11"/>
      <c r="G69" s="20"/>
      <c r="H69" s="20"/>
      <c r="I69" s="20"/>
      <c r="J69" s="20"/>
      <c r="K69" s="20"/>
      <c r="L69" s="20"/>
      <c r="M69" s="20"/>
      <c r="N69" s="20"/>
      <c r="O69" s="20"/>
      <c r="P69" s="28"/>
      <c r="Q69" s="37"/>
      <c r="R69" s="38"/>
      <c r="S69" s="35"/>
      <c r="T69" s="36"/>
      <c r="U69" s="28"/>
      <c r="V69" s="34"/>
      <c r="W69" s="35"/>
      <c r="X69" s="36"/>
      <c r="Y69" s="28"/>
      <c r="Z69" s="37"/>
      <c r="AA69" s="38"/>
      <c r="AB69" s="35"/>
      <c r="AC69" s="11"/>
      <c r="AD69" s="50"/>
    </row>
    <row r="70" spans="1:30">
      <c r="A70" s="7"/>
      <c r="B70" s="8"/>
      <c r="C70" s="52"/>
      <c r="D70" s="53"/>
      <c r="E70" s="10"/>
      <c r="F70" s="11"/>
      <c r="G70" s="20"/>
      <c r="H70" s="20"/>
      <c r="I70" s="20"/>
      <c r="J70" s="20"/>
      <c r="K70" s="20"/>
      <c r="L70" s="20"/>
      <c r="M70" s="20"/>
      <c r="N70" s="20"/>
      <c r="O70" s="20"/>
      <c r="P70" s="28"/>
      <c r="Q70" s="37"/>
      <c r="R70" s="38"/>
      <c r="S70" s="35"/>
      <c r="T70" s="36"/>
      <c r="U70" s="28"/>
      <c r="V70" s="34"/>
      <c r="W70" s="35"/>
      <c r="X70" s="36"/>
      <c r="Y70" s="28"/>
      <c r="Z70" s="37"/>
      <c r="AA70" s="38"/>
      <c r="AB70" s="35"/>
      <c r="AC70" s="11"/>
      <c r="AD70" s="50"/>
    </row>
    <row r="71" spans="1:30">
      <c r="A71" s="7"/>
      <c r="B71" s="8"/>
      <c r="C71" s="52"/>
      <c r="D71" s="53"/>
      <c r="E71" s="10"/>
      <c r="F71" s="11"/>
      <c r="G71" s="20"/>
      <c r="H71" s="20"/>
      <c r="I71" s="20"/>
      <c r="J71" s="20"/>
      <c r="K71" s="20"/>
      <c r="L71" s="20"/>
      <c r="M71" s="20"/>
      <c r="N71" s="20"/>
      <c r="O71" s="20"/>
      <c r="P71" s="28"/>
      <c r="Q71" s="37"/>
      <c r="R71" s="38"/>
      <c r="S71" s="35"/>
      <c r="T71" s="36"/>
      <c r="U71" s="28"/>
      <c r="V71" s="34"/>
      <c r="W71" s="35"/>
      <c r="X71" s="36"/>
      <c r="Y71" s="28"/>
      <c r="Z71" s="37"/>
      <c r="AA71" s="38"/>
      <c r="AB71" s="35"/>
      <c r="AC71" s="11"/>
      <c r="AD71" s="50"/>
    </row>
    <row r="72" spans="1:30">
      <c r="A72" s="7"/>
      <c r="B72" s="8"/>
      <c r="C72" s="52"/>
      <c r="D72" s="53"/>
      <c r="E72" s="10"/>
      <c r="F72" s="11"/>
      <c r="G72" s="20"/>
      <c r="H72" s="20"/>
      <c r="I72" s="20"/>
      <c r="J72" s="20"/>
      <c r="K72" s="20"/>
      <c r="L72" s="20"/>
      <c r="M72" s="20"/>
      <c r="N72" s="20"/>
      <c r="O72" s="20"/>
      <c r="P72" s="28"/>
      <c r="Q72" s="37"/>
      <c r="R72" s="38"/>
      <c r="S72" s="35"/>
      <c r="T72" s="36"/>
      <c r="U72" s="28"/>
      <c r="V72" s="34"/>
      <c r="W72" s="35"/>
      <c r="X72" s="36"/>
      <c r="Y72" s="28"/>
      <c r="Z72" s="37"/>
      <c r="AA72" s="38"/>
      <c r="AB72" s="35"/>
      <c r="AC72" s="11"/>
      <c r="AD72" s="50"/>
    </row>
    <row r="73" spans="1:30">
      <c r="A73" s="15"/>
      <c r="B73" s="16"/>
      <c r="C73" s="17"/>
      <c r="D73" s="18"/>
      <c r="E73" s="19"/>
      <c r="F73" s="19"/>
      <c r="G73" s="18"/>
      <c r="H73" s="18"/>
      <c r="I73" s="18"/>
      <c r="J73" s="18"/>
      <c r="K73" s="18"/>
      <c r="L73" s="18"/>
      <c r="M73" s="18"/>
      <c r="N73" s="18"/>
      <c r="O73" s="18"/>
      <c r="P73" s="16"/>
      <c r="Q73" s="16"/>
      <c r="R73" s="16"/>
      <c r="S73" s="16"/>
      <c r="T73" s="16"/>
      <c r="U73" s="16"/>
      <c r="V73" s="16"/>
      <c r="W73" s="16"/>
      <c r="X73" s="16"/>
      <c r="Y73" s="16"/>
      <c r="Z73" s="16"/>
      <c r="AA73" s="16"/>
      <c r="AB73" s="16"/>
      <c r="AC73" s="16"/>
      <c r="AD73" s="49"/>
    </row>
  </sheetData>
  <mergeCells count="13">
    <mergeCell ref="A1:AD1"/>
    <mergeCell ref="E2:F2"/>
    <mergeCell ref="P2:R2"/>
    <mergeCell ref="S2:T2"/>
    <mergeCell ref="U2:V2"/>
    <mergeCell ref="W2:X2"/>
    <mergeCell ref="Y2:AA2"/>
    <mergeCell ref="AB2:AC2"/>
    <mergeCell ref="A2:A3"/>
    <mergeCell ref="B2:B3"/>
    <mergeCell ref="C2:C3"/>
    <mergeCell ref="D2:D3"/>
    <mergeCell ref="AD2:AD3"/>
  </mergeCells>
  <pageMargins left="0.75" right="0.75" top="1" bottom="1" header="0.51" footer="0.51"/>
  <pageSetup paperSize="9" orientation="portrait"/>
  <headerFooter/>
</worksheet>
</file>

<file path=docProps/app.xml><?xml version="1.0" encoding="utf-8"?>
<Properties xmlns="http://schemas.openxmlformats.org/officeDocument/2006/extended-properties" xmlns:vt="http://schemas.openxmlformats.org/officeDocument/2006/docPropsVTypes">
  <Company>WWW.YlmF.CoM</Company>
  <Application>Microsoft Excel</Application>
  <HeadingPairs>
    <vt:vector size="2" baseType="variant">
      <vt:variant>
        <vt:lpstr>工作表</vt:lpstr>
      </vt:variant>
      <vt:variant>
        <vt:i4>10</vt:i4>
      </vt:variant>
    </vt:vector>
  </HeadingPairs>
  <TitlesOfParts>
    <vt:vector size="10" baseType="lpstr">
      <vt:lpstr>鴨子、鱷魚、金魚排期</vt:lpstr>
      <vt:lpstr>7163-66</vt:lpstr>
      <vt:lpstr>鯊魚排期</vt:lpstr>
      <vt:lpstr>游水取消單</vt:lpstr>
      <vt:lpstr>游水MA彩盒</vt:lpstr>
      <vt:lpstr>游水MA半成品</vt:lpstr>
      <vt:lpstr>游水內銷訂單</vt:lpstr>
      <vt:lpstr>#25291</vt:lpstr>
      <vt:lpstr>樣板訂單</vt:lpstr>
      <vt:lpstr>兴信ITEM表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Administrator</cp:lastModifiedBy>
  <cp:revision>1</cp:revision>
  <dcterms:created xsi:type="dcterms:W3CDTF">2016-06-02T05:50:00Z</dcterms:created>
  <cp:lastPrinted>2017-05-20T02:03:00Z</cp:lastPrinted>
  <dcterms:modified xsi:type="dcterms:W3CDTF">2026-02-27T09:32:31Z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KSOReadingLayout">
    <vt:bool>true</vt:bool>
  </property>
  <property fmtid="{D5CDD505-2E9C-101B-9397-08002B2CF9AE}" pid="4" name="ICV">
    <vt:lpwstr>FB10B72355D349FF8D6471B147B2CB6E</vt:lpwstr>
  </property>
</Properties>
</file>